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6" yWindow="600" windowWidth="16236" windowHeight="9420"/>
  </bookViews>
  <sheets>
    <sheet name="F2.CostAllocation" sheetId="1" r:id="rId1"/>
    <sheet name="F3.RevenueAllocation" sheetId="2" r:id="rId2"/>
    <sheet name="F4.RateDesign" sheetId="3" r:id="rId3"/>
  </sheets>
  <externalReferences>
    <externalReference r:id="rId4"/>
  </externalReferences>
  <definedNames>
    <definedName name="_xlnm._FilterDatabase" localSheetId="0" hidden="1">F2.CostAllocation!$B$10:$C$59</definedName>
    <definedName name="_xlnm._FilterDatabase" localSheetId="1" hidden="1">F3.RevenueAllocation!$B$10:$C$88</definedName>
    <definedName name="_xlnm._FilterDatabase" localSheetId="2" hidden="1">F4.RateDesign!$B$10:$C$84</definedName>
    <definedName name="ApprovedYr">[1]Z1.ModelVariables!$C$12</definedName>
    <definedName name="CRLF">[1]Z1.ModelVariables!$C$10</definedName>
    <definedName name="CRLF2">[1]Z1.ModelVariables!$C$11</definedName>
    <definedName name="DeferralApprov">[1]A1.Admin!$C$23</definedName>
    <definedName name="FakeBlank">[1]Z1.ModelVariables!$C$14</definedName>
    <definedName name="FolderPath">[1]Z1.ModelVariables!$C$15</definedName>
    <definedName name="HistYrs">[1]A1.Admin!$C$21</definedName>
    <definedName name="Mon">#REF!</definedName>
    <definedName name="Month">#REF!</definedName>
    <definedName name="MonthEND">#REF!</definedName>
    <definedName name="PILsModel">[1]E4.PILsResults!$D$9</definedName>
    <definedName name="_xlnm.Print_Area" localSheetId="0">F2.CostAllocation!$B$1:$J$59</definedName>
    <definedName name="_xlnm.Print_Area" localSheetId="1">F3.RevenueAllocation!$B$1:$K$88</definedName>
    <definedName name="_xlnm.Print_Area" localSheetId="2">F4.RateDesign!$B$1:$L$84</definedName>
    <definedName name="_xlnm.Print_Titles" localSheetId="0">F2.CostAllocation!$B:$B,F2.CostAllocation!$1:$10</definedName>
    <definedName name="_xlnm.Print_Titles" localSheetId="1">F3.RevenueAllocation!$B:$B,F3.RevenueAllocation!$1:$8</definedName>
    <definedName name="_xlnm.Print_Titles" localSheetId="2">F4.RateDesign!$B:$B,F4.RateDesign!$1:$8</definedName>
    <definedName name="RMrelease">[1]Z1.ModelVariables!$C$13</definedName>
    <definedName name="TestYr">[1]A1.Admin!$C$13</definedName>
  </definedNames>
  <calcPr calcId="145621" concurrentCalc="0"/>
</workbook>
</file>

<file path=xl/calcChain.xml><?xml version="1.0" encoding="utf-8"?>
<calcChain xmlns="http://schemas.openxmlformats.org/spreadsheetml/2006/main">
  <c r="F11" i="2" l="1"/>
  <c r="G16" i="3"/>
  <c r="E64" i="3"/>
  <c r="F64" i="3"/>
  <c r="K55" i="3"/>
  <c r="K81" i="3"/>
  <c r="K54" i="3"/>
  <c r="K53" i="3"/>
  <c r="K52" i="3"/>
  <c r="K78" i="3"/>
  <c r="K51" i="3"/>
  <c r="K77" i="3"/>
  <c r="K50" i="3"/>
  <c r="K49" i="3"/>
  <c r="K48" i="3"/>
  <c r="K74" i="3"/>
  <c r="K47" i="3"/>
  <c r="K73" i="3"/>
  <c r="K46" i="3"/>
  <c r="K45" i="3"/>
  <c r="D11" i="3"/>
  <c r="D19" i="3"/>
  <c r="E19" i="3"/>
  <c r="E44" i="3"/>
  <c r="D18" i="3"/>
  <c r="D17" i="3"/>
  <c r="E17" i="3"/>
  <c r="E42" i="3"/>
  <c r="D16" i="3"/>
  <c r="E16" i="3"/>
  <c r="D15" i="3"/>
  <c r="E15" i="3"/>
  <c r="E40" i="3"/>
  <c r="D14" i="3"/>
  <c r="D13" i="3"/>
  <c r="E13" i="3"/>
  <c r="E38" i="3"/>
  <c r="D12" i="3"/>
  <c r="E12" i="3"/>
  <c r="C30" i="3"/>
  <c r="C55" i="3"/>
  <c r="C81" i="3"/>
  <c r="B30" i="3"/>
  <c r="B55" i="3"/>
  <c r="B81" i="3"/>
  <c r="C29" i="3"/>
  <c r="C54" i="3"/>
  <c r="C80" i="3"/>
  <c r="B29" i="3"/>
  <c r="B54" i="3"/>
  <c r="B80" i="3"/>
  <c r="C28" i="3"/>
  <c r="C53" i="3"/>
  <c r="C79" i="3"/>
  <c r="B28" i="3"/>
  <c r="B53" i="3"/>
  <c r="B79" i="3"/>
  <c r="C27" i="3"/>
  <c r="C52" i="3"/>
  <c r="C78" i="3"/>
  <c r="B27" i="3"/>
  <c r="B52" i="3"/>
  <c r="B78" i="3"/>
  <c r="C26" i="3"/>
  <c r="C51" i="3"/>
  <c r="C77" i="3"/>
  <c r="B26" i="3"/>
  <c r="B51" i="3"/>
  <c r="B77" i="3"/>
  <c r="C25" i="3"/>
  <c r="C50" i="3"/>
  <c r="C76" i="3"/>
  <c r="B25" i="3"/>
  <c r="B50" i="3"/>
  <c r="B76" i="3"/>
  <c r="C24" i="3"/>
  <c r="C49" i="3"/>
  <c r="C75" i="3"/>
  <c r="B24" i="3"/>
  <c r="B49" i="3"/>
  <c r="B75" i="3"/>
  <c r="C23" i="3"/>
  <c r="C48" i="3"/>
  <c r="C74" i="3"/>
  <c r="B23" i="3"/>
  <c r="B48" i="3"/>
  <c r="B74" i="3"/>
  <c r="C22" i="3"/>
  <c r="C47" i="3"/>
  <c r="C73" i="3"/>
  <c r="B22" i="3"/>
  <c r="B47" i="3"/>
  <c r="B73" i="3"/>
  <c r="C21" i="3"/>
  <c r="C46" i="3"/>
  <c r="C72" i="3"/>
  <c r="B21" i="3"/>
  <c r="B46" i="3"/>
  <c r="B72" i="3"/>
  <c r="C20" i="3"/>
  <c r="C45" i="3"/>
  <c r="C71" i="3"/>
  <c r="B20" i="3"/>
  <c r="B45" i="3"/>
  <c r="B71" i="3"/>
  <c r="C19" i="3"/>
  <c r="C44" i="3"/>
  <c r="C70" i="3"/>
  <c r="B19" i="3"/>
  <c r="B44" i="3"/>
  <c r="B70" i="3"/>
  <c r="C18" i="3"/>
  <c r="C43" i="3"/>
  <c r="C69" i="3"/>
  <c r="B18" i="3"/>
  <c r="B43" i="3"/>
  <c r="B69" i="3"/>
  <c r="C17" i="3"/>
  <c r="C42" i="3"/>
  <c r="C68" i="3"/>
  <c r="B17" i="3"/>
  <c r="B42" i="3"/>
  <c r="B68" i="3"/>
  <c r="C16" i="3"/>
  <c r="C41" i="3"/>
  <c r="C67" i="3"/>
  <c r="B16" i="3"/>
  <c r="B41" i="3"/>
  <c r="B67" i="3"/>
  <c r="C15" i="3"/>
  <c r="C40" i="3"/>
  <c r="C66" i="3"/>
  <c r="B15" i="3"/>
  <c r="B40" i="3"/>
  <c r="B66" i="3"/>
  <c r="C14" i="3"/>
  <c r="C39" i="3"/>
  <c r="C65" i="3"/>
  <c r="B14" i="3"/>
  <c r="B39" i="3"/>
  <c r="B65" i="3"/>
  <c r="C13" i="3"/>
  <c r="C38" i="3"/>
  <c r="C64" i="3"/>
  <c r="B13" i="3"/>
  <c r="B38" i="3"/>
  <c r="B64" i="3"/>
  <c r="C12" i="3"/>
  <c r="C37" i="3"/>
  <c r="C63" i="3"/>
  <c r="B12" i="3"/>
  <c r="B37" i="3"/>
  <c r="B63" i="3"/>
  <c r="C11" i="3"/>
  <c r="C36" i="3"/>
  <c r="C62" i="3"/>
  <c r="B11" i="3"/>
  <c r="B36" i="3"/>
  <c r="B62" i="3"/>
  <c r="C30" i="2"/>
  <c r="C58" i="2"/>
  <c r="B30" i="2"/>
  <c r="B58" i="2"/>
  <c r="C29" i="2"/>
  <c r="C83" i="2"/>
  <c r="B29" i="2"/>
  <c r="B83" i="2"/>
  <c r="C28" i="2"/>
  <c r="C56" i="2"/>
  <c r="B28" i="2"/>
  <c r="B82" i="2"/>
  <c r="C27" i="2"/>
  <c r="B27" i="2"/>
  <c r="B81" i="2"/>
  <c r="C26" i="2"/>
  <c r="C54" i="2"/>
  <c r="B26" i="2"/>
  <c r="B80" i="2"/>
  <c r="C25" i="2"/>
  <c r="C79" i="2"/>
  <c r="B25" i="2"/>
  <c r="B79" i="2"/>
  <c r="C24" i="2"/>
  <c r="C78" i="2"/>
  <c r="B24" i="2"/>
  <c r="B78" i="2"/>
  <c r="C23" i="2"/>
  <c r="B23" i="2"/>
  <c r="B77" i="2"/>
  <c r="C22" i="2"/>
  <c r="C50" i="2"/>
  <c r="B22" i="2"/>
  <c r="B50" i="2"/>
  <c r="C21" i="2"/>
  <c r="C75" i="2"/>
  <c r="B21" i="2"/>
  <c r="B75" i="2"/>
  <c r="C20" i="2"/>
  <c r="C74" i="2"/>
  <c r="B20" i="2"/>
  <c r="B48" i="2"/>
  <c r="C19" i="2"/>
  <c r="B19" i="2"/>
  <c r="B73" i="2"/>
  <c r="C18" i="2"/>
  <c r="C46" i="2"/>
  <c r="B18" i="2"/>
  <c r="B72" i="2"/>
  <c r="C17" i="2"/>
  <c r="C71" i="2"/>
  <c r="B17" i="2"/>
  <c r="B71" i="2"/>
  <c r="C16" i="2"/>
  <c r="C70" i="2"/>
  <c r="B16" i="2"/>
  <c r="B70" i="2"/>
  <c r="C15" i="2"/>
  <c r="B15" i="2"/>
  <c r="B69" i="2"/>
  <c r="C14" i="2"/>
  <c r="C68" i="2"/>
  <c r="B14" i="2"/>
  <c r="C13" i="2"/>
  <c r="C67" i="2"/>
  <c r="B13" i="2"/>
  <c r="B41" i="2"/>
  <c r="C12" i="2"/>
  <c r="C40" i="2"/>
  <c r="B12" i="2"/>
  <c r="B40" i="2"/>
  <c r="C11" i="2"/>
  <c r="B11" i="2"/>
  <c r="B65" i="2"/>
  <c r="F31" i="1"/>
  <c r="D31" i="1"/>
  <c r="E16" i="1"/>
  <c r="D81" i="3"/>
  <c r="E81" i="3"/>
  <c r="F81" i="3"/>
  <c r="D80" i="3"/>
  <c r="E80" i="3"/>
  <c r="F80" i="3"/>
  <c r="D79" i="3"/>
  <c r="E79" i="3"/>
  <c r="D78" i="3"/>
  <c r="D77" i="3"/>
  <c r="E77" i="3"/>
  <c r="F77" i="3"/>
  <c r="D76" i="3"/>
  <c r="E76" i="3"/>
  <c r="F76" i="3"/>
  <c r="D75" i="3"/>
  <c r="E75" i="3"/>
  <c r="D74" i="3"/>
  <c r="D73" i="3"/>
  <c r="E73" i="3"/>
  <c r="D72" i="3"/>
  <c r="E72" i="3"/>
  <c r="F72" i="3"/>
  <c r="D71" i="3"/>
  <c r="E71" i="3"/>
  <c r="D70" i="3"/>
  <c r="D69" i="3"/>
  <c r="E69" i="3"/>
  <c r="D68" i="3"/>
  <c r="E68" i="3"/>
  <c r="F68" i="3"/>
  <c r="E67" i="3"/>
  <c r="E65" i="3"/>
  <c r="D63" i="3"/>
  <c r="E63" i="3"/>
  <c r="D62" i="3"/>
  <c r="K79" i="3"/>
  <c r="K75" i="3"/>
  <c r="K7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5" i="3"/>
  <c r="G14" i="3"/>
  <c r="G13" i="3"/>
  <c r="G12" i="3"/>
  <c r="G11" i="3"/>
  <c r="A2" i="3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B44" i="2"/>
  <c r="A2" i="2"/>
  <c r="H56" i="1"/>
  <c r="J30" i="3"/>
  <c r="H55" i="1"/>
  <c r="J29" i="3"/>
  <c r="H54" i="1"/>
  <c r="J28" i="3"/>
  <c r="H53" i="1"/>
  <c r="J27" i="3"/>
  <c r="H52" i="1"/>
  <c r="J26" i="3"/>
  <c r="H51" i="1"/>
  <c r="J25" i="3"/>
  <c r="H50" i="1"/>
  <c r="J24" i="3"/>
  <c r="H49" i="1"/>
  <c r="J23" i="3"/>
  <c r="H48" i="1"/>
  <c r="J22" i="3"/>
  <c r="H47" i="1"/>
  <c r="J21" i="3"/>
  <c r="H46" i="1"/>
  <c r="J20" i="3"/>
  <c r="H45" i="1"/>
  <c r="J19" i="3"/>
  <c r="H44" i="1"/>
  <c r="J18" i="3"/>
  <c r="H43" i="1"/>
  <c r="J17" i="3"/>
  <c r="H42" i="1"/>
  <c r="J16" i="3"/>
  <c r="H41" i="1"/>
  <c r="J15" i="3"/>
  <c r="H40" i="1"/>
  <c r="J14" i="3"/>
  <c r="H39" i="1"/>
  <c r="J13" i="3"/>
  <c r="H38" i="1"/>
  <c r="J12" i="3"/>
  <c r="H37" i="1"/>
  <c r="J11" i="3"/>
  <c r="H30" i="1"/>
  <c r="C56" i="1"/>
  <c r="B56" i="1"/>
  <c r="H29" i="1"/>
  <c r="C55" i="1"/>
  <c r="B55" i="1"/>
  <c r="H28" i="1"/>
  <c r="C54" i="1"/>
  <c r="B54" i="1"/>
  <c r="H27" i="1"/>
  <c r="C53" i="1"/>
  <c r="B53" i="1"/>
  <c r="H26" i="1"/>
  <c r="C52" i="1"/>
  <c r="B52" i="1"/>
  <c r="H25" i="1"/>
  <c r="C51" i="1"/>
  <c r="B51" i="1"/>
  <c r="H24" i="1"/>
  <c r="C50" i="1"/>
  <c r="B50" i="1"/>
  <c r="H23" i="1"/>
  <c r="C49" i="1"/>
  <c r="B49" i="1"/>
  <c r="H22" i="1"/>
  <c r="C48" i="1"/>
  <c r="B48" i="1"/>
  <c r="H21" i="1"/>
  <c r="C47" i="1"/>
  <c r="B47" i="1"/>
  <c r="H20" i="1"/>
  <c r="C46" i="1"/>
  <c r="B46" i="1"/>
  <c r="H19" i="1"/>
  <c r="C45" i="1"/>
  <c r="B45" i="1"/>
  <c r="H18" i="1"/>
  <c r="C44" i="1"/>
  <c r="B44" i="1"/>
  <c r="H17" i="1"/>
  <c r="C43" i="1"/>
  <c r="B43" i="1"/>
  <c r="H16" i="1"/>
  <c r="C42" i="1"/>
  <c r="B42" i="1"/>
  <c r="H15" i="1"/>
  <c r="C41" i="1"/>
  <c r="B41" i="1"/>
  <c r="H14" i="1"/>
  <c r="C40" i="1"/>
  <c r="B40" i="1"/>
  <c r="H13" i="1"/>
  <c r="C39" i="1"/>
  <c r="B39" i="1"/>
  <c r="H12" i="1"/>
  <c r="C38" i="1"/>
  <c r="B38" i="1"/>
  <c r="H11" i="1"/>
  <c r="C37" i="1"/>
  <c r="B37" i="1"/>
  <c r="G10" i="1"/>
  <c r="I10" i="1"/>
  <c r="A2" i="1"/>
  <c r="E30" i="1"/>
  <c r="B66" i="2"/>
  <c r="B67" i="2"/>
  <c r="B55" i="2"/>
  <c r="B47" i="2"/>
  <c r="B42" i="2"/>
  <c r="G14" i="1"/>
  <c r="D42" i="2"/>
  <c r="E42" i="2"/>
  <c r="G16" i="1"/>
  <c r="G20" i="1"/>
  <c r="D48" i="2"/>
  <c r="E48" i="2"/>
  <c r="G21" i="1"/>
  <c r="D49" i="2"/>
  <c r="E49" i="2"/>
  <c r="G22" i="1"/>
  <c r="D50" i="2"/>
  <c r="E50" i="2"/>
  <c r="G23" i="1"/>
  <c r="D51" i="2"/>
  <c r="E51" i="2"/>
  <c r="G24" i="1"/>
  <c r="D52" i="2"/>
  <c r="E52" i="2"/>
  <c r="G25" i="1"/>
  <c r="D53" i="2"/>
  <c r="E53" i="2"/>
  <c r="G26" i="1"/>
  <c r="D54" i="2"/>
  <c r="E54" i="2"/>
  <c r="G27" i="1"/>
  <c r="D55" i="2"/>
  <c r="E55" i="2"/>
  <c r="F32" i="1"/>
  <c r="C42" i="2"/>
  <c r="B76" i="2"/>
  <c r="B56" i="2"/>
  <c r="G11" i="1"/>
  <c r="D39" i="2"/>
  <c r="E39" i="2"/>
  <c r="G12" i="1"/>
  <c r="G13" i="1"/>
  <c r="D41" i="2"/>
  <c r="E41" i="2"/>
  <c r="F12" i="3"/>
  <c r="F37" i="3"/>
  <c r="E37" i="3"/>
  <c r="F16" i="3"/>
  <c r="F41" i="3"/>
  <c r="E41" i="3"/>
  <c r="B68" i="2"/>
  <c r="B52" i="2"/>
  <c r="K76" i="3"/>
  <c r="F13" i="3"/>
  <c r="F38" i="3"/>
  <c r="F17" i="3"/>
  <c r="F42" i="3"/>
  <c r="E11" i="3"/>
  <c r="F11" i="3"/>
  <c r="F36" i="3"/>
  <c r="B74" i="2"/>
  <c r="B84" i="2"/>
  <c r="K72" i="3"/>
  <c r="K80" i="3"/>
  <c r="E14" i="3"/>
  <c r="E39" i="3"/>
  <c r="E18" i="3"/>
  <c r="E43" i="3"/>
  <c r="F63" i="3"/>
  <c r="F73" i="3"/>
  <c r="F15" i="3"/>
  <c r="F40" i="3"/>
  <c r="F19" i="3"/>
  <c r="F44" i="3"/>
  <c r="B51" i="2"/>
  <c r="F69" i="3"/>
  <c r="F79" i="3"/>
  <c r="C48" i="2"/>
  <c r="C82" i="2"/>
  <c r="C52" i="2"/>
  <c r="G15" i="1"/>
  <c r="D43" i="2"/>
  <c r="E43" i="2"/>
  <c r="G17" i="1"/>
  <c r="D45" i="2"/>
  <c r="E45" i="2"/>
  <c r="E26" i="1"/>
  <c r="E12" i="1"/>
  <c r="E18" i="1"/>
  <c r="E14" i="1"/>
  <c r="E22" i="1"/>
  <c r="G18" i="1"/>
  <c r="D46" i="2"/>
  <c r="E46" i="2"/>
  <c r="G19" i="1"/>
  <c r="D47" i="2"/>
  <c r="E47" i="2"/>
  <c r="E20" i="1"/>
  <c r="G28" i="1"/>
  <c r="D56" i="2"/>
  <c r="E56" i="2"/>
  <c r="G29" i="1"/>
  <c r="D57" i="2"/>
  <c r="E57" i="2"/>
  <c r="G30" i="1"/>
  <c r="D58" i="2"/>
  <c r="E58" i="2"/>
  <c r="E28" i="1"/>
  <c r="E66" i="3"/>
  <c r="F66" i="3"/>
  <c r="E74" i="3"/>
  <c r="F74" i="3"/>
  <c r="C65" i="2"/>
  <c r="C69" i="2"/>
  <c r="C43" i="2"/>
  <c r="C73" i="2"/>
  <c r="C47" i="2"/>
  <c r="C77" i="2"/>
  <c r="C51" i="2"/>
  <c r="C81" i="2"/>
  <c r="C55" i="2"/>
  <c r="E62" i="3"/>
  <c r="F62" i="3"/>
  <c r="E24" i="1"/>
  <c r="H31" i="1"/>
  <c r="F71" i="3"/>
  <c r="E70" i="3"/>
  <c r="F70" i="3"/>
  <c r="B46" i="2"/>
  <c r="B54" i="2"/>
  <c r="D32" i="1"/>
  <c r="E29" i="1"/>
  <c r="E27" i="1"/>
  <c r="E25" i="1"/>
  <c r="E23" i="1"/>
  <c r="E21" i="1"/>
  <c r="E19" i="1"/>
  <c r="E17" i="1"/>
  <c r="E15" i="1"/>
  <c r="E13" i="1"/>
  <c r="E11" i="1"/>
  <c r="E78" i="3"/>
  <c r="F78" i="3"/>
  <c r="F67" i="3"/>
  <c r="F75" i="3"/>
  <c r="C41" i="2"/>
  <c r="C45" i="2"/>
  <c r="C49" i="2"/>
  <c r="C53" i="2"/>
  <c r="C57" i="2"/>
  <c r="F65" i="3"/>
  <c r="B39" i="2"/>
  <c r="B43" i="2"/>
  <c r="B45" i="2"/>
  <c r="B49" i="2"/>
  <c r="B53" i="2"/>
  <c r="B57" i="2"/>
  <c r="C66" i="2"/>
  <c r="C72" i="2"/>
  <c r="C39" i="2"/>
  <c r="C76" i="2"/>
  <c r="C80" i="2"/>
  <c r="C84" i="2"/>
  <c r="C44" i="2"/>
  <c r="D40" i="2"/>
  <c r="E40" i="2"/>
  <c r="D44" i="2"/>
  <c r="E44" i="2"/>
  <c r="F18" i="3"/>
  <c r="F43" i="3"/>
  <c r="E36" i="3"/>
  <c r="F14" i="3"/>
  <c r="F39" i="3"/>
  <c r="I23" i="1"/>
  <c r="D23" i="2"/>
  <c r="G31" i="2"/>
  <c r="H31" i="2"/>
  <c r="G31" i="1"/>
  <c r="G32" i="1"/>
  <c r="E31" i="1"/>
  <c r="E32" i="1"/>
  <c r="I11" i="1"/>
  <c r="I27" i="1"/>
  <c r="D27" i="2"/>
  <c r="I17" i="1"/>
  <c r="D17" i="2"/>
  <c r="I25" i="1"/>
  <c r="D25" i="2"/>
  <c r="I29" i="1"/>
  <c r="D29" i="2"/>
  <c r="I15" i="1"/>
  <c r="D15" i="2"/>
  <c r="I19" i="1"/>
  <c r="D19" i="2"/>
  <c r="I21" i="1"/>
  <c r="D21" i="2"/>
  <c r="H32" i="1"/>
  <c r="I30" i="1"/>
  <c r="D30" i="2"/>
  <c r="I28" i="1"/>
  <c r="D28" i="2"/>
  <c r="I26" i="1"/>
  <c r="D26" i="2"/>
  <c r="I24" i="1"/>
  <c r="D24" i="2"/>
  <c r="G24" i="2"/>
  <c r="I22" i="1"/>
  <c r="D22" i="2"/>
  <c r="I20" i="1"/>
  <c r="D20" i="2"/>
  <c r="I18" i="1"/>
  <c r="D18" i="2"/>
  <c r="I16" i="1"/>
  <c r="D16" i="2"/>
  <c r="G16" i="2"/>
  <c r="I14" i="1"/>
  <c r="D14" i="2"/>
  <c r="I12" i="1"/>
  <c r="D12" i="2"/>
  <c r="I13" i="1"/>
  <c r="D13" i="2"/>
  <c r="G29" i="2"/>
  <c r="D59" i="2"/>
  <c r="E59" i="2"/>
  <c r="G14" i="2"/>
  <c r="G22" i="2"/>
  <c r="G30" i="2"/>
  <c r="G15" i="2"/>
  <c r="G27" i="2"/>
  <c r="G12" i="2"/>
  <c r="G20" i="2"/>
  <c r="G28" i="2"/>
  <c r="G19" i="2"/>
  <c r="G17" i="2"/>
  <c r="G13" i="2"/>
  <c r="G18" i="2"/>
  <c r="G26" i="2"/>
  <c r="G21" i="2"/>
  <c r="G25" i="2"/>
  <c r="G23" i="2"/>
  <c r="I31" i="2"/>
  <c r="I31" i="1"/>
  <c r="I32" i="1"/>
  <c r="D11" i="2"/>
  <c r="I25" i="2"/>
  <c r="I30" i="2"/>
  <c r="I14" i="2"/>
  <c r="I19" i="2"/>
  <c r="I24" i="2"/>
  <c r="I29" i="2"/>
  <c r="I13" i="2"/>
  <c r="I18" i="2"/>
  <c r="I23" i="2"/>
  <c r="I28" i="2"/>
  <c r="I12" i="2"/>
  <c r="I22" i="2"/>
  <c r="I27" i="2"/>
  <c r="I11" i="2"/>
  <c r="I21" i="2"/>
  <c r="I26" i="2"/>
  <c r="I32" i="2"/>
  <c r="I15" i="2"/>
  <c r="I20" i="2"/>
  <c r="G11" i="2"/>
  <c r="E26" i="3"/>
  <c r="K26" i="3"/>
  <c r="H26" i="3"/>
  <c r="E24" i="3"/>
  <c r="H24" i="3"/>
  <c r="K24" i="3"/>
  <c r="K11" i="3"/>
  <c r="H11" i="3"/>
  <c r="E28" i="3"/>
  <c r="H28" i="3"/>
  <c r="K28" i="3"/>
  <c r="E29" i="3"/>
  <c r="H29" i="3"/>
  <c r="K29" i="3"/>
  <c r="E30" i="3"/>
  <c r="K30" i="3"/>
  <c r="H30" i="3"/>
  <c r="E27" i="3"/>
  <c r="K27" i="3"/>
  <c r="H27" i="3"/>
  <c r="E23" i="3"/>
  <c r="K23" i="3"/>
  <c r="H23" i="3"/>
  <c r="E25" i="3"/>
  <c r="H25" i="3"/>
  <c r="K25" i="3"/>
  <c r="H15" i="3"/>
  <c r="K15" i="3"/>
  <c r="E20" i="3"/>
  <c r="H20" i="3"/>
  <c r="K20" i="3"/>
  <c r="E21" i="3"/>
  <c r="K21" i="3"/>
  <c r="H21" i="3"/>
  <c r="E22" i="3"/>
  <c r="H22" i="3"/>
  <c r="K22" i="3"/>
  <c r="H19" i="3"/>
  <c r="K19" i="3"/>
  <c r="K18" i="3"/>
  <c r="H18" i="3"/>
  <c r="H14" i="3"/>
  <c r="K14" i="3"/>
  <c r="K13" i="3"/>
  <c r="H13" i="3"/>
  <c r="E48" i="3"/>
  <c r="F23" i="3"/>
  <c r="F48" i="3"/>
  <c r="F27" i="3"/>
  <c r="F52" i="3"/>
  <c r="E52" i="3"/>
  <c r="F26" i="3"/>
  <c r="F51" i="3"/>
  <c r="E51" i="3"/>
  <c r="E47" i="3"/>
  <c r="F22" i="3"/>
  <c r="F47" i="3"/>
  <c r="F30" i="3"/>
  <c r="F55" i="3"/>
  <c r="E55" i="3"/>
  <c r="F20" i="3"/>
  <c r="F45" i="3"/>
  <c r="E45" i="3"/>
  <c r="E53" i="3"/>
  <c r="F28" i="3"/>
  <c r="F53" i="3"/>
  <c r="F21" i="3"/>
  <c r="F46" i="3"/>
  <c r="E46" i="3"/>
  <c r="F25" i="3"/>
  <c r="F50" i="3"/>
  <c r="E50" i="3"/>
  <c r="F29" i="3"/>
  <c r="F54" i="3"/>
  <c r="E54" i="3"/>
  <c r="F24" i="3"/>
  <c r="F49" i="3"/>
  <c r="E49" i="3"/>
  <c r="F55" i="2"/>
  <c r="I55" i="2"/>
  <c r="E81" i="2"/>
  <c r="F51" i="2"/>
  <c r="I51" i="2"/>
  <c r="E77" i="2"/>
  <c r="F47" i="2"/>
  <c r="I47" i="2"/>
  <c r="E73" i="2"/>
  <c r="F53" i="2"/>
  <c r="I53" i="2"/>
  <c r="E79" i="2"/>
  <c r="F57" i="2"/>
  <c r="I57" i="2"/>
  <c r="E83" i="2"/>
  <c r="F45" i="2"/>
  <c r="I45" i="2"/>
  <c r="E71" i="2"/>
  <c r="E31" i="2"/>
  <c r="F43" i="2"/>
  <c r="I43" i="2"/>
  <c r="E69" i="2"/>
  <c r="F49" i="2"/>
  <c r="I49" i="2"/>
  <c r="E75" i="2"/>
  <c r="F50" i="2"/>
  <c r="I50" i="2"/>
  <c r="E76" i="2"/>
  <c r="F48" i="2"/>
  <c r="I48" i="2"/>
  <c r="E74" i="2"/>
  <c r="F42" i="2"/>
  <c r="I42" i="2"/>
  <c r="E68" i="2"/>
  <c r="F40" i="2"/>
  <c r="I40" i="2"/>
  <c r="E66" i="2"/>
  <c r="F52" i="2"/>
  <c r="I52" i="2"/>
  <c r="E78" i="2"/>
  <c r="F54" i="2"/>
  <c r="I54" i="2"/>
  <c r="E80" i="2"/>
  <c r="F41" i="2"/>
  <c r="I41" i="2"/>
  <c r="F44" i="2"/>
  <c r="I44" i="2"/>
  <c r="E70" i="2"/>
  <c r="F58" i="2"/>
  <c r="I58" i="2"/>
  <c r="E84" i="2"/>
  <c r="F56" i="2"/>
  <c r="I56" i="2"/>
  <c r="E82" i="2"/>
  <c r="F46" i="2"/>
  <c r="I46" i="2"/>
  <c r="E72" i="2"/>
  <c r="H40" i="2"/>
  <c r="K40" i="2"/>
  <c r="D66" i="2"/>
  <c r="H56" i="2"/>
  <c r="K56" i="2"/>
  <c r="D82" i="2"/>
  <c r="F82" i="2"/>
  <c r="H82" i="2"/>
  <c r="L28" i="3"/>
  <c r="J53" i="3"/>
  <c r="D53" i="3"/>
  <c r="J46" i="3"/>
  <c r="D46" i="3"/>
  <c r="L21" i="3"/>
  <c r="H49" i="2"/>
  <c r="K49" i="2"/>
  <c r="D75" i="2"/>
  <c r="F75" i="2"/>
  <c r="H75" i="2"/>
  <c r="L18" i="3"/>
  <c r="J43" i="3"/>
  <c r="I27" i="3"/>
  <c r="I23" i="3"/>
  <c r="I19" i="3"/>
  <c r="L11" i="3"/>
  <c r="J36" i="3"/>
  <c r="D36" i="3"/>
  <c r="G36" i="3"/>
  <c r="K36" i="3"/>
  <c r="K62" i="3"/>
  <c r="I30" i="3"/>
  <c r="I26" i="3"/>
  <c r="I22" i="3"/>
  <c r="I18" i="3"/>
  <c r="I15" i="3"/>
  <c r="I11" i="3"/>
  <c r="I29" i="3"/>
  <c r="I25" i="3"/>
  <c r="I21" i="3"/>
  <c r="I14" i="3"/>
  <c r="I28" i="3"/>
  <c r="H39" i="2"/>
  <c r="I20" i="3"/>
  <c r="I24" i="3"/>
  <c r="I13" i="3"/>
  <c r="J52" i="3"/>
  <c r="L27" i="3"/>
  <c r="H55" i="2"/>
  <c r="K55" i="2"/>
  <c r="D81" i="2"/>
  <c r="F81" i="2"/>
  <c r="H81" i="2"/>
  <c r="F39" i="2"/>
  <c r="H52" i="2"/>
  <c r="K52" i="2"/>
  <c r="D78" i="2"/>
  <c r="F78" i="2"/>
  <c r="H78" i="2"/>
  <c r="L24" i="3"/>
  <c r="J49" i="3"/>
  <c r="D49" i="3"/>
  <c r="L14" i="3"/>
  <c r="H42" i="2"/>
  <c r="K42" i="2"/>
  <c r="D68" i="2"/>
  <c r="J39" i="3"/>
  <c r="L30" i="3"/>
  <c r="H58" i="2"/>
  <c r="K58" i="2"/>
  <c r="D84" i="2"/>
  <c r="F84" i="2"/>
  <c r="H84" i="2"/>
  <c r="J55" i="3"/>
  <c r="J48" i="3"/>
  <c r="L23" i="3"/>
  <c r="H51" i="2"/>
  <c r="K51" i="2"/>
  <c r="D77" i="2"/>
  <c r="F77" i="2"/>
  <c r="H77" i="2"/>
  <c r="H48" i="2"/>
  <c r="K48" i="2"/>
  <c r="D74" i="2"/>
  <c r="F74" i="2"/>
  <c r="H74" i="2"/>
  <c r="L20" i="3"/>
  <c r="J45" i="3"/>
  <c r="J38" i="3"/>
  <c r="L13" i="3"/>
  <c r="H41" i="2"/>
  <c r="K41" i="2"/>
  <c r="D67" i="2"/>
  <c r="J54" i="3"/>
  <c r="L29" i="3"/>
  <c r="H57" i="2"/>
  <c r="K57" i="2"/>
  <c r="D83" i="2"/>
  <c r="F83" i="2"/>
  <c r="H83" i="2"/>
  <c r="L26" i="3"/>
  <c r="H54" i="2"/>
  <c r="K54" i="2"/>
  <c r="D80" i="2"/>
  <c r="F80" i="2"/>
  <c r="H80" i="2"/>
  <c r="J51" i="3"/>
  <c r="J44" i="3"/>
  <c r="H47" i="2"/>
  <c r="K47" i="2"/>
  <c r="D73" i="2"/>
  <c r="F73" i="2"/>
  <c r="H73" i="2"/>
  <c r="L19" i="3"/>
  <c r="J50" i="3"/>
  <c r="L25" i="3"/>
  <c r="H53" i="2"/>
  <c r="K53" i="2"/>
  <c r="D79" i="2"/>
  <c r="F79" i="2"/>
  <c r="H79" i="2"/>
  <c r="L22" i="3"/>
  <c r="H50" i="2"/>
  <c r="K50" i="2"/>
  <c r="D76" i="2"/>
  <c r="F76" i="2"/>
  <c r="H76" i="2"/>
  <c r="J47" i="3"/>
  <c r="D47" i="3"/>
  <c r="L15" i="3"/>
  <c r="J40" i="3"/>
  <c r="H43" i="2"/>
  <c r="K43" i="2"/>
  <c r="D69" i="2"/>
  <c r="F69" i="2"/>
  <c r="H69" i="2"/>
  <c r="L50" i="3"/>
  <c r="G76" i="3"/>
  <c r="H76" i="3"/>
  <c r="H50" i="3"/>
  <c r="I50" i="3"/>
  <c r="L51" i="3"/>
  <c r="G77" i="3"/>
  <c r="H77" i="3"/>
  <c r="H51" i="3"/>
  <c r="I51" i="3"/>
  <c r="D40" i="3"/>
  <c r="G40" i="3"/>
  <c r="K40" i="3"/>
  <c r="L40" i="3"/>
  <c r="G66" i="3"/>
  <c r="H66" i="3"/>
  <c r="L54" i="3"/>
  <c r="G80" i="3"/>
  <c r="H80" i="3"/>
  <c r="H54" i="3"/>
  <c r="I54" i="3"/>
  <c r="L45" i="3"/>
  <c r="G71" i="3"/>
  <c r="H71" i="3"/>
  <c r="H45" i="3"/>
  <c r="I45" i="3"/>
  <c r="L55" i="3"/>
  <c r="G81" i="3"/>
  <c r="H81" i="3"/>
  <c r="H55" i="3"/>
  <c r="I55" i="3"/>
  <c r="L53" i="3"/>
  <c r="G79" i="3"/>
  <c r="H79" i="3"/>
  <c r="H53" i="3"/>
  <c r="I53" i="3"/>
  <c r="D51" i="3"/>
  <c r="D45" i="3"/>
  <c r="L48" i="3"/>
  <c r="G74" i="3"/>
  <c r="H74" i="3"/>
  <c r="H48" i="3"/>
  <c r="I48" i="3"/>
  <c r="L49" i="3"/>
  <c r="G75" i="3"/>
  <c r="H75" i="3"/>
  <c r="H49" i="3"/>
  <c r="I49" i="3"/>
  <c r="L52" i="3"/>
  <c r="G78" i="3"/>
  <c r="H78" i="3"/>
  <c r="H52" i="3"/>
  <c r="I52" i="3"/>
  <c r="L46" i="3"/>
  <c r="G72" i="3"/>
  <c r="H72" i="3"/>
  <c r="H46" i="3"/>
  <c r="I46" i="3"/>
  <c r="D52" i="3"/>
  <c r="D48" i="3"/>
  <c r="D50" i="3"/>
  <c r="L47" i="3"/>
  <c r="G73" i="3"/>
  <c r="H73" i="3"/>
  <c r="H47" i="3"/>
  <c r="I47" i="3"/>
  <c r="D54" i="3"/>
  <c r="D55" i="3"/>
  <c r="D44" i="3"/>
  <c r="G44" i="3"/>
  <c r="K44" i="3"/>
  <c r="L44" i="3"/>
  <c r="G70" i="3"/>
  <c r="H70" i="3"/>
  <c r="D43" i="3"/>
  <c r="G43" i="3"/>
  <c r="K43" i="3"/>
  <c r="L43" i="3"/>
  <c r="G69" i="3"/>
  <c r="H69" i="3"/>
  <c r="D39" i="3"/>
  <c r="G39" i="3"/>
  <c r="K39" i="3"/>
  <c r="L39" i="3"/>
  <c r="G65" i="3"/>
  <c r="D38" i="3"/>
  <c r="G38" i="3"/>
  <c r="K38" i="3"/>
  <c r="L38" i="3"/>
  <c r="G64" i="3"/>
  <c r="H64" i="3"/>
  <c r="F66" i="2"/>
  <c r="H66" i="2"/>
  <c r="F68" i="2"/>
  <c r="H68" i="2"/>
  <c r="L36" i="3"/>
  <c r="H36" i="3"/>
  <c r="F59" i="2"/>
  <c r="I39" i="2"/>
  <c r="K39" i="2"/>
  <c r="L77" i="3"/>
  <c r="L73" i="3"/>
  <c r="L75" i="3"/>
  <c r="L81" i="3"/>
  <c r="L72" i="3"/>
  <c r="L79" i="3"/>
  <c r="L80" i="3"/>
  <c r="K66" i="3"/>
  <c r="L66" i="3"/>
  <c r="H40" i="3"/>
  <c r="I40" i="3"/>
  <c r="L71" i="3"/>
  <c r="L78" i="3"/>
  <c r="L74" i="3"/>
  <c r="L76" i="3"/>
  <c r="I17" i="2"/>
  <c r="H44" i="3"/>
  <c r="I44" i="3"/>
  <c r="K70" i="3"/>
  <c r="L70" i="3"/>
  <c r="K69" i="3"/>
  <c r="L69" i="3"/>
  <c r="H43" i="3"/>
  <c r="I43" i="3"/>
  <c r="H65" i="3"/>
  <c r="K65" i="3"/>
  <c r="L65" i="3"/>
  <c r="H39" i="3"/>
  <c r="I39" i="3"/>
  <c r="H38" i="3"/>
  <c r="I38" i="3"/>
  <c r="K64" i="3"/>
  <c r="L64" i="3"/>
  <c r="I36" i="3"/>
  <c r="G62" i="3"/>
  <c r="D65" i="2"/>
  <c r="E65" i="2"/>
  <c r="I59" i="2"/>
  <c r="H12" i="3"/>
  <c r="I12" i="3"/>
  <c r="K12" i="3"/>
  <c r="L12" i="3"/>
  <c r="J37" i="3"/>
  <c r="D37" i="3"/>
  <c r="G37" i="3"/>
  <c r="K37" i="3"/>
  <c r="H46" i="2"/>
  <c r="K46" i="2"/>
  <c r="D72" i="2"/>
  <c r="F72" i="2"/>
  <c r="H72" i="2"/>
  <c r="E67" i="2"/>
  <c r="F67" i="2"/>
  <c r="H67" i="2"/>
  <c r="H17" i="3"/>
  <c r="I17" i="3"/>
  <c r="K17" i="3"/>
  <c r="L17" i="3"/>
  <c r="J42" i="3"/>
  <c r="D42" i="3"/>
  <c r="G42" i="3"/>
  <c r="K42" i="3"/>
  <c r="L62" i="3"/>
  <c r="H62" i="3"/>
  <c r="F65" i="2"/>
  <c r="H65" i="2"/>
  <c r="E85" i="2"/>
  <c r="L37" i="3"/>
  <c r="G63" i="3"/>
  <c r="H63" i="3"/>
  <c r="K63" i="3"/>
  <c r="H37" i="3"/>
  <c r="I37" i="3"/>
  <c r="H24" i="2"/>
  <c r="G52" i="2"/>
  <c r="J52" i="2"/>
  <c r="H23" i="2"/>
  <c r="G51" i="2"/>
  <c r="J51" i="2"/>
  <c r="H22" i="2"/>
  <c r="G50" i="2"/>
  <c r="J50" i="2"/>
  <c r="H21" i="2"/>
  <c r="G49" i="2"/>
  <c r="J49" i="2"/>
  <c r="H20" i="2"/>
  <c r="G48" i="2"/>
  <c r="J48" i="2"/>
  <c r="H19" i="2"/>
  <c r="H18" i="2"/>
  <c r="H17" i="2"/>
  <c r="H16" i="2"/>
  <c r="H15" i="2"/>
  <c r="G43" i="2"/>
  <c r="J43" i="2"/>
  <c r="H14" i="2"/>
  <c r="H13" i="2"/>
  <c r="H12" i="2"/>
  <c r="G41" i="2"/>
  <c r="J41" i="2"/>
  <c r="H11" i="2"/>
  <c r="G39" i="2"/>
  <c r="J39" i="2"/>
  <c r="H30" i="2"/>
  <c r="G58" i="2"/>
  <c r="J58" i="2"/>
  <c r="H29" i="2"/>
  <c r="G57" i="2"/>
  <c r="J57" i="2"/>
  <c r="H28" i="2"/>
  <c r="G56" i="2"/>
  <c r="J56" i="2"/>
  <c r="H27" i="2"/>
  <c r="G55" i="2"/>
  <c r="J55" i="2"/>
  <c r="H26" i="2"/>
  <c r="G54" i="2"/>
  <c r="J54" i="2"/>
  <c r="H25" i="2"/>
  <c r="G53" i="2"/>
  <c r="J53" i="2"/>
  <c r="L42" i="3"/>
  <c r="G68" i="3"/>
  <c r="H68" i="3"/>
  <c r="H42" i="3"/>
  <c r="I42" i="3"/>
  <c r="K68" i="3"/>
  <c r="G45" i="2"/>
  <c r="J45" i="2"/>
  <c r="G47" i="2"/>
  <c r="J47" i="2"/>
  <c r="G42" i="2"/>
  <c r="J42" i="2"/>
  <c r="G46" i="2"/>
  <c r="J46" i="2"/>
  <c r="G40" i="2"/>
  <c r="J40" i="2"/>
  <c r="L63" i="3"/>
  <c r="L68" i="3"/>
  <c r="F16" i="2"/>
  <c r="I16" i="2"/>
  <c r="H44" i="2"/>
  <c r="K44" i="2"/>
  <c r="D70" i="2"/>
  <c r="F31" i="2"/>
  <c r="F32" i="2"/>
  <c r="F70" i="2"/>
  <c r="H70" i="2"/>
  <c r="H16" i="3"/>
  <c r="I16" i="3"/>
  <c r="K16" i="3"/>
  <c r="L16" i="3"/>
  <c r="J41" i="3"/>
  <c r="D41" i="3"/>
  <c r="G41" i="3"/>
  <c r="K41" i="3"/>
  <c r="H45" i="2"/>
  <c r="L41" i="3"/>
  <c r="G67" i="3"/>
  <c r="H67" i="3"/>
  <c r="H41" i="3"/>
  <c r="I41" i="3"/>
  <c r="K67" i="3"/>
  <c r="H59" i="2"/>
  <c r="K45" i="2"/>
  <c r="K59" i="2"/>
  <c r="D71" i="2"/>
  <c r="L67" i="3"/>
  <c r="D31" i="2"/>
  <c r="F71" i="2"/>
  <c r="H71" i="2"/>
  <c r="G44" i="2"/>
  <c r="D85" i="2"/>
  <c r="F85" i="2"/>
  <c r="H85" i="2"/>
  <c r="J44" i="2"/>
  <c r="J59" i="2"/>
  <c r="G59" i="2"/>
</calcChain>
</file>

<file path=xl/comments1.xml><?xml version="1.0" encoding="utf-8"?>
<comments xmlns="http://schemas.openxmlformats.org/spreadsheetml/2006/main">
  <authors>
    <author>jcochrane</author>
  </authors>
  <commentList>
    <comment ref="D10" authorId="0">
      <text>
        <r>
          <rPr>
            <i/>
            <sz val="10"/>
            <color indexed="81"/>
            <rFont val="Arial"/>
            <family val="2"/>
          </rPr>
          <t>per row 35</t>
        </r>
      </text>
    </comment>
    <comment ref="F10" authorId="0">
      <text>
        <r>
          <rPr>
            <i/>
            <sz val="10"/>
            <color indexed="81"/>
            <rFont val="Arial"/>
            <family val="2"/>
          </rPr>
          <t xml:space="preserve">per row 19 </t>
        </r>
      </text>
    </comment>
    <comment ref="J10" authorId="0">
      <text>
        <r>
          <rPr>
            <i/>
            <sz val="10"/>
            <color indexed="81"/>
            <rFont val="Arial"/>
            <family val="2"/>
          </rPr>
          <t xml:space="preserve">per row 70 </t>
        </r>
      </text>
    </comment>
    <comment ref="D36" authorId="0">
      <text>
        <r>
          <rPr>
            <i/>
            <sz val="10"/>
            <color indexed="81"/>
            <rFont val="Arial"/>
            <family val="2"/>
          </rPr>
          <t>per row 14</t>
        </r>
      </text>
    </comment>
    <comment ref="E36" authorId="0">
      <text>
        <r>
          <rPr>
            <i/>
            <sz val="10"/>
            <color indexed="81"/>
            <rFont val="Arial"/>
            <family val="2"/>
          </rPr>
          <t>per row 16</t>
        </r>
      </text>
    </comment>
    <comment ref="F36" authorId="0">
      <text>
        <r>
          <rPr>
            <i/>
            <sz val="10"/>
            <color indexed="81"/>
            <rFont val="Arial"/>
            <family val="2"/>
          </rPr>
          <t>per row 17</t>
        </r>
      </text>
    </comment>
  </commentList>
</comments>
</file>

<file path=xl/sharedStrings.xml><?xml version="1.0" encoding="utf-8"?>
<sst xmlns="http://schemas.openxmlformats.org/spreadsheetml/2006/main" count="221" uniqueCount="97">
  <si>
    <t>Go to Overview</t>
  </si>
  <si>
    <t>REVENUE ALLOCATION (sheet O1)</t>
  </si>
  <si>
    <t>Customer Class Name</t>
  </si>
  <si>
    <t>Status</t>
  </si>
  <si>
    <t>Service Revenue Requirement</t>
  </si>
  <si>
    <t>%</t>
  </si>
  <si>
    <t>Miscellaneous Revenue (mi)</t>
  </si>
  <si>
    <t>Base Revenue Requirement *</t>
  </si>
  <si>
    <t>Revenue to Expenses %</t>
  </si>
  <si>
    <t>TOTAL (from Column C of sheet O1)</t>
  </si>
  <si>
    <t>  </t>
  </si>
  <si>
    <t>* Service Revenue Requirement less Miscellaneous Revenue</t>
  </si>
  <si>
    <t>CUSTOMER UNIT COST PER MONTH (sheet O2)</t>
  </si>
  <si>
    <t>Avoided Costs
(Minimum Charge)</t>
  </si>
  <si>
    <t>Directly Related</t>
  </si>
  <si>
    <t>Minimum System with PLCC * adjustment</t>
  </si>
  <si>
    <t>Existing
Fixed
Rate</t>
  </si>
  <si>
    <t>Maximum
Charge **</t>
  </si>
  <si>
    <t xml:space="preserve">  * PLCC = 'Peak Load Carrying Capability'</t>
  </si>
  <si>
    <t>** Greater of 'Directly Related', 'Minimum System with PLCC adjustment', and Existing Fixed Rate</t>
  </si>
  <si>
    <t>Base Revenue Requirement %</t>
  </si>
  <si>
    <r>
      <t>Base Revenue Requirement $</t>
    </r>
    <r>
      <rPr>
        <b/>
        <vertAlign val="superscript"/>
        <sz val="10"/>
        <rFont val="Arial"/>
        <family val="2"/>
      </rPr>
      <t xml:space="preserve"> 3</t>
    </r>
  </si>
  <si>
    <r>
      <t>Cost Allocation</t>
    </r>
    <r>
      <rPr>
        <b/>
        <vertAlign val="superscript"/>
        <sz val="10"/>
        <rFont val="Arial"/>
        <family val="2"/>
      </rPr>
      <t xml:space="preserve"> 1</t>
    </r>
  </si>
  <si>
    <r>
      <t>Existing
Rates</t>
    </r>
    <r>
      <rPr>
        <b/>
        <vertAlign val="superscript"/>
        <sz val="10"/>
        <rFont val="Arial"/>
        <family val="2"/>
      </rPr>
      <t xml:space="preserve"> 2</t>
    </r>
  </si>
  <si>
    <t>Rate Application</t>
  </si>
  <si>
    <t>Cost Allocation</t>
  </si>
  <si>
    <t>Existing
Rates</t>
  </si>
  <si>
    <t>TOTAL</t>
  </si>
  <si>
    <r>
      <t>1</t>
    </r>
    <r>
      <rPr>
        <i/>
        <vertAlign val="superscript"/>
        <sz val="8"/>
        <rFont val="Arial"/>
        <family val="2"/>
      </rPr>
      <t xml:space="preserve"> </t>
    </r>
    <r>
      <rPr>
        <i/>
        <sz val="8"/>
        <rFont val="Arial"/>
        <family val="2"/>
      </rPr>
      <t>from sheet F2</t>
    </r>
  </si>
  <si>
    <r>
      <t>2</t>
    </r>
    <r>
      <rPr>
        <i/>
        <vertAlign val="superscript"/>
        <sz val="8"/>
        <rFont val="Arial"/>
        <family val="2"/>
      </rPr>
      <t xml:space="preserve"> </t>
    </r>
    <r>
      <rPr>
        <i/>
        <sz val="8"/>
        <rFont val="Arial"/>
        <family val="2"/>
      </rPr>
      <t>from sheet C3</t>
    </r>
  </si>
  <si>
    <r>
      <t>3</t>
    </r>
    <r>
      <rPr>
        <i/>
        <sz val="8"/>
        <rFont val="Arial"/>
        <family val="2"/>
      </rPr>
      <t xml:space="preserve"> Base Revenue Requirement (from sheet F1), multiplied by Base Revenue Requirement %</t>
    </r>
  </si>
  <si>
    <r>
      <t xml:space="preserve">Revenue Offsets </t>
    </r>
    <r>
      <rPr>
        <b/>
        <vertAlign val="superscript"/>
        <sz val="10"/>
        <rFont val="Arial"/>
        <family val="2"/>
      </rPr>
      <t>4</t>
    </r>
  </si>
  <si>
    <t>Base Revenue Requirement $</t>
  </si>
  <si>
    <r>
      <t>Service Revenue Requirement $</t>
    </r>
    <r>
      <rPr>
        <b/>
        <vertAlign val="superscript"/>
        <sz val="10"/>
        <rFont val="Arial"/>
        <family val="2"/>
      </rPr>
      <t xml:space="preserve"> 5</t>
    </r>
  </si>
  <si>
    <t>$</t>
  </si>
  <si>
    <r>
      <t>4</t>
    </r>
    <r>
      <rPr>
        <i/>
        <sz val="8"/>
        <rFont val="Arial"/>
        <family val="2"/>
      </rPr>
      <t xml:space="preserve"> %s from sheet F2; total $ from sheet F1</t>
    </r>
  </si>
  <si>
    <r>
      <t xml:space="preserve">5 </t>
    </r>
    <r>
      <rPr>
        <i/>
        <sz val="8"/>
        <rFont val="Arial"/>
        <family val="2"/>
      </rPr>
      <t>Revenue Offsets plus Base Revenue Requirement</t>
    </r>
  </si>
  <si>
    <t>Target Range</t>
  </si>
  <si>
    <t>Cost
Allocation</t>
  </si>
  <si>
    <r>
      <t xml:space="preserve">Revenue to
Cost Ratio </t>
    </r>
    <r>
      <rPr>
        <b/>
        <vertAlign val="superscript"/>
        <sz val="10"/>
        <rFont val="Arial"/>
        <family val="2"/>
      </rPr>
      <t>6</t>
    </r>
  </si>
  <si>
    <r>
      <t xml:space="preserve">Revenue to
Cost Ratio </t>
    </r>
    <r>
      <rPr>
        <b/>
        <vertAlign val="superscript"/>
        <sz val="10"/>
        <rFont val="Arial"/>
        <family val="2"/>
      </rPr>
      <t>7</t>
    </r>
  </si>
  <si>
    <t>Variance</t>
  </si>
  <si>
    <t>Floor</t>
  </si>
  <si>
    <t>Celiling</t>
  </si>
  <si>
    <r>
      <t xml:space="preserve">6 </t>
    </r>
    <r>
      <rPr>
        <i/>
        <sz val="8"/>
        <rFont val="Arial"/>
        <family val="2"/>
      </rPr>
      <t>Rate Application value divided by Cost Allocation value</t>
    </r>
  </si>
  <si>
    <r>
      <t xml:space="preserve">7 </t>
    </r>
    <r>
      <rPr>
        <i/>
        <sz val="8"/>
        <rFont val="Arial"/>
        <family val="2"/>
      </rPr>
      <t>from sheet F2</t>
    </r>
  </si>
  <si>
    <t>Existing Rates (a)</t>
  </si>
  <si>
    <t>Cost Allocation - Minimum Fixed Rate (b)</t>
  </si>
  <si>
    <t>Cost Allocation - Maximun Fixed Rate (b)</t>
  </si>
  <si>
    <t>Rate</t>
  </si>
  <si>
    <t>Fixed %</t>
  </si>
  <si>
    <t>Variable %</t>
  </si>
  <si>
    <t>(a) per sheet C3</t>
  </si>
  <si>
    <r>
      <t>  </t>
    </r>
    <r>
      <rPr>
        <b/>
        <sz val="10"/>
        <rFont val="Arial"/>
        <family val="2"/>
      </rPr>
      <t>  </t>
    </r>
  </si>
  <si>
    <t>(b) Rates per sheet F2; %s based on # customers/connections (sheet C2) and Base Revenue Requirement allocated to class (sheet F3)</t>
  </si>
  <si>
    <t>    </t>
  </si>
  <si>
    <t>Existing Fixed/Variable Split (c)</t>
  </si>
  <si>
    <t>Fixed Rate</t>
  </si>
  <si>
    <t>Total (d)</t>
  </si>
  <si>
    <t>Fixed (e)</t>
  </si>
  <si>
    <t>Variable (f)</t>
  </si>
  <si>
    <t>(c) %s per Existing Rates, Rate based on Fixed % of Total Base Revenue allocated to class (4) and # customers/connections (sheet C2)</t>
  </si>
  <si>
    <t>(e) Based on Rate Application Fixed Rate and # customers/connections (sheet C2)</t>
  </si>
  <si>
    <t>(d) per sheet F3</t>
  </si>
  <si>
    <t>(f) Total amount (d) less Fixed amount (e)</t>
  </si>
  <si>
    <t>Transf. Allowance ($/kW):</t>
  </si>
  <si>
    <t>Gross $</t>
  </si>
  <si>
    <t>Resulting Variable</t>
  </si>
  <si>
    <t>Existing</t>
  </si>
  <si>
    <t>Base Revenue $</t>
  </si>
  <si>
    <t>kW</t>
  </si>
  <si>
    <t>Total $ (g)</t>
  </si>
  <si>
    <t>Variable (h)</t>
  </si>
  <si>
    <t>Rate (i)</t>
  </si>
  <si>
    <t>per</t>
  </si>
  <si>
    <t>Var. Rate (j)</t>
  </si>
  <si>
    <t>Fixed (k)</t>
  </si>
  <si>
    <t>Gross (l)</t>
  </si>
  <si>
    <t>(g) kW volume multiplied by Rate</t>
  </si>
  <si>
    <t>(k) per (e) above</t>
  </si>
  <si>
    <t>(h) Variable Base Revenue Requirement (f), plus total Transformer Allowances (g)</t>
  </si>
  <si>
    <t>(l) Gross Variable amount (h), plus Fixed Base Revenue (k)</t>
  </si>
  <si>
    <t>(i) Gross Variable amount $ (h), divided by test year volume (sheet C2)</t>
  </si>
  <si>
    <t>RateMaker 2011   release 1.0    © Elenchus Research Associates</t>
  </si>
  <si>
    <t>Residential</t>
  </si>
  <si>
    <t>Continued</t>
  </si>
  <si>
    <t>Unmetered Scattered Load</t>
  </si>
  <si>
    <t/>
  </si>
  <si>
    <t>kWh</t>
  </si>
  <si>
    <t> </t>
  </si>
  <si>
    <t>GS &lt;50</t>
  </si>
  <si>
    <t>GS 50 - 499 kW</t>
  </si>
  <si>
    <t>GS 500 kW - 4999 kW</t>
  </si>
  <si>
    <t>GS &gt;50-Intermediate</t>
  </si>
  <si>
    <t>Large Use &gt;5MW</t>
  </si>
  <si>
    <t>Street Light</t>
  </si>
  <si>
    <t>Sentinel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</si>
</sst>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409]mmmm\ d\,\ yyyy;@"/>
    <numFmt numFmtId="166" formatCode="_(&quot;$&quot;* #,##0.00_);_(&quot;$&quot;* \(#,##0.00\);_(&quot;$&quot;* &quot;-&quot;??_);_(@_)"/>
    <numFmt numFmtId="167" formatCode="&quot;$&quot;#,##0.0000_);\(&quot;$&quot;#,##0.0000\)"/>
    <numFmt numFmtId="168" formatCode="&quot;$&quot;#,##0.00_);\(&quot;$&quot;#,##0.00\)"/>
    <numFmt numFmtId="169" formatCode="0.00_);\(0.00\)"/>
    <numFmt numFmtId="170" formatCode="&quot;$&quot;#,##0_);\(&quot;$&quot;#,##0\)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color indexed="22"/>
      <name val="Arial"/>
      <family val="2"/>
    </font>
    <font>
      <sz val="8"/>
      <color indexed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0"/>
      <color indexed="8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u/>
      <sz val="7.5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ourier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</borders>
  <cellStyleXfs count="7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9" borderId="0" applyNumberFormat="0" applyBorder="0" applyAlignment="0" applyProtection="0"/>
    <xf numFmtId="0" fontId="25" fillId="26" borderId="63" applyNumberFormat="0" applyAlignment="0" applyProtection="0"/>
    <xf numFmtId="0" fontId="26" fillId="27" borderId="64" applyNumberFormat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8" fillId="10" borderId="0" applyNumberFormat="0" applyBorder="0" applyAlignment="0" applyProtection="0"/>
    <xf numFmtId="0" fontId="29" fillId="0" borderId="65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63" applyNumberFormat="0" applyAlignment="0" applyProtection="0"/>
    <xf numFmtId="0" fontId="31" fillId="0" borderId="66" applyNumberFormat="0" applyFill="0" applyAlignment="0" applyProtection="0"/>
    <xf numFmtId="0" fontId="3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3" fillId="0" borderId="0"/>
    <xf numFmtId="0" fontId="1" fillId="0" borderId="0"/>
    <xf numFmtId="0" fontId="2" fillId="0" borderId="0"/>
    <xf numFmtId="0" fontId="2" fillId="0" borderId="0"/>
    <xf numFmtId="0" fontId="2" fillId="29" borderId="67" applyNumberFormat="0" applyFont="0" applyAlignment="0" applyProtection="0"/>
    <xf numFmtId="0" fontId="34" fillId="26" borderId="68" applyNumberFormat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36" fillId="0" borderId="0" applyNumberFormat="0" applyFill="0" applyBorder="0" applyAlignment="0" applyProtection="0"/>
    <xf numFmtId="0" fontId="2" fillId="0" borderId="69" applyNumberFormat="0" applyFont="0" applyBorder="0" applyAlignment="0" applyProtection="0"/>
    <xf numFmtId="0" fontId="37" fillId="0" borderId="0" applyNumberFormat="0" applyFill="0" applyBorder="0" applyAlignment="0" applyProtection="0"/>
  </cellStyleXfs>
  <cellXfs count="351">
    <xf numFmtId="0" fontId="0" fillId="0" borderId="0" xfId="0"/>
    <xf numFmtId="0" fontId="3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7" fontId="3" fillId="0" borderId="0" xfId="1" applyNumberFormat="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2" borderId="0" xfId="0" applyFill="1"/>
    <xf numFmtId="0" fontId="5" fillId="2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37" fontId="6" fillId="0" borderId="0" xfId="1" applyNumberFormat="1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37" fontId="7" fillId="0" borderId="0" xfId="1" applyNumberFormat="1" applyFont="1" applyBorder="1" applyAlignment="1" applyProtection="1">
      <alignment vertical="center" wrapText="1"/>
    </xf>
    <xf numFmtId="165" fontId="7" fillId="0" borderId="0" xfId="0" applyNumberFormat="1" applyFont="1" applyBorder="1" applyAlignment="1" applyProtection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0" fillId="2" borderId="1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center"/>
    </xf>
    <xf numFmtId="37" fontId="2" fillId="0" borderId="0" xfId="1" applyNumberForma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37" fontId="6" fillId="2" borderId="0" xfId="1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37" fontId="8" fillId="2" borderId="0" xfId="1" applyNumberFormat="1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/>
    <xf numFmtId="0" fontId="11" fillId="3" borderId="2" xfId="0" applyFont="1" applyFill="1" applyBorder="1" applyAlignment="1" applyProtection="1">
      <alignment vertical="center"/>
    </xf>
    <xf numFmtId="0" fontId="11" fillId="3" borderId="3" xfId="0" applyFont="1" applyFill="1" applyBorder="1" applyAlignment="1">
      <alignment vertical="center"/>
    </xf>
    <xf numFmtId="164" fontId="11" fillId="0" borderId="4" xfId="1" applyFont="1" applyFill="1" applyBorder="1" applyAlignment="1" applyProtection="1">
      <alignment horizontal="left" vertical="center"/>
    </xf>
    <xf numFmtId="164" fontId="11" fillId="0" borderId="5" xfId="1" applyFont="1" applyFill="1" applyBorder="1" applyAlignment="1" applyProtection="1">
      <alignment horizontal="left" vertical="center"/>
    </xf>
    <xf numFmtId="164" fontId="11" fillId="0" borderId="6" xfId="1" applyFont="1" applyFill="1" applyBorder="1" applyAlignment="1" applyProtection="1">
      <alignment horizontal="center" vertical="center"/>
    </xf>
    <xf numFmtId="164" fontId="11" fillId="0" borderId="4" xfId="1" applyFont="1" applyFill="1" applyBorder="1" applyAlignment="1" applyProtection="1">
      <alignment horizontal="right" vertical="center"/>
    </xf>
    <xf numFmtId="164" fontId="11" fillId="0" borderId="7" xfId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top"/>
    </xf>
    <xf numFmtId="0" fontId="11" fillId="3" borderId="9" xfId="0" applyFont="1" applyFill="1" applyBorder="1" applyAlignment="1">
      <alignment vertical="center"/>
    </xf>
    <xf numFmtId="39" fontId="11" fillId="0" borderId="10" xfId="1" applyNumberFormat="1" applyFont="1" applyFill="1" applyBorder="1" applyAlignment="1" applyProtection="1">
      <alignment horizontal="center" vertical="center" wrapText="1"/>
    </xf>
    <xf numFmtId="39" fontId="11" fillId="0" borderId="11" xfId="1" applyNumberFormat="1" applyFont="1" applyFill="1" applyBorder="1" applyAlignment="1" applyProtection="1">
      <alignment horizontal="center" vertical="center" wrapText="1"/>
    </xf>
    <xf numFmtId="164" fontId="11" fillId="0" borderId="10" xfId="1" applyFont="1" applyFill="1" applyBorder="1" applyAlignment="1" applyProtection="1">
      <alignment horizontal="center" vertical="center" wrapText="1"/>
    </xf>
    <xf numFmtId="164" fontId="11" fillId="0" borderId="12" xfId="1" applyFont="1" applyFill="1" applyBorder="1" applyAlignment="1" applyProtection="1">
      <alignment horizontal="center" vertical="center" wrapText="1"/>
    </xf>
    <xf numFmtId="39" fontId="11" fillId="0" borderId="13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vertical="center"/>
    </xf>
    <xf numFmtId="0" fontId="0" fillId="0" borderId="15" xfId="0" applyFill="1" applyBorder="1" applyAlignment="1">
      <alignment vertical="center"/>
    </xf>
    <xf numFmtId="37" fontId="2" fillId="4" borderId="16" xfId="1" applyNumberFormat="1" applyFill="1" applyBorder="1" applyAlignment="1" applyProtection="1">
      <alignment vertical="center"/>
    </xf>
    <xf numFmtId="10" fontId="2" fillId="0" borderId="17" xfId="2" applyNumberFormat="1" applyFill="1" applyBorder="1" applyAlignment="1" applyProtection="1">
      <alignment vertical="center"/>
    </xf>
    <xf numFmtId="37" fontId="2" fillId="4" borderId="16" xfId="1" applyNumberFormat="1" applyFont="1" applyFill="1" applyBorder="1" applyAlignment="1" applyProtection="1">
      <alignment vertical="center"/>
    </xf>
    <xf numFmtId="10" fontId="2" fillId="0" borderId="18" xfId="2" applyNumberFormat="1" applyFont="1" applyFill="1" applyBorder="1" applyAlignment="1" applyProtection="1">
      <alignment vertical="center"/>
    </xf>
    <xf numFmtId="37" fontId="2" fillId="0" borderId="19" xfId="1" applyNumberFormat="1" applyFill="1" applyBorder="1" applyAlignment="1" applyProtection="1">
      <alignment vertical="center"/>
    </xf>
    <xf numFmtId="10" fontId="2" fillId="4" borderId="20" xfId="0" applyNumberFormat="1" applyFont="1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2" xfId="0" applyFill="1" applyBorder="1" applyAlignment="1">
      <alignment vertical="center"/>
    </xf>
    <xf numFmtId="37" fontId="2" fillId="4" borderId="23" xfId="1" applyNumberFormat="1" applyFill="1" applyBorder="1" applyAlignment="1" applyProtection="1">
      <alignment vertical="center"/>
    </xf>
    <xf numFmtId="10" fontId="2" fillId="0" borderId="24" xfId="2" applyNumberFormat="1" applyFill="1" applyBorder="1" applyAlignment="1" applyProtection="1">
      <alignment vertical="center"/>
    </xf>
    <xf numFmtId="37" fontId="2" fillId="4" borderId="23" xfId="1" applyNumberFormat="1" applyFont="1" applyFill="1" applyBorder="1" applyAlignment="1" applyProtection="1">
      <alignment vertical="center"/>
    </xf>
    <xf numFmtId="10" fontId="2" fillId="0" borderId="25" xfId="2" applyNumberFormat="1" applyFont="1" applyFill="1" applyBorder="1" applyAlignment="1" applyProtection="1">
      <alignment vertical="center"/>
    </xf>
    <xf numFmtId="37" fontId="2" fillId="0" borderId="26" xfId="1" applyNumberFormat="1" applyFill="1" applyBorder="1" applyAlignment="1" applyProtection="1">
      <alignment vertical="center"/>
    </xf>
    <xf numFmtId="10" fontId="2" fillId="4" borderId="27" xfId="0" applyNumberFormat="1" applyFont="1" applyFill="1" applyBorder="1" applyAlignment="1" applyProtection="1">
      <alignment vertical="center"/>
    </xf>
    <xf numFmtId="0" fontId="0" fillId="2" borderId="1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0" fontId="2" fillId="0" borderId="24" xfId="2" applyNumberFormat="1" applyFill="1" applyBorder="1" applyAlignment="1">
      <alignment vertical="center"/>
    </xf>
    <xf numFmtId="10" fontId="2" fillId="0" borderId="25" xfId="2" applyNumberFormat="1" applyFont="1" applyFill="1" applyBorder="1" applyAlignment="1">
      <alignment vertical="center"/>
    </xf>
    <xf numFmtId="37" fontId="2" fillId="0" borderId="26" xfId="1" applyNumberForma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37" fontId="2" fillId="4" borderId="30" xfId="1" applyNumberFormat="1" applyFill="1" applyBorder="1" applyAlignment="1" applyProtection="1">
      <alignment vertical="center"/>
    </xf>
    <xf numFmtId="10" fontId="2" fillId="0" borderId="31" xfId="2" applyNumberFormat="1" applyFill="1" applyBorder="1" applyAlignment="1">
      <alignment vertical="center"/>
    </xf>
    <xf numFmtId="37" fontId="2" fillId="4" borderId="30" xfId="1" applyNumberFormat="1" applyFont="1" applyFill="1" applyBorder="1" applyAlignment="1" applyProtection="1">
      <alignment vertical="center"/>
    </xf>
    <xf numFmtId="10" fontId="2" fillId="0" borderId="32" xfId="2" applyNumberFormat="1" applyFont="1" applyFill="1" applyBorder="1" applyAlignment="1">
      <alignment vertical="center"/>
    </xf>
    <xf numFmtId="37" fontId="2" fillId="0" borderId="33" xfId="1" applyNumberFormat="1" applyFill="1" applyBorder="1" applyAlignment="1">
      <alignment vertical="center"/>
    </xf>
    <xf numFmtId="10" fontId="2" fillId="4" borderId="34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left" vertical="center" indent="1"/>
    </xf>
    <xf numFmtId="0" fontId="0" fillId="0" borderId="7" xfId="0" applyFill="1" applyBorder="1" applyAlignment="1">
      <alignment vertical="center"/>
    </xf>
    <xf numFmtId="37" fontId="11" fillId="4" borderId="10" xfId="1" applyNumberFormat="1" applyFont="1" applyFill="1" applyBorder="1" applyAlignment="1" applyProtection="1">
      <alignment vertical="center" wrapText="1"/>
    </xf>
    <xf numFmtId="10" fontId="11" fillId="0" borderId="11" xfId="1" applyNumberFormat="1" applyFont="1" applyFill="1" applyBorder="1" applyAlignment="1" applyProtection="1">
      <alignment vertical="center" wrapText="1"/>
    </xf>
    <xf numFmtId="10" fontId="11" fillId="0" borderId="12" xfId="2" applyNumberFormat="1" applyFont="1" applyFill="1" applyBorder="1" applyAlignment="1" applyProtection="1">
      <alignment vertical="center"/>
    </xf>
    <xf numFmtId="37" fontId="11" fillId="0" borderId="13" xfId="1" applyNumberFormat="1" applyFont="1" applyFill="1" applyBorder="1" applyAlignment="1" applyProtection="1">
      <alignment vertical="center" wrapText="1"/>
    </xf>
    <xf numFmtId="10" fontId="11" fillId="4" borderId="4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37" fontId="11" fillId="5" borderId="10" xfId="1" applyNumberFormat="1" applyFont="1" applyFill="1" applyBorder="1" applyAlignment="1" applyProtection="1">
      <alignment horizontal="center" vertical="center" wrapText="1"/>
    </xf>
    <xf numFmtId="37" fontId="11" fillId="5" borderId="11" xfId="1" applyNumberFormat="1" applyFont="1" applyFill="1" applyBorder="1" applyAlignment="1" applyProtection="1">
      <alignment horizontal="center" vertical="center" wrapText="1"/>
    </xf>
    <xf numFmtId="37" fontId="11" fillId="5" borderId="35" xfId="1" applyNumberFormat="1" applyFont="1" applyFill="1" applyBorder="1" applyAlignment="1" applyProtection="1">
      <alignment horizontal="center" vertical="center" wrapText="1"/>
    </xf>
    <xf numFmtId="37" fontId="11" fillId="5" borderId="36" xfId="1" applyNumberFormat="1" applyFont="1" applyFill="1" applyBorder="1" applyAlignment="1" applyProtection="1">
      <alignment horizontal="center" vertical="center" wrapText="1"/>
    </xf>
    <xf numFmtId="37" fontId="11" fillId="5" borderId="12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/>
    <xf numFmtId="0" fontId="12" fillId="0" borderId="0" xfId="0" applyFont="1" applyFill="1" applyAlignment="1">
      <alignment vertical="center"/>
    </xf>
    <xf numFmtId="37" fontId="1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/>
    </xf>
    <xf numFmtId="37" fontId="2" fillId="0" borderId="0" xfId="1" applyNumberForma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vertical="center"/>
    </xf>
    <xf numFmtId="0" fontId="0" fillId="0" borderId="37" xfId="0" applyFill="1" applyBorder="1" applyAlignment="1">
      <alignment vertical="center"/>
    </xf>
    <xf numFmtId="166" fontId="11" fillId="0" borderId="4" xfId="1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37" fontId="2" fillId="0" borderId="5" xfId="1" applyNumberFormat="1" applyFill="1" applyBorder="1" applyAlignment="1" applyProtection="1">
      <alignment vertical="center"/>
    </xf>
    <xf numFmtId="0" fontId="14" fillId="0" borderId="38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>
      <alignment vertical="center"/>
    </xf>
    <xf numFmtId="164" fontId="11" fillId="0" borderId="39" xfId="1" applyFont="1" applyFill="1" applyBorder="1" applyAlignment="1" applyProtection="1">
      <alignment horizontal="center" vertical="center" wrapText="1"/>
    </xf>
    <xf numFmtId="164" fontId="11" fillId="0" borderId="8" xfId="1" applyFont="1" applyFill="1" applyBorder="1" applyAlignment="1" applyProtection="1">
      <alignment horizontal="center" vertical="center" wrapText="1"/>
    </xf>
    <xf numFmtId="164" fontId="11" fillId="0" borderId="6" xfId="1" applyFont="1" applyFill="1" applyBorder="1" applyAlignment="1" applyProtection="1">
      <alignment horizontal="center" vertical="center" wrapText="1"/>
    </xf>
    <xf numFmtId="167" fontId="11" fillId="0" borderId="5" xfId="1" applyNumberFormat="1" applyFont="1" applyFill="1" applyBorder="1" applyAlignment="1" applyProtection="1">
      <alignment horizontal="center" vertical="center" wrapText="1"/>
    </xf>
    <xf numFmtId="167" fontId="11" fillId="0" borderId="6" xfId="1" applyNumberFormat="1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 vertical="top" wrapText="1"/>
    </xf>
    <xf numFmtId="168" fontId="2" fillId="4" borderId="40" xfId="1" applyNumberFormat="1" applyFill="1" applyBorder="1" applyAlignment="1" applyProtection="1">
      <alignment vertical="center"/>
    </xf>
    <xf numFmtId="168" fontId="2" fillId="4" borderId="21" xfId="1" applyNumberFormat="1" applyFill="1" applyBorder="1" applyAlignment="1" applyProtection="1">
      <alignment vertical="center"/>
    </xf>
    <xf numFmtId="168" fontId="2" fillId="4" borderId="22" xfId="1" applyNumberFormat="1" applyFill="1" applyBorder="1" applyAlignment="1" applyProtection="1">
      <alignment vertical="center"/>
    </xf>
    <xf numFmtId="168" fontId="2" fillId="0" borderId="42" xfId="1" applyNumberFormat="1" applyFill="1" applyBorder="1" applyAlignment="1" applyProtection="1">
      <alignment vertical="center"/>
    </xf>
    <xf numFmtId="168" fontId="15" fillId="0" borderId="38" xfId="0" applyNumberFormat="1" applyFont="1" applyFill="1" applyBorder="1" applyAlignment="1" applyProtection="1">
      <alignment vertical="center"/>
    </xf>
    <xf numFmtId="168" fontId="2" fillId="0" borderId="22" xfId="1" applyNumberFormat="1" applyFill="1" applyBorder="1" applyAlignment="1" applyProtection="1">
      <alignment vertical="center"/>
    </xf>
    <xf numFmtId="168" fontId="2" fillId="0" borderId="21" xfId="1" applyNumberFormat="1" applyFill="1" applyBorder="1" applyAlignment="1">
      <alignment vertical="center"/>
    </xf>
    <xf numFmtId="168" fontId="2" fillId="0" borderId="22" xfId="1" applyNumberFormat="1" applyFill="1" applyBorder="1" applyAlignment="1">
      <alignment vertical="center"/>
    </xf>
    <xf numFmtId="168" fontId="15" fillId="0" borderId="3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8" fontId="2" fillId="4" borderId="43" xfId="1" applyNumberFormat="1" applyFill="1" applyBorder="1" applyAlignment="1" applyProtection="1">
      <alignment vertical="center"/>
    </xf>
    <xf numFmtId="168" fontId="2" fillId="4" borderId="28" xfId="1" applyNumberFormat="1" applyFill="1" applyBorder="1" applyAlignment="1" applyProtection="1">
      <alignment vertical="center"/>
    </xf>
    <xf numFmtId="168" fontId="2" fillId="4" borderId="29" xfId="1" applyNumberFormat="1" applyFill="1" applyBorder="1" applyAlignment="1" applyProtection="1">
      <alignment vertical="center"/>
    </xf>
    <xf numFmtId="0" fontId="0" fillId="0" borderId="44" xfId="0" applyFill="1" applyBorder="1" applyAlignment="1">
      <alignment vertical="center"/>
    </xf>
    <xf numFmtId="168" fontId="2" fillId="4" borderId="45" xfId="1" applyNumberFormat="1" applyFill="1" applyBorder="1" applyAlignment="1" applyProtection="1">
      <alignment vertical="center"/>
    </xf>
    <xf numFmtId="168" fontId="2" fillId="4" borderId="46" xfId="1" applyNumberFormat="1" applyFill="1" applyBorder="1" applyAlignment="1" applyProtection="1">
      <alignment vertical="center"/>
    </xf>
    <xf numFmtId="168" fontId="2" fillId="4" borderId="44" xfId="1" applyNumberFormat="1" applyFill="1" applyBorder="1" applyAlignment="1" applyProtection="1">
      <alignment vertical="center"/>
    </xf>
    <xf numFmtId="168" fontId="2" fillId="0" borderId="46" xfId="1" applyNumberFormat="1" applyFill="1" applyBorder="1" applyAlignment="1">
      <alignment vertical="center"/>
    </xf>
    <xf numFmtId="168" fontId="2" fillId="0" borderId="44" xfId="1" applyNumberFormat="1" applyFill="1" applyBorder="1" applyAlignment="1">
      <alignment vertical="center"/>
    </xf>
    <xf numFmtId="0" fontId="16" fillId="2" borderId="1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Alignment="1">
      <alignment vertical="center"/>
    </xf>
    <xf numFmtId="37" fontId="16" fillId="0" borderId="0" xfId="1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 indent="1"/>
    </xf>
    <xf numFmtId="0" fontId="0" fillId="0" borderId="0" xfId="0" applyProtection="1"/>
    <xf numFmtId="0" fontId="0" fillId="0" borderId="0" xfId="0" applyBorder="1" applyProtection="1"/>
    <xf numFmtId="0" fontId="11" fillId="3" borderId="47" xfId="0" applyFont="1" applyFill="1" applyBorder="1" applyAlignment="1">
      <alignment vertical="center"/>
    </xf>
    <xf numFmtId="37" fontId="11" fillId="0" borderId="4" xfId="0" applyNumberFormat="1" applyFont="1" applyFill="1" applyBorder="1" applyAlignment="1" applyProtection="1">
      <alignment vertical="center"/>
    </xf>
    <xf numFmtId="37" fontId="11" fillId="0" borderId="7" xfId="0" applyNumberFormat="1" applyFont="1" applyFill="1" applyBorder="1" applyAlignment="1" applyProtection="1">
      <alignment horizontal="center" vertical="center"/>
    </xf>
    <xf numFmtId="10" fontId="11" fillId="0" borderId="5" xfId="2" applyNumberFormat="1" applyFont="1" applyFill="1" applyBorder="1" applyAlignment="1" applyProtection="1">
      <alignment vertical="center"/>
    </xf>
    <xf numFmtId="10" fontId="11" fillId="0" borderId="7" xfId="2" applyNumberFormat="1" applyFont="1" applyFill="1" applyBorder="1" applyAlignment="1" applyProtection="1">
      <alignment vertical="center"/>
    </xf>
    <xf numFmtId="0" fontId="11" fillId="0" borderId="3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3" borderId="48" xfId="0" applyFont="1" applyFill="1" applyBorder="1" applyAlignment="1">
      <alignment vertical="top"/>
    </xf>
    <xf numFmtId="0" fontId="11" fillId="0" borderId="10" xfId="0" applyFont="1" applyFill="1" applyBorder="1" applyAlignment="1" applyProtection="1">
      <alignment horizontal="center" wrapText="1"/>
    </xf>
    <xf numFmtId="0" fontId="11" fillId="0" borderId="49" xfId="0" applyFont="1" applyFill="1" applyBorder="1" applyAlignment="1" applyProtection="1">
      <alignment horizontal="center" wrapText="1"/>
    </xf>
    <xf numFmtId="10" fontId="11" fillId="0" borderId="11" xfId="2" applyNumberFormat="1" applyFont="1" applyFill="1" applyBorder="1" applyAlignment="1" applyProtection="1">
      <alignment horizontal="center" wrapText="1"/>
    </xf>
    <xf numFmtId="10" fontId="11" fillId="0" borderId="12" xfId="2" applyNumberFormat="1" applyFont="1" applyFill="1" applyBorder="1" applyAlignment="1" applyProtection="1">
      <alignment horizontal="center" wrapText="1"/>
    </xf>
    <xf numFmtId="0" fontId="11" fillId="0" borderId="38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10" fontId="0" fillId="0" borderId="50" xfId="0" applyNumberFormat="1" applyBorder="1" applyProtection="1"/>
    <xf numFmtId="37" fontId="0" fillId="0" borderId="50" xfId="0" applyNumberFormat="1" applyBorder="1" applyProtection="1"/>
    <xf numFmtId="37" fontId="0" fillId="0" borderId="51" xfId="0" applyNumberFormat="1" applyBorder="1" applyProtection="1"/>
    <xf numFmtId="37" fontId="0" fillId="0" borderId="38" xfId="0" applyNumberFormat="1" applyBorder="1" applyProtection="1"/>
    <xf numFmtId="37" fontId="0" fillId="0" borderId="0" xfId="0" applyNumberFormat="1" applyBorder="1" applyProtection="1"/>
    <xf numFmtId="10" fontId="0" fillId="0" borderId="23" xfId="0" applyNumberFormat="1" applyBorder="1" applyProtection="1"/>
    <xf numFmtId="10" fontId="2" fillId="0" borderId="54" xfId="2" applyNumberFormat="1" applyBorder="1" applyProtection="1"/>
    <xf numFmtId="10" fontId="0" fillId="4" borderId="24" xfId="0" applyNumberFormat="1" applyFill="1" applyBorder="1" applyProtection="1"/>
    <xf numFmtId="37" fontId="0" fillId="0" borderId="23" xfId="0" applyNumberFormat="1" applyBorder="1" applyProtection="1"/>
    <xf numFmtId="37" fontId="0" fillId="0" borderId="54" xfId="0" applyNumberFormat="1" applyBorder="1" applyProtection="1"/>
    <xf numFmtId="10" fontId="0" fillId="0" borderId="23" xfId="0" applyNumberFormat="1" applyBorder="1"/>
    <xf numFmtId="10" fontId="2" fillId="0" borderId="54" xfId="2" applyNumberFormat="1" applyBorder="1"/>
    <xf numFmtId="37" fontId="0" fillId="0" borderId="23" xfId="0" applyNumberFormat="1" applyBorder="1"/>
    <xf numFmtId="37" fontId="0" fillId="0" borderId="54" xfId="0" applyNumberFormat="1" applyBorder="1"/>
    <xf numFmtId="37" fontId="0" fillId="0" borderId="38" xfId="0" applyNumberFormat="1" applyBorder="1"/>
    <xf numFmtId="37" fontId="0" fillId="0" borderId="0" xfId="0" applyNumberFormat="1" applyBorder="1"/>
    <xf numFmtId="10" fontId="0" fillId="0" borderId="55" xfId="0" applyNumberFormat="1" applyBorder="1"/>
    <xf numFmtId="10" fontId="2" fillId="0" borderId="56" xfId="2" applyNumberFormat="1" applyBorder="1"/>
    <xf numFmtId="10" fontId="0" fillId="4" borderId="57" xfId="0" applyNumberFormat="1" applyFill="1" applyBorder="1" applyProtection="1"/>
    <xf numFmtId="37" fontId="0" fillId="0" borderId="55" xfId="0" applyNumberFormat="1" applyBorder="1"/>
    <xf numFmtId="37" fontId="0" fillId="0" borderId="56" xfId="0" applyNumberFormat="1" applyBorder="1"/>
    <xf numFmtId="0" fontId="11" fillId="0" borderId="7" xfId="0" applyFont="1" applyFill="1" applyBorder="1" applyAlignment="1" applyProtection="1">
      <alignment horizontal="left" vertical="center" indent="1"/>
    </xf>
    <xf numFmtId="0" fontId="11" fillId="0" borderId="7" xfId="0" applyFont="1" applyFill="1" applyBorder="1" applyAlignment="1">
      <alignment vertical="center"/>
    </xf>
    <xf numFmtId="10" fontId="11" fillId="0" borderId="10" xfId="0" applyNumberFormat="1" applyFont="1" applyBorder="1" applyProtection="1"/>
    <xf numFmtId="10" fontId="11" fillId="0" borderId="49" xfId="0" applyNumberFormat="1" applyFont="1" applyBorder="1" applyProtection="1"/>
    <xf numFmtId="10" fontId="11" fillId="0" borderId="11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49" xfId="0" applyNumberFormat="1" applyFont="1" applyBorder="1" applyProtection="1"/>
    <xf numFmtId="37" fontId="11" fillId="0" borderId="12" xfId="0" applyNumberFormat="1" applyFont="1" applyBorder="1" applyProtection="1"/>
    <xf numFmtId="37" fontId="11" fillId="0" borderId="38" xfId="0" applyNumberFormat="1" applyFont="1" applyBorder="1" applyProtection="1"/>
    <xf numFmtId="37" fontId="11" fillId="0" borderId="0" xfId="0" applyNumberFormat="1" applyFont="1" applyBorder="1" applyProtection="1"/>
    <xf numFmtId="0" fontId="11" fillId="5" borderId="0" xfId="0" applyFont="1" applyFill="1" applyAlignment="1" applyProtection="1">
      <alignment horizontal="center"/>
    </xf>
    <xf numFmtId="0" fontId="9" fillId="2" borderId="1" xfId="3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2" fillId="0" borderId="0" xfId="0" applyFont="1" applyProtection="1"/>
    <xf numFmtId="0" fontId="12" fillId="0" borderId="0" xfId="0" applyFont="1" applyBorder="1" applyProtection="1"/>
    <xf numFmtId="37" fontId="11" fillId="0" borderId="4" xfId="0" applyNumberFormat="1" applyFont="1" applyFill="1" applyBorder="1" applyAlignment="1" applyProtection="1">
      <alignment horizontal="left" vertical="center" indent="3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vertical="center"/>
    </xf>
    <xf numFmtId="0" fontId="2" fillId="0" borderId="42" xfId="0" applyFont="1" applyFill="1" applyBorder="1" applyAlignment="1">
      <alignment vertical="center"/>
    </xf>
    <xf numFmtId="10" fontId="2" fillId="0" borderId="50" xfId="0" applyNumberFormat="1" applyFont="1" applyBorder="1" applyProtection="1"/>
    <xf numFmtId="37" fontId="2" fillId="0" borderId="52" xfId="0" applyNumberFormat="1" applyFont="1" applyBorder="1" applyProtection="1"/>
    <xf numFmtId="37" fontId="2" fillId="0" borderId="50" xfId="0" applyNumberFormat="1" applyFont="1" applyBorder="1" applyProtection="1"/>
    <xf numFmtId="37" fontId="2" fillId="0" borderId="51" xfId="0" applyNumberFormat="1" applyFont="1" applyBorder="1" applyProtection="1"/>
    <xf numFmtId="0" fontId="2" fillId="0" borderId="21" xfId="0" applyFont="1" applyFill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10" fontId="2" fillId="0" borderId="23" xfId="0" applyNumberFormat="1" applyFont="1" applyBorder="1" applyProtection="1"/>
    <xf numFmtId="37" fontId="2" fillId="0" borderId="24" xfId="0" applyNumberFormat="1" applyFont="1" applyBorder="1" applyProtection="1"/>
    <xf numFmtId="37" fontId="2" fillId="0" borderId="23" xfId="0" applyNumberFormat="1" applyFont="1" applyBorder="1" applyProtection="1"/>
    <xf numFmtId="37" fontId="2" fillId="0" borderId="54" xfId="0" applyNumberFormat="1" applyFont="1" applyBorder="1" applyProtection="1"/>
    <xf numFmtId="0" fontId="2" fillId="0" borderId="46" xfId="0" applyFont="1" applyFill="1" applyBorder="1" applyAlignment="1" applyProtection="1">
      <alignment vertical="center"/>
    </xf>
    <xf numFmtId="0" fontId="2" fillId="0" borderId="44" xfId="0" applyFont="1" applyFill="1" applyBorder="1" applyAlignment="1">
      <alignment vertical="center"/>
    </xf>
    <xf numFmtId="10" fontId="2" fillId="0" borderId="55" xfId="0" applyNumberFormat="1" applyFont="1" applyBorder="1" applyProtection="1"/>
    <xf numFmtId="37" fontId="2" fillId="0" borderId="57" xfId="0" applyNumberFormat="1" applyFont="1" applyBorder="1" applyProtection="1"/>
    <xf numFmtId="37" fontId="2" fillId="0" borderId="55" xfId="0" applyNumberFormat="1" applyFont="1" applyBorder="1" applyProtection="1"/>
    <xf numFmtId="37" fontId="2" fillId="0" borderId="56" xfId="0" applyNumberFormat="1" applyFont="1" applyBorder="1" applyProtection="1"/>
    <xf numFmtId="0" fontId="21" fillId="2" borderId="1" xfId="3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horizontal="left" vertical="center" indent="1"/>
    </xf>
    <xf numFmtId="0" fontId="2" fillId="0" borderId="6" xfId="0" applyFont="1" applyFill="1" applyBorder="1" applyAlignment="1">
      <alignment vertical="center"/>
    </xf>
    <xf numFmtId="37" fontId="11" fillId="0" borderId="11" xfId="0" applyNumberFormat="1" applyFont="1" applyBorder="1" applyProtection="1"/>
    <xf numFmtId="0" fontId="11" fillId="2" borderId="0" xfId="0" applyFont="1" applyFill="1"/>
    <xf numFmtId="37" fontId="11" fillId="0" borderId="4" xfId="0" applyNumberFormat="1" applyFont="1" applyFill="1" applyBorder="1" applyAlignment="1" applyProtection="1">
      <alignment horizontal="center" vertical="center"/>
    </xf>
    <xf numFmtId="10" fontId="11" fillId="0" borderId="5" xfId="2" applyNumberFormat="1" applyFont="1" applyFill="1" applyBorder="1" applyAlignment="1" applyProtection="1">
      <alignment horizontal="center" vertical="center"/>
    </xf>
    <xf numFmtId="37" fontId="11" fillId="0" borderId="6" xfId="0" applyNumberFormat="1" applyFont="1" applyFill="1" applyBorder="1" applyAlignment="1" applyProtection="1">
      <alignment horizontal="center" vertical="center"/>
    </xf>
    <xf numFmtId="37" fontId="11" fillId="0" borderId="47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indent="4"/>
    </xf>
    <xf numFmtId="0" fontId="2" fillId="0" borderId="5" xfId="0" applyFont="1" applyFill="1" applyBorder="1" applyAlignment="1" applyProtection="1">
      <alignment vertical="center"/>
    </xf>
    <xf numFmtId="0" fontId="11" fillId="3" borderId="9" xfId="0" applyFont="1" applyFill="1" applyBorder="1" applyAlignment="1">
      <alignment vertical="top"/>
    </xf>
    <xf numFmtId="0" fontId="11" fillId="0" borderId="59" xfId="0" applyFont="1" applyFill="1" applyBorder="1" applyAlignment="1" applyProtection="1">
      <alignment horizontal="center" vertical="center" wrapText="1"/>
    </xf>
    <xf numFmtId="0" fontId="11" fillId="0" borderId="60" xfId="0" applyFont="1" applyFill="1" applyBorder="1" applyAlignment="1" applyProtection="1">
      <alignment horizontal="center" vertical="center" wrapText="1"/>
    </xf>
    <xf numFmtId="10" fontId="11" fillId="0" borderId="61" xfId="2" applyNumberFormat="1" applyFont="1" applyFill="1" applyBorder="1" applyAlignment="1" applyProtection="1">
      <alignment horizontal="center" wrapText="1"/>
    </xf>
    <xf numFmtId="10" fontId="11" fillId="0" borderId="6" xfId="2" applyNumberFormat="1" applyFont="1" applyFill="1" applyBorder="1" applyAlignment="1" applyProtection="1">
      <alignment horizontal="center" wrapText="1"/>
    </xf>
    <xf numFmtId="0" fontId="11" fillId="0" borderId="48" xfId="0" applyFont="1" applyFill="1" applyBorder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center"/>
    </xf>
    <xf numFmtId="39" fontId="0" fillId="0" borderId="42" xfId="0" applyNumberFormat="1" applyBorder="1" applyProtection="1"/>
    <xf numFmtId="39" fontId="0" fillId="0" borderId="20" xfId="0" applyNumberFormat="1" applyBorder="1" applyProtection="1"/>
    <xf numFmtId="169" fontId="0" fillId="4" borderId="42" xfId="0" applyNumberFormat="1" applyFill="1" applyBorder="1" applyProtection="1"/>
    <xf numFmtId="169" fontId="2" fillId="4" borderId="42" xfId="0" applyNumberFormat="1" applyFont="1" applyFill="1" applyBorder="1" applyAlignment="1" applyProtection="1">
      <alignment vertical="center"/>
    </xf>
    <xf numFmtId="39" fontId="0" fillId="0" borderId="22" xfId="0" applyNumberFormat="1" applyBorder="1" applyProtection="1"/>
    <xf numFmtId="39" fontId="0" fillId="0" borderId="27" xfId="0" applyNumberFormat="1" applyBorder="1" applyProtection="1"/>
    <xf numFmtId="169" fontId="0" fillId="4" borderId="22" xfId="0" applyNumberFormat="1" applyFill="1" applyBorder="1" applyProtection="1"/>
    <xf numFmtId="169" fontId="2" fillId="4" borderId="22" xfId="0" applyNumberFormat="1" applyFont="1" applyFill="1" applyBorder="1" applyAlignment="1" applyProtection="1">
      <alignment vertical="center"/>
    </xf>
    <xf numFmtId="39" fontId="0" fillId="0" borderId="22" xfId="0" applyNumberFormat="1" applyBorder="1"/>
    <xf numFmtId="39" fontId="0" fillId="0" borderId="27" xfId="0" applyNumberFormat="1" applyBorder="1"/>
    <xf numFmtId="39" fontId="2" fillId="0" borderId="24" xfId="2" applyNumberFormat="1" applyFill="1" applyBorder="1" applyProtection="1"/>
    <xf numFmtId="39" fontId="2" fillId="0" borderId="57" xfId="2" applyNumberFormat="1" applyFill="1" applyBorder="1" applyProtection="1"/>
    <xf numFmtId="39" fontId="0" fillId="0" borderId="44" xfId="0" applyNumberFormat="1" applyBorder="1"/>
    <xf numFmtId="39" fontId="0" fillId="0" borderId="34" xfId="0" applyNumberFormat="1" applyBorder="1"/>
    <xf numFmtId="169" fontId="0" fillId="4" borderId="44" xfId="0" applyNumberFormat="1" applyFill="1" applyBorder="1" applyProtection="1"/>
    <xf numFmtId="169" fontId="2" fillId="4" borderId="44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vertical="center"/>
    </xf>
    <xf numFmtId="39" fontId="11" fillId="0" borderId="11" xfId="0" applyNumberFormat="1" applyFont="1" applyBorder="1" applyProtection="1"/>
    <xf numFmtId="39" fontId="11" fillId="0" borderId="6" xfId="0" applyNumberFormat="1" applyFont="1" applyBorder="1" applyProtection="1"/>
    <xf numFmtId="39" fontId="11" fillId="0" borderId="4" xfId="0" applyNumberFormat="1" applyFont="1" applyBorder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Fill="1" applyProtection="1"/>
    <xf numFmtId="0" fontId="0" fillId="2" borderId="0" xfId="0" applyFill="1" applyBorder="1"/>
    <xf numFmtId="0" fontId="0" fillId="2" borderId="1" xfId="0" applyFill="1" applyBorder="1"/>
    <xf numFmtId="0" fontId="0" fillId="7" borderId="0" xfId="0" applyFill="1"/>
    <xf numFmtId="0" fontId="11" fillId="3" borderId="48" xfId="0" applyFont="1" applyFill="1" applyBorder="1" applyAlignment="1">
      <alignment vertical="center"/>
    </xf>
    <xf numFmtId="10" fontId="0" fillId="0" borderId="51" xfId="0" applyNumberFormat="1" applyBorder="1" applyProtection="1"/>
    <xf numFmtId="10" fontId="0" fillId="0" borderId="52" xfId="0" applyNumberFormat="1" applyBorder="1" applyProtection="1"/>
    <xf numFmtId="168" fontId="0" fillId="0" borderId="50" xfId="0" applyNumberFormat="1" applyBorder="1" applyProtection="1"/>
    <xf numFmtId="10" fontId="0" fillId="0" borderId="54" xfId="0" applyNumberFormat="1" applyBorder="1" applyProtection="1"/>
    <xf numFmtId="10" fontId="0" fillId="0" borderId="24" xfId="0" applyNumberFormat="1" applyBorder="1" applyProtection="1"/>
    <xf numFmtId="168" fontId="0" fillId="0" borderId="23" xfId="0" applyNumberFormat="1" applyBorder="1" applyProtection="1"/>
    <xf numFmtId="10" fontId="0" fillId="0" borderId="54" xfId="0" applyNumberFormat="1" applyBorder="1"/>
    <xf numFmtId="10" fontId="0" fillId="0" borderId="24" xfId="0" applyNumberFormat="1" applyBorder="1"/>
    <xf numFmtId="168" fontId="0" fillId="0" borderId="23" xfId="0" applyNumberFormat="1" applyBorder="1"/>
    <xf numFmtId="168" fontId="0" fillId="0" borderId="55" xfId="0" applyNumberFormat="1" applyBorder="1"/>
    <xf numFmtId="10" fontId="0" fillId="0" borderId="56" xfId="0" applyNumberFormat="1" applyBorder="1"/>
    <xf numFmtId="10" fontId="0" fillId="0" borderId="57" xfId="0" applyNumberFormat="1" applyBorder="1"/>
    <xf numFmtId="0" fontId="15" fillId="0" borderId="62" xfId="0" applyFont="1" applyFill="1" applyBorder="1" applyAlignment="1" applyProtection="1">
      <alignment vertical="center"/>
    </xf>
    <xf numFmtId="0" fontId="11" fillId="0" borderId="62" xfId="0" applyFont="1" applyFill="1" applyBorder="1" applyAlignment="1">
      <alignment vertical="center"/>
    </xf>
    <xf numFmtId="0" fontId="0" fillId="0" borderId="62" xfId="0" applyBorder="1" applyProtection="1"/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7" xfId="0" applyFont="1" applyFill="1" applyBorder="1" applyAlignment="1" applyProtection="1">
      <alignment horizontal="left" vertical="center" indent="1"/>
    </xf>
    <xf numFmtId="0" fontId="11" fillId="0" borderId="37" xfId="0" applyFont="1" applyFill="1" applyBorder="1" applyAlignment="1">
      <alignment vertical="center"/>
    </xf>
    <xf numFmtId="10" fontId="11" fillId="0" borderId="7" xfId="2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indent="2"/>
    </xf>
    <xf numFmtId="0" fontId="11" fillId="0" borderId="7" xfId="0" applyFont="1" applyBorder="1" applyAlignment="1" applyProtection="1">
      <alignment horizontal="center"/>
    </xf>
    <xf numFmtId="164" fontId="11" fillId="0" borderId="5" xfId="1" applyFont="1" applyBorder="1" applyAlignment="1" applyProtection="1">
      <alignment horizontal="right"/>
    </xf>
    <xf numFmtId="164" fontId="11" fillId="0" borderId="49" xfId="1" applyFont="1" applyFill="1" applyBorder="1" applyAlignment="1" applyProtection="1">
      <alignment horizontal="center" wrapText="1"/>
    </xf>
    <xf numFmtId="164" fontId="11" fillId="0" borderId="11" xfId="1" applyFont="1" applyFill="1" applyBorder="1" applyAlignment="1" applyProtection="1">
      <alignment horizontal="center" wrapText="1"/>
    </xf>
    <xf numFmtId="168" fontId="0" fillId="6" borderId="50" xfId="0" applyNumberFormat="1" applyFill="1" applyBorder="1" applyProtection="1"/>
    <xf numFmtId="10" fontId="0" fillId="0" borderId="53" xfId="0" applyNumberFormat="1" applyBorder="1" applyProtection="1"/>
    <xf numFmtId="37" fontId="2" fillId="0" borderId="51" xfId="1" applyNumberFormat="1" applyBorder="1" applyProtection="1"/>
    <xf numFmtId="37" fontId="0" fillId="0" borderId="52" xfId="0" applyNumberFormat="1" applyBorder="1" applyProtection="1"/>
    <xf numFmtId="10" fontId="0" fillId="0" borderId="25" xfId="0" applyNumberFormat="1" applyBorder="1" applyProtection="1"/>
    <xf numFmtId="37" fontId="0" fillId="0" borderId="24" xfId="0" applyNumberFormat="1" applyBorder="1" applyProtection="1"/>
    <xf numFmtId="10" fontId="0" fillId="0" borderId="25" xfId="0" applyNumberFormat="1" applyBorder="1"/>
    <xf numFmtId="37" fontId="0" fillId="0" borderId="24" xfId="0" applyNumberFormat="1" applyBorder="1"/>
    <xf numFmtId="168" fontId="0" fillId="4" borderId="23" xfId="0" applyNumberFormat="1" applyFill="1" applyBorder="1" applyProtection="1"/>
    <xf numFmtId="168" fontId="0" fillId="4" borderId="55" xfId="0" applyNumberFormat="1" applyFill="1" applyBorder="1" applyProtection="1"/>
    <xf numFmtId="10" fontId="0" fillId="0" borderId="58" xfId="0" applyNumberFormat="1" applyBorder="1"/>
    <xf numFmtId="37" fontId="0" fillId="0" borderId="57" xfId="0" applyNumberFormat="1" applyBorder="1"/>
    <xf numFmtId="0" fontId="15" fillId="0" borderId="0" xfId="0" applyFont="1" applyBorder="1" applyProtection="1"/>
    <xf numFmtId="0" fontId="11" fillId="0" borderId="10" xfId="2" applyNumberFormat="1" applyFont="1" applyFill="1" applyBorder="1" applyAlignment="1" applyProtection="1"/>
    <xf numFmtId="164" fontId="11" fillId="0" borderId="49" xfId="1" applyFont="1" applyFill="1" applyBorder="1" applyAlignment="1" applyProtection="1">
      <alignment horizontal="right"/>
    </xf>
    <xf numFmtId="168" fontId="11" fillId="4" borderId="11" xfId="0" applyNumberFormat="1" applyFont="1" applyFill="1" applyBorder="1" applyAlignment="1" applyProtection="1">
      <alignment horizontal="center"/>
    </xf>
    <xf numFmtId="0" fontId="11" fillId="0" borderId="3" xfId="2" applyNumberFormat="1" applyFont="1" applyFill="1" applyBorder="1" applyAlignment="1" applyProtection="1">
      <alignment horizontal="center"/>
    </xf>
    <xf numFmtId="0" fontId="11" fillId="0" borderId="4" xfId="0" applyNumberFormat="1" applyFont="1" applyBorder="1" applyAlignment="1" applyProtection="1">
      <alignment horizontal="left" indent="3"/>
    </xf>
    <xf numFmtId="0" fontId="0" fillId="0" borderId="5" xfId="0" applyNumberFormat="1" applyBorder="1" applyAlignment="1" applyProtection="1"/>
    <xf numFmtId="0" fontId="11" fillId="0" borderId="3" xfId="1" applyNumberFormat="1" applyFont="1" applyBorder="1" applyAlignment="1" applyProtection="1">
      <alignment horizontal="center"/>
    </xf>
    <xf numFmtId="0" fontId="11" fillId="0" borderId="4" xfId="0" applyFont="1" applyFill="1" applyBorder="1" applyAlignment="1">
      <alignment horizontal="left" indent="3"/>
    </xf>
    <xf numFmtId="0" fontId="0" fillId="0" borderId="5" xfId="0" applyFill="1" applyBorder="1"/>
    <xf numFmtId="0" fontId="11" fillId="0" borderId="10" xfId="2" applyNumberFormat="1" applyFont="1" applyFill="1" applyBorder="1" applyAlignment="1" applyProtection="1">
      <alignment horizontal="center"/>
    </xf>
    <xf numFmtId="0" fontId="11" fillId="0" borderId="49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11" fillId="0" borderId="8" xfId="2" applyNumberFormat="1" applyFont="1" applyFill="1" applyBorder="1" applyAlignment="1" applyProtection="1">
      <alignment horizontal="center"/>
    </xf>
    <xf numFmtId="0" fontId="11" fillId="0" borderId="59" xfId="0" applyNumberFormat="1" applyFont="1" applyFill="1" applyBorder="1" applyAlignment="1" applyProtection="1">
      <alignment horizontal="center"/>
    </xf>
    <xf numFmtId="164" fontId="11" fillId="0" borderId="61" xfId="1" applyFont="1" applyFill="1" applyBorder="1" applyAlignment="1" applyProtection="1"/>
    <xf numFmtId="0" fontId="11" fillId="0" borderId="9" xfId="1" applyNumberFormat="1" applyFont="1" applyFill="1" applyBorder="1" applyAlignment="1" applyProtection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8" fontId="0" fillId="0" borderId="51" xfId="0" applyNumberFormat="1" applyFill="1" applyBorder="1" applyProtection="1"/>
    <xf numFmtId="37" fontId="0" fillId="0" borderId="41" xfId="0" applyNumberFormat="1" applyBorder="1" applyProtection="1"/>
    <xf numFmtId="167" fontId="0" fillId="6" borderId="50" xfId="0" applyNumberFormat="1" applyFill="1" applyBorder="1" applyProtection="1"/>
    <xf numFmtId="37" fontId="0" fillId="0" borderId="50" xfId="0" applyNumberFormat="1" applyFill="1" applyBorder="1"/>
    <xf numFmtId="37" fontId="0" fillId="0" borderId="52" xfId="0" applyNumberFormat="1" applyFill="1" applyBorder="1"/>
    <xf numFmtId="168" fontId="0" fillId="0" borderId="54" xfId="0" applyNumberFormat="1" applyFill="1" applyBorder="1" applyProtection="1"/>
    <xf numFmtId="37" fontId="0" fillId="0" borderId="21" xfId="0" applyNumberFormat="1" applyBorder="1" applyProtection="1"/>
    <xf numFmtId="164" fontId="2" fillId="0" borderId="24" xfId="1" applyBorder="1" applyProtection="1"/>
    <xf numFmtId="37" fontId="0" fillId="0" borderId="23" xfId="0" applyNumberFormat="1" applyFill="1" applyBorder="1"/>
    <xf numFmtId="37" fontId="0" fillId="0" borderId="24" xfId="0" applyNumberFormat="1" applyFill="1" applyBorder="1"/>
    <xf numFmtId="37" fontId="0" fillId="0" borderId="21" xfId="0" applyNumberFormat="1" applyBorder="1"/>
    <xf numFmtId="164" fontId="2" fillId="0" borderId="24" xfId="1" applyBorder="1"/>
    <xf numFmtId="37" fontId="2" fillId="0" borderId="24" xfId="0" applyNumberFormat="1" applyFont="1" applyFill="1" applyBorder="1" applyAlignment="1">
      <alignment vertical="center"/>
    </xf>
    <xf numFmtId="167" fontId="0" fillId="0" borderId="22" xfId="0" applyNumberFormat="1" applyBorder="1"/>
    <xf numFmtId="0" fontId="0" fillId="0" borderId="46" xfId="0" applyFill="1" applyBorder="1" applyAlignment="1">
      <alignment vertical="center"/>
    </xf>
    <xf numFmtId="168" fontId="0" fillId="0" borderId="56" xfId="0" applyNumberFormat="1" applyFill="1" applyBorder="1" applyProtection="1"/>
    <xf numFmtId="37" fontId="0" fillId="0" borderId="46" xfId="0" applyNumberFormat="1" applyBorder="1"/>
    <xf numFmtId="164" fontId="2" fillId="0" borderId="57" xfId="1" applyBorder="1"/>
    <xf numFmtId="167" fontId="0" fillId="0" borderId="44" xfId="0" applyNumberFormat="1" applyBorder="1"/>
    <xf numFmtId="37" fontId="0" fillId="0" borderId="55" xfId="0" applyNumberFormat="1" applyFill="1" applyBorder="1"/>
    <xf numFmtId="37" fontId="2" fillId="0" borderId="57" xfId="0" applyNumberFormat="1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10" fontId="0" fillId="0" borderId="51" xfId="2" applyNumberFormat="1" applyFont="1" applyBorder="1" applyProtection="1"/>
    <xf numFmtId="37" fontId="0" fillId="6" borderId="50" xfId="0" applyNumberFormat="1" applyFill="1" applyBorder="1" applyProtection="1"/>
    <xf numFmtId="37" fontId="0" fillId="6" borderId="23" xfId="0" applyNumberFormat="1" applyFill="1" applyBorder="1" applyProtection="1"/>
    <xf numFmtId="37" fontId="0" fillId="6" borderId="23" xfId="0" applyNumberFormat="1" applyFill="1" applyBorder="1"/>
    <xf numFmtId="10" fontId="2" fillId="6" borderId="51" xfId="2" applyNumberFormat="1" applyFill="1" applyBorder="1" applyProtection="1"/>
    <xf numFmtId="10" fontId="2" fillId="6" borderId="54" xfId="2" applyNumberFormat="1" applyFill="1" applyBorder="1" applyProtection="1"/>
    <xf numFmtId="10" fontId="2" fillId="6" borderId="54" xfId="2" applyNumberFormat="1" applyFill="1" applyBorder="1"/>
    <xf numFmtId="168" fontId="11" fillId="6" borderId="50" xfId="0" applyNumberFormat="1" applyFont="1" applyFill="1" applyBorder="1" applyProtection="1"/>
    <xf numFmtId="167" fontId="11" fillId="0" borderId="50" xfId="0" applyNumberFormat="1" applyFont="1" applyFill="1" applyBorder="1" applyProtection="1"/>
    <xf numFmtId="164" fontId="11" fillId="0" borderId="52" xfId="1" applyFont="1" applyBorder="1" applyProtection="1"/>
    <xf numFmtId="164" fontId="11" fillId="0" borderId="24" xfId="1" applyFont="1" applyBorder="1" applyProtection="1"/>
    <xf numFmtId="164" fontId="11" fillId="0" borderId="24" xfId="1" applyFont="1" applyBorder="1"/>
    <xf numFmtId="0" fontId="2" fillId="0" borderId="0" xfId="0" applyFont="1" applyFill="1" applyBorder="1" applyAlignment="1">
      <alignment vertical="center"/>
    </xf>
  </cellXfs>
  <cellStyles count="7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3" xfId="33"/>
    <cellStyle name="Comma 3 2" xfId="34"/>
    <cellStyle name="Comma 4" xfId="35"/>
    <cellStyle name="Comma 5" xfId="36"/>
    <cellStyle name="Comma0" xfId="37"/>
    <cellStyle name="Comma0 2" xfId="38"/>
    <cellStyle name="Currency 2" xfId="39"/>
    <cellStyle name="Currency 2 2" xfId="40"/>
    <cellStyle name="Currency 3" xfId="41"/>
    <cellStyle name="Currency0" xfId="42"/>
    <cellStyle name="Currency0 2" xfId="43"/>
    <cellStyle name="Date" xfId="44"/>
    <cellStyle name="Date 2" xfId="45"/>
    <cellStyle name="Explanatory Text 2" xfId="46"/>
    <cellStyle name="Fixed" xfId="47"/>
    <cellStyle name="Fixed 2" xfId="48"/>
    <cellStyle name="Good 2" xfId="49"/>
    <cellStyle name="Heading 3 2" xfId="50"/>
    <cellStyle name="Heading 4 2" xfId="51"/>
    <cellStyle name="Hyperlink" xfId="3" builtinId="8"/>
    <cellStyle name="Input 2" xfId="52"/>
    <cellStyle name="Linked Cell 2" xfId="53"/>
    <cellStyle name="Neutral 2" xfId="54"/>
    <cellStyle name="Normal" xfId="0" builtinId="0"/>
    <cellStyle name="Normal 2" xfId="55"/>
    <cellStyle name="Normal 2 2" xfId="56"/>
    <cellStyle name="Normal 3" xfId="57"/>
    <cellStyle name="Normal 3 2" xfId="58"/>
    <cellStyle name="Normal 4" xfId="59"/>
    <cellStyle name="Normal 4 2" xfId="60"/>
    <cellStyle name="Normal 7" xfId="61"/>
    <cellStyle name="Note 2" xfId="62"/>
    <cellStyle name="Output 2" xfId="63"/>
    <cellStyle name="Percent" xfId="2" builtinId="5"/>
    <cellStyle name="Percent 2" xfId="64"/>
    <cellStyle name="Percent 3" xfId="65"/>
    <cellStyle name="Percent 4" xfId="66"/>
    <cellStyle name="Percent 4 2" xfId="67"/>
    <cellStyle name="Percent 5" xfId="68"/>
    <cellStyle name="PSChar" xfId="69"/>
    <cellStyle name="Title 2" xfId="70"/>
    <cellStyle name="Total 2" xfId="71"/>
    <cellStyle name="Warning Text 2" xfId="72"/>
  </cellStyles>
  <dxfs count="11"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47625</xdr:rowOff>
    </xdr:from>
    <xdr:to>
      <xdr:col>1</xdr:col>
      <xdr:colOff>4084</xdr:colOff>
      <xdr:row>5</xdr:row>
      <xdr:rowOff>219075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8700"/>
          <a:ext cx="823234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28575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1409700</xdr:colOff>
      <xdr:row>8</xdr:row>
      <xdr:rowOff>9525</xdr:rowOff>
    </xdr:from>
    <xdr:to>
      <xdr:col>2</xdr:col>
      <xdr:colOff>0</xdr:colOff>
      <xdr:row>9</xdr:row>
      <xdr:rowOff>19050</xdr:rowOff>
    </xdr:to>
    <xdr:sp macro="[0]!RefreshFilters" textlink="" fLocksText="0">
      <xdr:nvSpPr>
        <xdr:cNvPr id="4" name="AutoShape 6"/>
        <xdr:cNvSpPr>
          <a:spLocks noChangeArrowheads="1"/>
        </xdr:cNvSpPr>
      </xdr:nvSpPr>
      <xdr:spPr bwMode="auto">
        <a:xfrm>
          <a:off x="2266950" y="1714500"/>
          <a:ext cx="790575" cy="171450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47625</xdr:rowOff>
    </xdr:from>
    <xdr:to>
      <xdr:col>1</xdr:col>
      <xdr:colOff>4084</xdr:colOff>
      <xdr:row>5</xdr:row>
      <xdr:rowOff>219075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8700"/>
          <a:ext cx="823234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28575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1032510</xdr:colOff>
      <xdr:row>8</xdr:row>
      <xdr:rowOff>9525</xdr:rowOff>
    </xdr:from>
    <xdr:to>
      <xdr:col>1</xdr:col>
      <xdr:colOff>1838521</xdr:colOff>
      <xdr:row>9</xdr:row>
      <xdr:rowOff>0</xdr:rowOff>
    </xdr:to>
    <xdr:sp macro="[0]!RefreshFilters" textlink="" fLocksText="0">
      <xdr:nvSpPr>
        <xdr:cNvPr id="4" name="AutoShape 5"/>
        <xdr:cNvSpPr>
          <a:spLocks noChangeArrowheads="1"/>
        </xdr:cNvSpPr>
      </xdr:nvSpPr>
      <xdr:spPr bwMode="auto">
        <a:xfrm>
          <a:off x="1889760" y="1714500"/>
          <a:ext cx="806011" cy="171450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  <xdr:twoCellAnchor editAs="oneCell">
    <xdr:from>
      <xdr:col>5</xdr:col>
      <xdr:colOff>80010</xdr:colOff>
      <xdr:row>5</xdr:row>
      <xdr:rowOff>11430</xdr:rowOff>
    </xdr:from>
    <xdr:to>
      <xdr:col>5</xdr:col>
      <xdr:colOff>887332</xdr:colOff>
      <xdr:row>5</xdr:row>
      <xdr:rowOff>190673</xdr:rowOff>
    </xdr:to>
    <xdr:sp macro="[0]!ClearInput" textlink="" fLocksText="0">
      <xdr:nvSpPr>
        <xdr:cNvPr id="5" name="AutoShape 6"/>
        <xdr:cNvSpPr>
          <a:spLocks noChangeArrowheads="1"/>
        </xdr:cNvSpPr>
      </xdr:nvSpPr>
      <xdr:spPr bwMode="auto">
        <a:xfrm>
          <a:off x="4985385" y="992505"/>
          <a:ext cx="807322" cy="179243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Input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40005</xdr:rowOff>
    </xdr:from>
    <xdr:to>
      <xdr:col>1</xdr:col>
      <xdr:colOff>30814</xdr:colOff>
      <xdr:row>5</xdr:row>
      <xdr:rowOff>227041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1080"/>
          <a:ext cx="849964" cy="187036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36499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9374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1072515</xdr:colOff>
      <xdr:row>8</xdr:row>
      <xdr:rowOff>1905</xdr:rowOff>
    </xdr:from>
    <xdr:to>
      <xdr:col>1</xdr:col>
      <xdr:colOff>1833526</xdr:colOff>
      <xdr:row>9</xdr:row>
      <xdr:rowOff>28626</xdr:rowOff>
    </xdr:to>
    <xdr:sp macro="[0]!RefreshFilters" textlink="" fLocksText="0">
      <xdr:nvSpPr>
        <xdr:cNvPr id="4" name="AutoShape 5"/>
        <xdr:cNvSpPr>
          <a:spLocks noChangeArrowheads="1"/>
        </xdr:cNvSpPr>
      </xdr:nvSpPr>
      <xdr:spPr bwMode="auto">
        <a:xfrm>
          <a:off x="1929765" y="1706880"/>
          <a:ext cx="761011" cy="188646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  <xdr:twoCellAnchor editAs="oneCell">
    <xdr:from>
      <xdr:col>6</xdr:col>
      <xdr:colOff>28575</xdr:colOff>
      <xdr:row>33</xdr:row>
      <xdr:rowOff>9525</xdr:rowOff>
    </xdr:from>
    <xdr:to>
      <xdr:col>6</xdr:col>
      <xdr:colOff>846384</xdr:colOff>
      <xdr:row>34</xdr:row>
      <xdr:rowOff>2623</xdr:rowOff>
    </xdr:to>
    <xdr:sp macro="[0]!ClearInput" textlink="" fLocksText="0">
      <xdr:nvSpPr>
        <xdr:cNvPr id="5" name="AutoShape 6"/>
        <xdr:cNvSpPr>
          <a:spLocks noChangeArrowheads="1"/>
        </xdr:cNvSpPr>
      </xdr:nvSpPr>
      <xdr:spPr bwMode="auto">
        <a:xfrm>
          <a:off x="5467350" y="3495675"/>
          <a:ext cx="817809" cy="155023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Input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rank/Desktop/2013%20RateMaker/Utility_APPL_2013EDR_RateMaker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C9.ServiceRevenues"/>
      <sheetName val="C10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G1.DeferralBalances"/>
      <sheetName val="G2.ApprovedRecoveries"/>
      <sheetName val="G3.ProposedRecoveries"/>
      <sheetName val="G4.RateRiders"/>
      <sheetName val="G5.GlobalAdjustment"/>
      <sheetName val="Stranded Meter Rate Rider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>
        <row r="10">
          <cell r="B10" t="str">
            <v>A</v>
          </cell>
        </row>
      </sheetData>
      <sheetData sheetId="1">
        <row r="1">
          <cell r="B1" t="str">
            <v>RateMaker 2011   release 1.0    © Elenchus Research Associates</v>
          </cell>
        </row>
        <row r="13">
          <cell r="C13">
            <v>2013</v>
          </cell>
        </row>
        <row r="21">
          <cell r="C21">
            <v>4</v>
          </cell>
        </row>
        <row r="23">
          <cell r="C23">
            <v>39813</v>
          </cell>
        </row>
      </sheetData>
      <sheetData sheetId="2" refreshError="1"/>
      <sheetData sheetId="3">
        <row r="10">
          <cell r="C10" t="str">
            <v>Residential</v>
          </cell>
        </row>
      </sheetData>
      <sheetData sheetId="4">
        <row r="12">
          <cell r="D12">
            <v>8.5299999999999994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3">
          <cell r="D83">
            <v>8.5299999999999994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>
        <row r="16">
          <cell r="F16">
            <v>0</v>
          </cell>
        </row>
      </sheetData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2009 Approved</v>
          </cell>
        </row>
        <row r="13">
          <cell r="C13" t="str">
            <v>1.0</v>
          </cell>
        </row>
        <row r="14">
          <cell r="C14" t="str">
            <v> </v>
          </cell>
        </row>
        <row r="15">
          <cell r="C15" t="str">
            <v>C:\Users\afrank\Desktop\2013 RateMaker\</v>
          </cell>
        </row>
      </sheetData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filterMode="1">
    <tabColor indexed="21"/>
  </sheetPr>
  <dimension ref="A1:J59"/>
  <sheetViews>
    <sheetView showZeros="0" tabSelected="1" workbookViewId="0">
      <pane xSplit="3" ySplit="10" topLeftCell="D11" activePane="bottomRight" state="frozen"/>
      <selection activeCell="J82" sqref="J82"/>
      <selection pane="topRight" activeCell="J82" sqref="J82"/>
      <selection pane="bottomLeft" activeCell="J82" sqref="J82"/>
      <selection pane="bottomRight" activeCell="D37" sqref="D37"/>
    </sheetView>
  </sheetViews>
  <sheetFormatPr defaultColWidth="9.109375" defaultRowHeight="13.2" outlineLevelCol="1" x14ac:dyDescent="0.25"/>
  <cols>
    <col min="1" max="1" width="12.88671875" style="7" customWidth="1"/>
    <col min="2" max="2" width="33" style="7" customWidth="1"/>
    <col min="3" max="3" width="35.6640625" style="138" customWidth="1" outlineLevel="1"/>
    <col min="4" max="4" width="17.6640625" style="7" customWidth="1"/>
    <col min="5" max="5" width="9.6640625" style="7" bestFit="1" customWidth="1"/>
    <col min="6" max="6" width="17.6640625" style="7" customWidth="1"/>
    <col min="7" max="7" width="10.6640625" style="7" customWidth="1"/>
    <col min="8" max="8" width="17.6640625" style="7" customWidth="1"/>
    <col min="9" max="9" width="10.6640625" style="7" customWidth="1"/>
    <col min="10" max="10" width="13" style="7" customWidth="1"/>
    <col min="11" max="16384" width="9.109375" style="7"/>
  </cols>
  <sheetData>
    <row r="1" spans="1:10" x14ac:dyDescent="0.25">
      <c r="A1" s="1"/>
      <c r="B1" s="2" t="s">
        <v>83</v>
      </c>
      <c r="C1" s="2"/>
      <c r="D1" s="2"/>
      <c r="E1" s="3"/>
      <c r="F1" s="4"/>
      <c r="G1" s="4"/>
      <c r="H1" s="4"/>
      <c r="I1" s="5"/>
      <c r="J1" s="6"/>
    </row>
    <row r="2" spans="1:10" ht="21" x14ac:dyDescent="0.25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5"/>
      <c r="J2" s="6"/>
    </row>
    <row r="3" spans="1:10" ht="15.6" x14ac:dyDescent="0.25">
      <c r="A3" s="12"/>
      <c r="B3" s="13"/>
      <c r="C3" s="14"/>
      <c r="D3" s="15"/>
      <c r="E3" s="15"/>
      <c r="F3" s="15"/>
      <c r="G3" s="15"/>
      <c r="H3" s="15"/>
      <c r="I3" s="5"/>
      <c r="J3" s="6"/>
    </row>
    <row r="4" spans="1:10" ht="15.6" x14ac:dyDescent="0.25">
      <c r="A4" s="12"/>
      <c r="B4" s="16"/>
      <c r="C4" s="17"/>
      <c r="D4" s="15"/>
      <c r="E4" s="15"/>
      <c r="F4" s="15"/>
      <c r="G4" s="15"/>
      <c r="H4" s="15"/>
      <c r="I4" s="5"/>
      <c r="J4" s="6"/>
    </row>
    <row r="5" spans="1:10" x14ac:dyDescent="0.25">
      <c r="A5" s="18"/>
      <c r="B5" s="19"/>
      <c r="C5" s="20"/>
      <c r="D5" s="21"/>
      <c r="E5" s="21"/>
      <c r="F5" s="21"/>
      <c r="G5" s="21"/>
      <c r="H5" s="21"/>
      <c r="I5" s="5"/>
      <c r="J5" s="6"/>
    </row>
    <row r="6" spans="1:10" ht="25.5" customHeight="1" x14ac:dyDescent="0.25">
      <c r="A6" s="22"/>
      <c r="B6" s="23"/>
      <c r="C6" s="24"/>
      <c r="D6" s="25"/>
      <c r="E6" s="25"/>
      <c r="F6" s="25"/>
      <c r="G6" s="25"/>
      <c r="H6" s="25"/>
      <c r="I6" s="26"/>
      <c r="J6" s="27"/>
    </row>
    <row r="7" spans="1:10" ht="18" x14ac:dyDescent="0.25">
      <c r="A7" s="28"/>
      <c r="B7" s="29"/>
      <c r="C7" s="30"/>
      <c r="D7" s="31"/>
      <c r="E7" s="31"/>
      <c r="F7" s="31"/>
      <c r="G7" s="31"/>
      <c r="H7" s="31"/>
      <c r="I7" s="26"/>
      <c r="J7" s="27"/>
    </row>
    <row r="8" spans="1:10" x14ac:dyDescent="0.25">
      <c r="A8" s="32"/>
      <c r="B8" s="19"/>
      <c r="C8" s="20"/>
      <c r="D8" s="21"/>
      <c r="E8" s="21"/>
      <c r="F8" s="21"/>
      <c r="G8" s="21"/>
      <c r="H8" s="21"/>
      <c r="I8" s="5"/>
      <c r="J8" s="6"/>
    </row>
    <row r="9" spans="1:10" x14ac:dyDescent="0.25">
      <c r="A9" s="33" t="s">
        <v>0</v>
      </c>
      <c r="B9" s="34"/>
      <c r="C9" s="35"/>
      <c r="D9" s="36" t="s">
        <v>1</v>
      </c>
      <c r="E9" s="37"/>
      <c r="F9" s="38"/>
      <c r="G9" s="39"/>
      <c r="H9" s="40"/>
      <c r="I9" s="41"/>
      <c r="J9" s="41"/>
    </row>
    <row r="10" spans="1:10" ht="26.4" x14ac:dyDescent="0.25">
      <c r="A10" s="18"/>
      <c r="B10" s="42" t="s">
        <v>2</v>
      </c>
      <c r="C10" s="43" t="s">
        <v>3</v>
      </c>
      <c r="D10" s="44" t="s">
        <v>4</v>
      </c>
      <c r="E10" s="45" t="s">
        <v>5</v>
      </c>
      <c r="F10" s="46" t="s">
        <v>6</v>
      </c>
      <c r="G10" s="47" t="str">
        <f>E10</f>
        <v>%</v>
      </c>
      <c r="H10" s="48" t="s">
        <v>7</v>
      </c>
      <c r="I10" s="47" t="str">
        <f>G10</f>
        <v>%</v>
      </c>
      <c r="J10" s="49" t="s">
        <v>8</v>
      </c>
    </row>
    <row r="11" spans="1:10" x14ac:dyDescent="0.25">
      <c r="A11" s="18"/>
      <c r="B11" s="50" t="s">
        <v>84</v>
      </c>
      <c r="C11" s="51" t="s">
        <v>85</v>
      </c>
      <c r="D11" s="52">
        <v>1450629.7671471327</v>
      </c>
      <c r="E11" s="53">
        <f t="shared" ref="E11:E30" si="0">D11/D$31</f>
        <v>0.52682546212224401</v>
      </c>
      <c r="F11" s="54">
        <v>62258.968582385263</v>
      </c>
      <c r="G11" s="55">
        <f t="shared" ref="G11:G30" si="1">F11/F$31</f>
        <v>0.59521002468819562</v>
      </c>
      <c r="H11" s="56">
        <f t="shared" ref="H11:H31" si="2">D11-F11</f>
        <v>1388370.7985647474</v>
      </c>
      <c r="I11" s="55">
        <f t="shared" ref="I11:I30" si="3">H11/H$31</f>
        <v>0.52412511708645215</v>
      </c>
      <c r="J11" s="57">
        <v>0.93667739584677634</v>
      </c>
    </row>
    <row r="12" spans="1:10" x14ac:dyDescent="0.25">
      <c r="A12" s="18"/>
      <c r="B12" s="58" t="s">
        <v>90</v>
      </c>
      <c r="C12" s="59" t="s">
        <v>85</v>
      </c>
      <c r="D12" s="60">
        <v>354288.44720601168</v>
      </c>
      <c r="E12" s="61">
        <f t="shared" si="0"/>
        <v>0.12866699632873882</v>
      </c>
      <c r="F12" s="62">
        <v>14623.137573004757</v>
      </c>
      <c r="G12" s="63">
        <f t="shared" si="1"/>
        <v>0.13980055041113534</v>
      </c>
      <c r="H12" s="64">
        <f t="shared" si="2"/>
        <v>339665.30963300692</v>
      </c>
      <c r="I12" s="63">
        <f t="shared" si="3"/>
        <v>0.12822735854545805</v>
      </c>
      <c r="J12" s="65">
        <v>1.2874597435166473</v>
      </c>
    </row>
    <row r="13" spans="1:10" s="71" customFormat="1" x14ac:dyDescent="0.25">
      <c r="A13" s="66"/>
      <c r="B13" s="67" t="s">
        <v>91</v>
      </c>
      <c r="C13" s="59" t="s">
        <v>85</v>
      </c>
      <c r="D13" s="60">
        <v>224024.17513055791</v>
      </c>
      <c r="E13" s="68">
        <f t="shared" si="0"/>
        <v>8.1358898226538426E-2</v>
      </c>
      <c r="F13" s="62">
        <v>8097.6079912899831</v>
      </c>
      <c r="G13" s="69">
        <f t="shared" si="1"/>
        <v>7.741499035650079E-2</v>
      </c>
      <c r="H13" s="70">
        <f t="shared" si="2"/>
        <v>215926.56713926792</v>
      </c>
      <c r="I13" s="69">
        <f t="shared" si="3"/>
        <v>8.1514633843450576E-2</v>
      </c>
      <c r="J13" s="65">
        <v>1.7978810811048667</v>
      </c>
    </row>
    <row r="14" spans="1:10" s="71" customFormat="1" x14ac:dyDescent="0.25">
      <c r="A14" s="66"/>
      <c r="B14" s="67" t="s">
        <v>92</v>
      </c>
      <c r="C14" s="59" t="s">
        <v>85</v>
      </c>
      <c r="D14" s="60">
        <v>78977.465497463505</v>
      </c>
      <c r="E14" s="68">
        <f t="shared" si="0"/>
        <v>2.868225973314437E-2</v>
      </c>
      <c r="F14" s="62">
        <v>3976.3579356424034</v>
      </c>
      <c r="G14" s="69">
        <f t="shared" si="1"/>
        <v>3.8014894222202708E-2</v>
      </c>
      <c r="H14" s="70">
        <f t="shared" si="2"/>
        <v>75001.107561821103</v>
      </c>
      <c r="I14" s="69">
        <f t="shared" si="3"/>
        <v>2.8313736015688633E-2</v>
      </c>
      <c r="J14" s="65">
        <v>2.2002323059750064</v>
      </c>
    </row>
    <row r="15" spans="1:10" hidden="1" x14ac:dyDescent="0.25">
      <c r="A15" s="18"/>
      <c r="B15" s="58" t="s">
        <v>93</v>
      </c>
      <c r="C15" s="59"/>
      <c r="D15" s="60">
        <v>0</v>
      </c>
      <c r="E15" s="61">
        <f t="shared" si="0"/>
        <v>0</v>
      </c>
      <c r="F15" s="62">
        <v>0</v>
      </c>
      <c r="G15" s="63">
        <f t="shared" si="1"/>
        <v>0</v>
      </c>
      <c r="H15" s="64">
        <f t="shared" si="2"/>
        <v>0</v>
      </c>
      <c r="I15" s="63">
        <f t="shared" si="3"/>
        <v>0</v>
      </c>
      <c r="J15" s="65"/>
    </row>
    <row r="16" spans="1:10" x14ac:dyDescent="0.25">
      <c r="A16" s="18"/>
      <c r="B16" s="58" t="s">
        <v>94</v>
      </c>
      <c r="C16" s="59" t="s">
        <v>85</v>
      </c>
      <c r="D16" s="60">
        <v>452032.54926297726</v>
      </c>
      <c r="E16" s="61">
        <f t="shared" si="0"/>
        <v>0.16416473869008236</v>
      </c>
      <c r="F16" s="62">
        <v>9385.8426020492552</v>
      </c>
      <c r="G16" s="63">
        <f t="shared" si="1"/>
        <v>8.9730808815002436E-2</v>
      </c>
      <c r="H16" s="64">
        <f t="shared" si="2"/>
        <v>442646.70666092803</v>
      </c>
      <c r="I16" s="63">
        <f t="shared" si="3"/>
        <v>0.16710395896861827</v>
      </c>
      <c r="J16" s="65">
        <v>0.61231160614777869</v>
      </c>
    </row>
    <row r="17" spans="1:10" x14ac:dyDescent="0.25">
      <c r="A17" s="18"/>
      <c r="B17" s="58" t="s">
        <v>95</v>
      </c>
      <c r="C17" s="59" t="s">
        <v>85</v>
      </c>
      <c r="D17" s="60">
        <v>177757.47103371157</v>
      </c>
      <c r="E17" s="61">
        <f t="shared" si="0"/>
        <v>6.4556211339290806E-2</v>
      </c>
      <c r="F17" s="62">
        <v>5405.9517907888385</v>
      </c>
      <c r="G17" s="63">
        <f t="shared" si="1"/>
        <v>5.1682139491289088E-2</v>
      </c>
      <c r="H17" s="64">
        <f t="shared" si="2"/>
        <v>172351.51924292272</v>
      </c>
      <c r="I17" s="63">
        <f t="shared" si="3"/>
        <v>6.506457806272567E-2</v>
      </c>
      <c r="J17" s="65">
        <v>0.4422670296565599</v>
      </c>
    </row>
    <row r="18" spans="1:10" x14ac:dyDescent="0.25">
      <c r="A18" s="18"/>
      <c r="B18" s="58" t="s">
        <v>96</v>
      </c>
      <c r="C18" s="59" t="s">
        <v>85</v>
      </c>
      <c r="D18" s="60">
        <v>3859.3351149226037</v>
      </c>
      <c r="E18" s="61">
        <f t="shared" si="0"/>
        <v>1.4015953977025235E-3</v>
      </c>
      <c r="F18" s="62">
        <v>192.5760010694417</v>
      </c>
      <c r="G18" s="63">
        <f t="shared" si="1"/>
        <v>1.8410707559220049E-3</v>
      </c>
      <c r="H18" s="64">
        <f t="shared" si="2"/>
        <v>3666.759113853162</v>
      </c>
      <c r="I18" s="63">
        <f t="shared" si="3"/>
        <v>1.3842415526621854E-3</v>
      </c>
      <c r="J18" s="65">
        <v>0.22602803897928717</v>
      </c>
    </row>
    <row r="19" spans="1:10" x14ac:dyDescent="0.25">
      <c r="A19" s="18"/>
      <c r="B19" s="58" t="s">
        <v>86</v>
      </c>
      <c r="C19" s="59" t="s">
        <v>85</v>
      </c>
      <c r="D19" s="60">
        <v>11960.889127223119</v>
      </c>
      <c r="E19" s="61">
        <f t="shared" si="0"/>
        <v>4.3438381622587533E-3</v>
      </c>
      <c r="F19" s="62">
        <v>659.5575237700582</v>
      </c>
      <c r="G19" s="63">
        <f t="shared" si="1"/>
        <v>6.3055212597519904E-3</v>
      </c>
      <c r="H19" s="64">
        <f t="shared" si="2"/>
        <v>11301.331603453062</v>
      </c>
      <c r="I19" s="63">
        <f t="shared" si="3"/>
        <v>4.2663759249445361E-3</v>
      </c>
      <c r="J19" s="65">
        <v>0.48616062885255751</v>
      </c>
    </row>
    <row r="20" spans="1:10" s="71" customFormat="1" hidden="1" x14ac:dyDescent="0.25">
      <c r="A20" s="66"/>
      <c r="B20" s="67" t="s">
        <v>87</v>
      </c>
      <c r="C20" s="59" t="s">
        <v>87</v>
      </c>
      <c r="D20" s="60"/>
      <c r="E20" s="68">
        <f t="shared" si="0"/>
        <v>0</v>
      </c>
      <c r="F20" s="62"/>
      <c r="G20" s="69">
        <f t="shared" si="1"/>
        <v>0</v>
      </c>
      <c r="H20" s="70">
        <f t="shared" si="2"/>
        <v>0</v>
      </c>
      <c r="I20" s="69">
        <f t="shared" si="3"/>
        <v>0</v>
      </c>
      <c r="J20" s="65"/>
    </row>
    <row r="21" spans="1:10" s="71" customFormat="1" hidden="1" x14ac:dyDescent="0.25">
      <c r="A21" s="66"/>
      <c r="B21" s="67" t="s">
        <v>87</v>
      </c>
      <c r="C21" s="59" t="s">
        <v>87</v>
      </c>
      <c r="D21" s="60"/>
      <c r="E21" s="68">
        <f t="shared" si="0"/>
        <v>0</v>
      </c>
      <c r="F21" s="62"/>
      <c r="G21" s="69">
        <f t="shared" si="1"/>
        <v>0</v>
      </c>
      <c r="H21" s="70">
        <f t="shared" si="2"/>
        <v>0</v>
      </c>
      <c r="I21" s="69">
        <f t="shared" si="3"/>
        <v>0</v>
      </c>
      <c r="J21" s="65"/>
    </row>
    <row r="22" spans="1:10" s="71" customFormat="1" hidden="1" x14ac:dyDescent="0.25">
      <c r="A22" s="66"/>
      <c r="B22" s="67" t="s">
        <v>87</v>
      </c>
      <c r="C22" s="59" t="s">
        <v>87</v>
      </c>
      <c r="D22" s="60"/>
      <c r="E22" s="68">
        <f t="shared" si="0"/>
        <v>0</v>
      </c>
      <c r="F22" s="62"/>
      <c r="G22" s="69">
        <f t="shared" si="1"/>
        <v>0</v>
      </c>
      <c r="H22" s="70">
        <f t="shared" si="2"/>
        <v>0</v>
      </c>
      <c r="I22" s="69">
        <f t="shared" si="3"/>
        <v>0</v>
      </c>
      <c r="J22" s="65"/>
    </row>
    <row r="23" spans="1:10" s="71" customFormat="1" hidden="1" x14ac:dyDescent="0.25">
      <c r="A23" s="66"/>
      <c r="B23" s="67" t="s">
        <v>87</v>
      </c>
      <c r="C23" s="59" t="s">
        <v>87</v>
      </c>
      <c r="D23" s="60"/>
      <c r="E23" s="68">
        <f t="shared" si="0"/>
        <v>0</v>
      </c>
      <c r="F23" s="62"/>
      <c r="G23" s="69">
        <f t="shared" si="1"/>
        <v>0</v>
      </c>
      <c r="H23" s="70">
        <f t="shared" si="2"/>
        <v>0</v>
      </c>
      <c r="I23" s="69">
        <f t="shared" si="3"/>
        <v>0</v>
      </c>
      <c r="J23" s="65"/>
    </row>
    <row r="24" spans="1:10" s="71" customFormat="1" hidden="1" x14ac:dyDescent="0.25">
      <c r="A24" s="66"/>
      <c r="B24" s="67" t="s">
        <v>87</v>
      </c>
      <c r="C24" s="59" t="s">
        <v>87</v>
      </c>
      <c r="D24" s="60"/>
      <c r="E24" s="68">
        <f t="shared" si="0"/>
        <v>0</v>
      </c>
      <c r="F24" s="62"/>
      <c r="G24" s="69">
        <f t="shared" si="1"/>
        <v>0</v>
      </c>
      <c r="H24" s="70">
        <f t="shared" si="2"/>
        <v>0</v>
      </c>
      <c r="I24" s="69">
        <f t="shared" si="3"/>
        <v>0</v>
      </c>
      <c r="J24" s="65"/>
    </row>
    <row r="25" spans="1:10" s="71" customFormat="1" hidden="1" x14ac:dyDescent="0.25">
      <c r="A25" s="66"/>
      <c r="B25" s="67" t="s">
        <v>87</v>
      </c>
      <c r="C25" s="59" t="s">
        <v>87</v>
      </c>
      <c r="D25" s="60"/>
      <c r="E25" s="68">
        <f t="shared" si="0"/>
        <v>0</v>
      </c>
      <c r="F25" s="62"/>
      <c r="G25" s="69">
        <f t="shared" si="1"/>
        <v>0</v>
      </c>
      <c r="H25" s="70">
        <f t="shared" si="2"/>
        <v>0</v>
      </c>
      <c r="I25" s="69">
        <f t="shared" si="3"/>
        <v>0</v>
      </c>
      <c r="J25" s="65"/>
    </row>
    <row r="26" spans="1:10" s="71" customFormat="1" hidden="1" x14ac:dyDescent="0.25">
      <c r="A26" s="66"/>
      <c r="B26" s="67" t="s">
        <v>87</v>
      </c>
      <c r="C26" s="59" t="s">
        <v>87</v>
      </c>
      <c r="D26" s="60"/>
      <c r="E26" s="68">
        <f t="shared" si="0"/>
        <v>0</v>
      </c>
      <c r="F26" s="62"/>
      <c r="G26" s="69">
        <f t="shared" si="1"/>
        <v>0</v>
      </c>
      <c r="H26" s="70">
        <f t="shared" si="2"/>
        <v>0</v>
      </c>
      <c r="I26" s="69">
        <f t="shared" si="3"/>
        <v>0</v>
      </c>
      <c r="J26" s="65"/>
    </row>
    <row r="27" spans="1:10" s="71" customFormat="1" hidden="1" x14ac:dyDescent="0.25">
      <c r="A27" s="66"/>
      <c r="B27" s="67" t="s">
        <v>87</v>
      </c>
      <c r="C27" s="59" t="s">
        <v>87</v>
      </c>
      <c r="D27" s="60"/>
      <c r="E27" s="68">
        <f t="shared" si="0"/>
        <v>0</v>
      </c>
      <c r="F27" s="62"/>
      <c r="G27" s="69">
        <f t="shared" si="1"/>
        <v>0</v>
      </c>
      <c r="H27" s="70">
        <f t="shared" si="2"/>
        <v>0</v>
      </c>
      <c r="I27" s="69">
        <f t="shared" si="3"/>
        <v>0</v>
      </c>
      <c r="J27" s="65"/>
    </row>
    <row r="28" spans="1:10" s="71" customFormat="1" hidden="1" x14ac:dyDescent="0.25">
      <c r="A28" s="66"/>
      <c r="B28" s="67" t="s">
        <v>87</v>
      </c>
      <c r="C28" s="59" t="s">
        <v>87</v>
      </c>
      <c r="D28" s="60"/>
      <c r="E28" s="68">
        <f t="shared" si="0"/>
        <v>0</v>
      </c>
      <c r="F28" s="62"/>
      <c r="G28" s="69">
        <f t="shared" si="1"/>
        <v>0</v>
      </c>
      <c r="H28" s="70">
        <f t="shared" si="2"/>
        <v>0</v>
      </c>
      <c r="I28" s="69">
        <f t="shared" si="3"/>
        <v>0</v>
      </c>
      <c r="J28" s="65"/>
    </row>
    <row r="29" spans="1:10" s="71" customFormat="1" hidden="1" x14ac:dyDescent="0.25">
      <c r="A29" s="66"/>
      <c r="B29" s="67" t="s">
        <v>87</v>
      </c>
      <c r="C29" s="59" t="s">
        <v>87</v>
      </c>
      <c r="D29" s="60"/>
      <c r="E29" s="68">
        <f t="shared" si="0"/>
        <v>0</v>
      </c>
      <c r="F29" s="62"/>
      <c r="G29" s="69">
        <f t="shared" si="1"/>
        <v>0</v>
      </c>
      <c r="H29" s="70">
        <f t="shared" si="2"/>
        <v>0</v>
      </c>
      <c r="I29" s="69">
        <f t="shared" si="3"/>
        <v>0</v>
      </c>
      <c r="J29" s="65"/>
    </row>
    <row r="30" spans="1:10" s="71" customFormat="1" hidden="1" x14ac:dyDescent="0.25">
      <c r="A30" s="66"/>
      <c r="B30" s="72" t="s">
        <v>87</v>
      </c>
      <c r="C30" s="73" t="s">
        <v>87</v>
      </c>
      <c r="D30" s="74"/>
      <c r="E30" s="75">
        <f t="shared" si="0"/>
        <v>0</v>
      </c>
      <c r="F30" s="76"/>
      <c r="G30" s="77">
        <f t="shared" si="1"/>
        <v>0</v>
      </c>
      <c r="H30" s="78">
        <f t="shared" si="2"/>
        <v>0</v>
      </c>
      <c r="I30" s="77">
        <f t="shared" si="3"/>
        <v>0</v>
      </c>
      <c r="J30" s="79"/>
    </row>
    <row r="31" spans="1:10" x14ac:dyDescent="0.25">
      <c r="A31" s="18"/>
      <c r="B31" s="80" t="s">
        <v>9</v>
      </c>
      <c r="C31" s="81" t="s">
        <v>10</v>
      </c>
      <c r="D31" s="82">
        <f>SUBTOTAL(9,D11:D19)</f>
        <v>2753530.0995200002</v>
      </c>
      <c r="E31" s="83">
        <f>SUBTOTAL(9,E11:E30)</f>
        <v>1.0000000000000002</v>
      </c>
      <c r="F31" s="82">
        <f>SUBTOTAL(9,F11:F19)</f>
        <v>104600</v>
      </c>
      <c r="G31" s="84">
        <f>SUBTOTAL(9,G11:G30)</f>
        <v>1</v>
      </c>
      <c r="H31" s="85">
        <f t="shared" si="2"/>
        <v>2648930.0995200002</v>
      </c>
      <c r="I31" s="84">
        <f>SUBTOTAL(9,I11:I30)</f>
        <v>1.0000000000000002</v>
      </c>
      <c r="J31" s="86">
        <v>1</v>
      </c>
    </row>
    <row r="32" spans="1:10" x14ac:dyDescent="0.25">
      <c r="A32" s="18"/>
      <c r="B32" s="87"/>
      <c r="C32" s="88" t="s">
        <v>10</v>
      </c>
      <c r="D32" s="89" t="str">
        <f>IF(ABS(D31-SUBTOTAL(9,D11:D30))&lt;1.5,"OK","ERROR")</f>
        <v>OK</v>
      </c>
      <c r="E32" s="90" t="str">
        <f>IF(ABS(E31-1)&lt;0.005,"OK","ERROR")</f>
        <v>OK</v>
      </c>
      <c r="F32" s="89" t="str">
        <f>IF(ABS(F31-SUBTOTAL(9,F11:F30))&lt;1.5,"OK","ERROR")</f>
        <v>OK</v>
      </c>
      <c r="G32" s="91" t="str">
        <f>IF(ABS(G31-1)&lt;0.005,"OK","ERROR")</f>
        <v>OK</v>
      </c>
      <c r="H32" s="92" t="str">
        <f>IF(ABS(H31-SUBTOTAL(9,H11:H30))&lt;1.5,"OK","ERROR")</f>
        <v>OK</v>
      </c>
      <c r="I32" s="93" t="str">
        <f>IF(ABS(I31-1)&lt;0.005,"OK","ERROR")</f>
        <v>OK</v>
      </c>
      <c r="J32" s="6"/>
    </row>
    <row r="33" spans="1:10" ht="17.25" customHeight="1" x14ac:dyDescent="0.25">
      <c r="A33" s="94"/>
      <c r="B33" s="95" t="s">
        <v>11</v>
      </c>
      <c r="C33" s="96" t="s">
        <v>10</v>
      </c>
      <c r="D33" s="97"/>
      <c r="E33" s="97"/>
      <c r="F33" s="97"/>
      <c r="G33" s="97"/>
      <c r="H33" s="97"/>
      <c r="I33" s="97"/>
      <c r="J33" s="98"/>
    </row>
    <row r="34" spans="1:10" x14ac:dyDescent="0.25">
      <c r="A34" s="18"/>
      <c r="B34" s="87"/>
      <c r="C34" s="88" t="s">
        <v>10</v>
      </c>
      <c r="D34" s="99"/>
      <c r="E34" s="99"/>
      <c r="F34" s="99"/>
      <c r="G34" s="99"/>
      <c r="H34" s="99"/>
      <c r="I34" s="5"/>
      <c r="J34" s="6"/>
    </row>
    <row r="35" spans="1:10" x14ac:dyDescent="0.25">
      <c r="A35" s="18"/>
      <c r="B35" s="100">
        <v>0</v>
      </c>
      <c r="C35" s="101" t="s">
        <v>10</v>
      </c>
      <c r="D35" s="102" t="s">
        <v>12</v>
      </c>
      <c r="E35" s="103"/>
      <c r="F35" s="103"/>
      <c r="G35" s="103"/>
      <c r="H35" s="104"/>
      <c r="I35" s="105"/>
      <c r="J35" s="6"/>
    </row>
    <row r="36" spans="1:10" ht="39.6" x14ac:dyDescent="0.25">
      <c r="A36" s="18"/>
      <c r="B36" s="106" t="s">
        <v>2</v>
      </c>
      <c r="C36" s="107" t="s">
        <v>3</v>
      </c>
      <c r="D36" s="108" t="s">
        <v>13</v>
      </c>
      <c r="E36" s="109" t="s">
        <v>14</v>
      </c>
      <c r="F36" s="110" t="s">
        <v>15</v>
      </c>
      <c r="G36" s="111" t="s">
        <v>16</v>
      </c>
      <c r="H36" s="112" t="s">
        <v>17</v>
      </c>
      <c r="I36" s="113"/>
      <c r="J36" s="6"/>
    </row>
    <row r="37" spans="1:10" x14ac:dyDescent="0.25">
      <c r="A37" s="18"/>
      <c r="B37" s="50" t="str">
        <f t="shared" ref="B37:C52" si="4">B11</f>
        <v>Residential</v>
      </c>
      <c r="C37" s="51" t="str">
        <f t="shared" si="4"/>
        <v>Continued</v>
      </c>
      <c r="D37" s="114">
        <v>9.5967079652296867</v>
      </c>
      <c r="E37" s="115">
        <v>16.806003514054435</v>
      </c>
      <c r="F37" s="116">
        <v>25.379875017618875</v>
      </c>
      <c r="G37" s="116">
        <v>14.2</v>
      </c>
      <c r="H37" s="117">
        <f>MAX(E37:G37)</f>
        <v>25.379875017618875</v>
      </c>
      <c r="I37" s="118"/>
      <c r="J37" s="6"/>
    </row>
    <row r="38" spans="1:10" x14ac:dyDescent="0.25">
      <c r="A38" s="18"/>
      <c r="B38" s="58" t="str">
        <f t="shared" si="4"/>
        <v>GS &lt;50</v>
      </c>
      <c r="C38" s="59" t="str">
        <f t="shared" si="4"/>
        <v>Continued</v>
      </c>
      <c r="D38" s="114">
        <v>13.856560188515031</v>
      </c>
      <c r="E38" s="115">
        <v>24.7518607081422</v>
      </c>
      <c r="F38" s="116">
        <v>37.003125515910334</v>
      </c>
      <c r="G38" s="116">
        <v>33.72</v>
      </c>
      <c r="H38" s="119">
        <f t="shared" ref="H38:H56" si="5">MAX(E38:G38)</f>
        <v>37.003125515910334</v>
      </c>
      <c r="I38" s="118"/>
      <c r="J38" s="6"/>
    </row>
    <row r="39" spans="1:10" s="71" customFormat="1" x14ac:dyDescent="0.25">
      <c r="A39" s="66"/>
      <c r="B39" s="67" t="str">
        <f t="shared" si="4"/>
        <v>GS 50 - 499 kW</v>
      </c>
      <c r="C39" s="59" t="str">
        <f t="shared" si="4"/>
        <v>Continued</v>
      </c>
      <c r="D39" s="114">
        <v>88.715708043694676</v>
      </c>
      <c r="E39" s="115">
        <v>153.28587600392999</v>
      </c>
      <c r="F39" s="116">
        <v>176.8033480747583</v>
      </c>
      <c r="G39" s="116">
        <v>396.04</v>
      </c>
      <c r="H39" s="121">
        <f t="shared" si="5"/>
        <v>396.04</v>
      </c>
      <c r="I39" s="122"/>
      <c r="J39" s="123"/>
    </row>
    <row r="40" spans="1:10" s="71" customFormat="1" x14ac:dyDescent="0.25">
      <c r="A40" s="66"/>
      <c r="B40" s="67" t="str">
        <f t="shared" si="4"/>
        <v>GS 500 kW - 4999 kW</v>
      </c>
      <c r="C40" s="59" t="str">
        <f t="shared" si="4"/>
        <v>Continued</v>
      </c>
      <c r="D40" s="114">
        <v>329.76336898646963</v>
      </c>
      <c r="E40" s="115">
        <v>626.82520638732331</v>
      </c>
      <c r="F40" s="116">
        <v>651.84916681084485</v>
      </c>
      <c r="G40" s="116">
        <v>2974.29</v>
      </c>
      <c r="H40" s="121">
        <f t="shared" si="5"/>
        <v>2974.29</v>
      </c>
      <c r="I40" s="122"/>
      <c r="J40" s="123"/>
    </row>
    <row r="41" spans="1:10" hidden="1" x14ac:dyDescent="0.25">
      <c r="A41" s="18"/>
      <c r="B41" s="58" t="str">
        <f t="shared" si="4"/>
        <v>GS &gt;50-Intermediate</v>
      </c>
      <c r="C41" s="59">
        <f t="shared" si="4"/>
        <v>0</v>
      </c>
      <c r="D41" s="114"/>
      <c r="E41" s="115"/>
      <c r="F41" s="116"/>
      <c r="G41" s="116">
        <v>0</v>
      </c>
      <c r="H41" s="119">
        <f t="shared" si="5"/>
        <v>0</v>
      </c>
      <c r="I41" s="118"/>
      <c r="J41" s="6"/>
    </row>
    <row r="42" spans="1:10" x14ac:dyDescent="0.25">
      <c r="A42" s="18"/>
      <c r="B42" s="58" t="str">
        <f t="shared" si="4"/>
        <v>Large Use &gt;5MW</v>
      </c>
      <c r="C42" s="59" t="str">
        <f t="shared" si="4"/>
        <v>Continued</v>
      </c>
      <c r="D42" s="114">
        <v>1216.2523104455699</v>
      </c>
      <c r="E42" s="115">
        <v>2320.2454998788357</v>
      </c>
      <c r="F42" s="116">
        <v>2379.289877003845</v>
      </c>
      <c r="G42" s="116">
        <v>9509.57</v>
      </c>
      <c r="H42" s="119">
        <f t="shared" si="5"/>
        <v>9509.57</v>
      </c>
      <c r="I42" s="118"/>
      <c r="J42" s="6"/>
    </row>
    <row r="43" spans="1:10" x14ac:dyDescent="0.25">
      <c r="A43" s="18"/>
      <c r="B43" s="58" t="str">
        <f t="shared" si="4"/>
        <v>Street Light</v>
      </c>
      <c r="C43" s="59" t="str">
        <f t="shared" si="4"/>
        <v>Continued</v>
      </c>
      <c r="D43" s="114">
        <v>0.51839634305429627</v>
      </c>
      <c r="E43" s="115">
        <v>0.98936587022009981</v>
      </c>
      <c r="F43" s="116">
        <v>11.351663310832558</v>
      </c>
      <c r="G43" s="116">
        <v>1.97</v>
      </c>
      <c r="H43" s="119">
        <f t="shared" si="5"/>
        <v>11.351663310832558</v>
      </c>
      <c r="I43" s="118"/>
      <c r="J43" s="6"/>
    </row>
    <row r="44" spans="1:10" x14ac:dyDescent="0.25">
      <c r="A44" s="18"/>
      <c r="B44" s="58" t="str">
        <f t="shared" si="4"/>
        <v>Sentinel</v>
      </c>
      <c r="C44" s="59" t="str">
        <f t="shared" si="4"/>
        <v>Continued</v>
      </c>
      <c r="D44" s="114">
        <v>16.276018111387589</v>
      </c>
      <c r="E44" s="115">
        <v>29.476817817770211</v>
      </c>
      <c r="F44" s="116">
        <v>35.390916405610369</v>
      </c>
      <c r="G44" s="116">
        <v>5.69</v>
      </c>
      <c r="H44" s="119">
        <f t="shared" si="5"/>
        <v>35.390916405610369</v>
      </c>
      <c r="I44" s="118"/>
      <c r="J44" s="6"/>
    </row>
    <row r="45" spans="1:10" x14ac:dyDescent="0.25">
      <c r="A45" s="18"/>
      <c r="B45" s="58" t="str">
        <f t="shared" si="4"/>
        <v>Unmetered Scattered Load</v>
      </c>
      <c r="C45" s="59" t="str">
        <f t="shared" si="4"/>
        <v>Continued</v>
      </c>
      <c r="D45" s="114">
        <v>124.55895057059489</v>
      </c>
      <c r="E45" s="115">
        <v>224.49046571274508</v>
      </c>
      <c r="F45" s="116">
        <v>232.87693936120149</v>
      </c>
      <c r="G45" s="116">
        <v>33.729999999999997</v>
      </c>
      <c r="H45" s="119">
        <f t="shared" si="5"/>
        <v>232.87693936120149</v>
      </c>
      <c r="I45" s="118"/>
      <c r="J45" s="6"/>
    </row>
    <row r="46" spans="1:10" s="71" customFormat="1" hidden="1" x14ac:dyDescent="0.25">
      <c r="A46" s="66"/>
      <c r="B46" s="67" t="str">
        <f t="shared" si="4"/>
        <v/>
      </c>
      <c r="C46" s="59" t="str">
        <f t="shared" si="4"/>
        <v/>
      </c>
      <c r="D46" s="114"/>
      <c r="E46" s="115"/>
      <c r="F46" s="116"/>
      <c r="G46" s="120">
        <v>0</v>
      </c>
      <c r="H46" s="121">
        <f t="shared" si="5"/>
        <v>0</v>
      </c>
      <c r="I46" s="122"/>
      <c r="J46" s="123"/>
    </row>
    <row r="47" spans="1:10" s="71" customFormat="1" hidden="1" x14ac:dyDescent="0.25">
      <c r="A47" s="66"/>
      <c r="B47" s="67" t="str">
        <f t="shared" si="4"/>
        <v/>
      </c>
      <c r="C47" s="59" t="str">
        <f t="shared" si="4"/>
        <v/>
      </c>
      <c r="D47" s="114"/>
      <c r="E47" s="115"/>
      <c r="F47" s="116"/>
      <c r="G47" s="120">
        <v>0</v>
      </c>
      <c r="H47" s="121">
        <f t="shared" si="5"/>
        <v>0</v>
      </c>
      <c r="I47" s="122"/>
      <c r="J47" s="123"/>
    </row>
    <row r="48" spans="1:10" s="71" customFormat="1" hidden="1" x14ac:dyDescent="0.25">
      <c r="A48" s="66"/>
      <c r="B48" s="67" t="str">
        <f t="shared" si="4"/>
        <v/>
      </c>
      <c r="C48" s="59" t="str">
        <f t="shared" si="4"/>
        <v/>
      </c>
      <c r="D48" s="114"/>
      <c r="E48" s="115"/>
      <c r="F48" s="116"/>
      <c r="G48" s="120">
        <v>0</v>
      </c>
      <c r="H48" s="121">
        <f t="shared" si="5"/>
        <v>0</v>
      </c>
      <c r="I48" s="122"/>
      <c r="J48" s="123"/>
    </row>
    <row r="49" spans="1:10" s="71" customFormat="1" hidden="1" x14ac:dyDescent="0.25">
      <c r="A49" s="66"/>
      <c r="B49" s="67" t="str">
        <f t="shared" si="4"/>
        <v/>
      </c>
      <c r="C49" s="59" t="str">
        <f t="shared" si="4"/>
        <v/>
      </c>
      <c r="D49" s="114"/>
      <c r="E49" s="115"/>
      <c r="F49" s="116"/>
      <c r="G49" s="120">
        <v>0</v>
      </c>
      <c r="H49" s="121">
        <f t="shared" si="5"/>
        <v>0</v>
      </c>
      <c r="I49" s="122"/>
      <c r="J49" s="123"/>
    </row>
    <row r="50" spans="1:10" s="71" customFormat="1" hidden="1" x14ac:dyDescent="0.25">
      <c r="A50" s="66"/>
      <c r="B50" s="67" t="str">
        <f t="shared" si="4"/>
        <v/>
      </c>
      <c r="C50" s="59" t="str">
        <f t="shared" si="4"/>
        <v/>
      </c>
      <c r="D50" s="114"/>
      <c r="E50" s="115"/>
      <c r="F50" s="116"/>
      <c r="G50" s="120">
        <v>0</v>
      </c>
      <c r="H50" s="121">
        <f t="shared" si="5"/>
        <v>0</v>
      </c>
      <c r="I50" s="122"/>
      <c r="J50" s="123"/>
    </row>
    <row r="51" spans="1:10" s="71" customFormat="1" hidden="1" x14ac:dyDescent="0.25">
      <c r="A51" s="66"/>
      <c r="B51" s="67" t="str">
        <f t="shared" si="4"/>
        <v/>
      </c>
      <c r="C51" s="59" t="str">
        <f t="shared" si="4"/>
        <v/>
      </c>
      <c r="D51" s="114"/>
      <c r="E51" s="115"/>
      <c r="F51" s="116"/>
      <c r="G51" s="120">
        <v>0</v>
      </c>
      <c r="H51" s="121">
        <f t="shared" si="5"/>
        <v>0</v>
      </c>
      <c r="I51" s="122"/>
      <c r="J51" s="123"/>
    </row>
    <row r="52" spans="1:10" s="71" customFormat="1" hidden="1" x14ac:dyDescent="0.25">
      <c r="A52" s="66"/>
      <c r="B52" s="67" t="str">
        <f t="shared" si="4"/>
        <v/>
      </c>
      <c r="C52" s="59" t="str">
        <f t="shared" si="4"/>
        <v/>
      </c>
      <c r="D52" s="114"/>
      <c r="E52" s="115"/>
      <c r="F52" s="116"/>
      <c r="G52" s="120">
        <v>0</v>
      </c>
      <c r="H52" s="121">
        <f t="shared" si="5"/>
        <v>0</v>
      </c>
      <c r="I52" s="122"/>
      <c r="J52" s="123"/>
    </row>
    <row r="53" spans="1:10" s="71" customFormat="1" hidden="1" x14ac:dyDescent="0.25">
      <c r="A53" s="66"/>
      <c r="B53" s="67" t="str">
        <f t="shared" ref="B53:C56" si="6">B27</f>
        <v/>
      </c>
      <c r="C53" s="59" t="str">
        <f t="shared" si="6"/>
        <v/>
      </c>
      <c r="D53" s="114"/>
      <c r="E53" s="115"/>
      <c r="F53" s="116"/>
      <c r="G53" s="120">
        <v>0</v>
      </c>
      <c r="H53" s="121">
        <f t="shared" si="5"/>
        <v>0</v>
      </c>
      <c r="I53" s="122"/>
      <c r="J53" s="123"/>
    </row>
    <row r="54" spans="1:10" s="71" customFormat="1" hidden="1" x14ac:dyDescent="0.25">
      <c r="A54" s="66"/>
      <c r="B54" s="72" t="str">
        <f t="shared" si="6"/>
        <v/>
      </c>
      <c r="C54" s="73" t="str">
        <f t="shared" si="6"/>
        <v/>
      </c>
      <c r="D54" s="124"/>
      <c r="E54" s="125"/>
      <c r="F54" s="126"/>
      <c r="G54" s="120">
        <v>0</v>
      </c>
      <c r="H54" s="121">
        <f t="shared" si="5"/>
        <v>0</v>
      </c>
      <c r="I54" s="122"/>
      <c r="J54" s="123"/>
    </row>
    <row r="55" spans="1:10" s="71" customFormat="1" hidden="1" x14ac:dyDescent="0.25">
      <c r="A55" s="66"/>
      <c r="B55" s="59" t="str">
        <f t="shared" si="6"/>
        <v/>
      </c>
      <c r="C55" s="59" t="str">
        <f t="shared" si="6"/>
        <v/>
      </c>
      <c r="D55" s="114"/>
      <c r="E55" s="115"/>
      <c r="F55" s="116"/>
      <c r="G55" s="120">
        <v>0</v>
      </c>
      <c r="H55" s="121">
        <f t="shared" si="5"/>
        <v>0</v>
      </c>
      <c r="I55" s="122"/>
      <c r="J55" s="123"/>
    </row>
    <row r="56" spans="1:10" s="71" customFormat="1" hidden="1" x14ac:dyDescent="0.25">
      <c r="A56" s="66"/>
      <c r="B56" s="127" t="str">
        <f t="shared" si="6"/>
        <v/>
      </c>
      <c r="C56" s="127" t="str">
        <f t="shared" si="6"/>
        <v/>
      </c>
      <c r="D56" s="128"/>
      <c r="E56" s="129"/>
      <c r="F56" s="130"/>
      <c r="G56" s="131">
        <v>0</v>
      </c>
      <c r="H56" s="132">
        <f t="shared" si="5"/>
        <v>0</v>
      </c>
      <c r="I56" s="122"/>
      <c r="J56" s="123"/>
    </row>
    <row r="57" spans="1:10" x14ac:dyDescent="0.25">
      <c r="A57" s="18"/>
      <c r="B57" s="95" t="s">
        <v>18</v>
      </c>
      <c r="C57" s="88" t="s">
        <v>89</v>
      </c>
      <c r="D57" s="99"/>
      <c r="E57" s="99"/>
      <c r="F57" s="99"/>
      <c r="G57" s="99"/>
      <c r="H57" s="99"/>
      <c r="I57" s="5"/>
      <c r="J57" s="6"/>
    </row>
    <row r="58" spans="1:10" x14ac:dyDescent="0.25">
      <c r="A58" s="18"/>
      <c r="B58" s="95" t="s">
        <v>19</v>
      </c>
      <c r="C58" s="88" t="s">
        <v>89</v>
      </c>
      <c r="D58" s="99"/>
      <c r="E58" s="99"/>
      <c r="F58" s="99"/>
      <c r="G58" s="99"/>
      <c r="H58" s="99"/>
      <c r="I58" s="5"/>
      <c r="J58" s="6"/>
    </row>
    <row r="59" spans="1:10" x14ac:dyDescent="0.25">
      <c r="A59" s="133"/>
      <c r="B59" s="134"/>
      <c r="C59" s="135" t="s">
        <v>89</v>
      </c>
      <c r="D59" s="136"/>
      <c r="E59" s="136"/>
      <c r="F59" s="136"/>
      <c r="G59" s="136"/>
      <c r="H59" s="136"/>
      <c r="I59" s="134"/>
      <c r="J59" s="137"/>
    </row>
  </sheetData>
  <autoFilter ref="B10:C59">
    <filterColumn colId="1">
      <customFilters>
        <customFilter operator="notEqual" val=" "/>
      </customFilters>
    </filterColumn>
  </autoFilter>
  <conditionalFormatting sqref="D32:I32">
    <cfRule type="cellIs" dxfId="10" priority="3" stopIfTrue="1" operator="equal">
      <formula>"OK"</formula>
    </cfRule>
  </conditionalFormatting>
  <conditionalFormatting sqref="B1:D1">
    <cfRule type="expression" dxfId="9" priority="2" stopIfTrue="1">
      <formula>LEFT($B1,6)="Macros"</formula>
    </cfRule>
  </conditionalFormatting>
  <conditionalFormatting sqref="B7">
    <cfRule type="cellIs" dxfId="8" priority="1" stopIfTrue="1" operator="equal">
      <formula>B6</formula>
    </cfRule>
  </conditionalFormatting>
  <dataValidations count="2">
    <dataValidation type="decimal" allowBlank="1" showInputMessage="1" showErrorMessage="1" errorTitle="Invalid amount" error="Amount must be positive numeric value" sqref="H11:H31 D11:D31 F11:F31">
      <formula1>0</formula1>
      <formula2>999999999</formula2>
    </dataValidation>
    <dataValidation showInputMessage="1" showErrorMessage="1" sqref="B35:C56 F10 B9:E10 F9:H9 H10 B11:C30"/>
  </dataValidations>
  <hyperlinks>
    <hyperlink ref="A9" location="Overview!A1" display="Go to Overview"/>
  </hyperlinks>
  <pageMargins left="0.5" right="0.5" top="0.5" bottom="0.75" header="0" footer="0.5"/>
  <pageSetup fitToHeight="0" pageOrder="overThenDown" orientation="landscape" r:id="rId1"/>
  <headerFooter alignWithMargins="0">
    <oddFooter>&amp;LPrinted: &amp;D &amp;T&amp;R&amp;P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filterMode="1">
    <tabColor indexed="21"/>
  </sheetPr>
  <dimension ref="A1:L89"/>
  <sheetViews>
    <sheetView showZeros="0" zoomScale="70" zoomScaleNormal="70" workbookViewId="0">
      <pane xSplit="3" ySplit="10" topLeftCell="D14" activePane="bottomRight" state="frozen"/>
      <selection activeCell="J82" sqref="J82"/>
      <selection pane="topRight" activeCell="J82" sqref="J82"/>
      <selection pane="bottomLeft" activeCell="J82" sqref="J82"/>
      <selection pane="bottomRight" activeCell="F66" sqref="F66"/>
    </sheetView>
  </sheetViews>
  <sheetFormatPr defaultColWidth="9.109375" defaultRowHeight="13.2" outlineLevelCol="1" x14ac:dyDescent="0.25"/>
  <cols>
    <col min="1" max="1" width="12.88671875" style="257" customWidth="1"/>
    <col min="2" max="2" width="33.33203125" style="256" customWidth="1"/>
    <col min="3" max="3" width="35.6640625" style="138" customWidth="1" outlineLevel="1"/>
    <col min="4" max="6" width="13.6640625" style="7" customWidth="1"/>
    <col min="7" max="7" width="14.6640625" style="7" customWidth="1"/>
    <col min="8" max="9" width="13.6640625" style="7" customWidth="1"/>
    <col min="10" max="10" width="12" style="7" customWidth="1"/>
    <col min="11" max="11" width="13.6640625" style="7" customWidth="1"/>
    <col min="12" max="12" width="12.6640625" style="7" customWidth="1"/>
    <col min="13" max="16384" width="9.109375" style="7"/>
  </cols>
  <sheetData>
    <row r="1" spans="1:12" x14ac:dyDescent="0.25">
      <c r="A1" s="1"/>
      <c r="B1" s="3" t="s">
        <v>83</v>
      </c>
      <c r="C1" s="2"/>
      <c r="D1" s="2"/>
      <c r="E1" s="3"/>
      <c r="F1" s="4"/>
      <c r="G1" s="4"/>
      <c r="H1" s="4"/>
      <c r="I1" s="4"/>
      <c r="J1" s="4"/>
      <c r="K1" s="4"/>
    </row>
    <row r="2" spans="1:12" ht="21" x14ac:dyDescent="0.25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11"/>
      <c r="J2" s="11"/>
      <c r="K2" s="11"/>
    </row>
    <row r="3" spans="1:12" ht="15.6" x14ac:dyDescent="0.25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</row>
    <row r="4" spans="1:12" ht="15.6" x14ac:dyDescent="0.25">
      <c r="A4" s="12"/>
      <c r="B4" s="16"/>
      <c r="C4" s="17"/>
      <c r="D4" s="15"/>
      <c r="E4" s="15"/>
      <c r="F4" s="15"/>
      <c r="G4" s="15"/>
      <c r="H4" s="15"/>
      <c r="I4" s="15"/>
      <c r="J4" s="15"/>
      <c r="K4" s="15"/>
    </row>
    <row r="5" spans="1:12" x14ac:dyDescent="0.25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</row>
    <row r="6" spans="1:12" ht="25.5" customHeight="1" x14ac:dyDescent="0.25">
      <c r="A6" s="22"/>
      <c r="B6" s="139"/>
      <c r="C6" s="24"/>
      <c r="D6" s="25"/>
      <c r="E6" s="25"/>
      <c r="F6" s="25"/>
      <c r="G6" s="25"/>
      <c r="H6" s="25"/>
      <c r="I6" s="25"/>
      <c r="J6" s="25"/>
      <c r="K6" s="25"/>
    </row>
    <row r="7" spans="1:12" ht="18" x14ac:dyDescent="0.25">
      <c r="A7" s="28"/>
      <c r="B7" s="140"/>
      <c r="C7" s="30"/>
      <c r="D7" s="31"/>
      <c r="E7" s="31"/>
      <c r="F7" s="31"/>
      <c r="G7" s="31"/>
      <c r="H7" s="31"/>
      <c r="I7" s="31"/>
      <c r="J7" s="31"/>
      <c r="K7" s="31"/>
    </row>
    <row r="8" spans="1:12" x14ac:dyDescent="0.25">
      <c r="A8" s="32"/>
      <c r="B8" s="19"/>
      <c r="C8" s="20"/>
      <c r="D8" s="141"/>
      <c r="E8" s="141"/>
      <c r="F8" s="141"/>
      <c r="G8" s="141"/>
      <c r="H8" s="141"/>
      <c r="I8" s="141"/>
      <c r="J8" s="141"/>
      <c r="K8" s="142"/>
    </row>
    <row r="9" spans="1:12" ht="15.6" x14ac:dyDescent="0.25">
      <c r="A9" s="33" t="s">
        <v>0</v>
      </c>
      <c r="B9" s="34"/>
      <c r="C9" s="143"/>
      <c r="D9" s="144"/>
      <c r="E9" s="145" t="s">
        <v>20</v>
      </c>
      <c r="F9" s="146"/>
      <c r="G9" s="144"/>
      <c r="H9" s="145" t="s">
        <v>21</v>
      </c>
      <c r="I9" s="147"/>
      <c r="J9" s="148"/>
      <c r="K9" s="149"/>
    </row>
    <row r="10" spans="1:12" ht="28.8" x14ac:dyDescent="0.25">
      <c r="A10" s="18"/>
      <c r="B10" s="42" t="s">
        <v>2</v>
      </c>
      <c r="C10" s="150" t="s">
        <v>3</v>
      </c>
      <c r="D10" s="151" t="s">
        <v>22</v>
      </c>
      <c r="E10" s="152" t="s">
        <v>23</v>
      </c>
      <c r="F10" s="153" t="s">
        <v>24</v>
      </c>
      <c r="G10" s="151" t="s">
        <v>25</v>
      </c>
      <c r="H10" s="152" t="s">
        <v>26</v>
      </c>
      <c r="I10" s="154" t="s">
        <v>24</v>
      </c>
      <c r="J10" s="155"/>
      <c r="K10" s="156"/>
    </row>
    <row r="11" spans="1:12" x14ac:dyDescent="0.25">
      <c r="A11" s="18"/>
      <c r="B11" s="50" t="str">
        <f>F2.CostAllocation!B11</f>
        <v>Residential</v>
      </c>
      <c r="C11" s="50" t="str">
        <f>F2.CostAllocation!C11</f>
        <v>Continued</v>
      </c>
      <c r="D11" s="157">
        <f>F2.CostAllocation!$I11</f>
        <v>0.52412511708645215</v>
      </c>
      <c r="E11" s="342">
        <v>0.4894478507687845</v>
      </c>
      <c r="F11" s="342">
        <f>E11</f>
        <v>0.4894478507687845</v>
      </c>
      <c r="G11" s="158">
        <f t="shared" ref="G11:G30" si="0">D11*G$31</f>
        <v>1388370.7985647474</v>
      </c>
      <c r="H11" s="158">
        <f t="shared" ref="H11:H30" si="1">E11*H$31</f>
        <v>1296513.1440468065</v>
      </c>
      <c r="I11" s="158">
        <f t="shared" ref="I11:I30" si="2">F11*I$31</f>
        <v>1296513.1440468065</v>
      </c>
      <c r="J11" s="160"/>
      <c r="K11" s="161"/>
    </row>
    <row r="12" spans="1:12" x14ac:dyDescent="0.25">
      <c r="A12" s="18"/>
      <c r="B12" s="50" t="str">
        <f>F2.CostAllocation!B12</f>
        <v>GS &lt;50</v>
      </c>
      <c r="C12" s="50" t="str">
        <f>F2.CostAllocation!C12</f>
        <v>Continued</v>
      </c>
      <c r="D12" s="162">
        <f>F2.CostAllocation!$I12</f>
        <v>0.12822735854545805</v>
      </c>
      <c r="E12" s="343">
        <v>0.16667445316045221</v>
      </c>
      <c r="F12" s="342">
        <v>0.15497690903531128</v>
      </c>
      <c r="G12" s="158">
        <f t="shared" si="0"/>
        <v>339665.30963300692</v>
      </c>
      <c r="H12" s="158">
        <f t="shared" si="1"/>
        <v>441508.97579775826</v>
      </c>
      <c r="I12" s="158">
        <f t="shared" si="2"/>
        <v>410522.99907420913</v>
      </c>
      <c r="J12" s="160"/>
      <c r="K12" s="161"/>
    </row>
    <row r="13" spans="1:12" s="71" customFormat="1" x14ac:dyDescent="0.25">
      <c r="A13" s="66"/>
      <c r="B13" s="50" t="str">
        <f>F2.CostAllocation!B13</f>
        <v>GS 50 - 499 kW</v>
      </c>
      <c r="C13" s="50" t="str">
        <f>F2.CostAllocation!C13</f>
        <v>Continued</v>
      </c>
      <c r="D13" s="167">
        <f>F2.CostAllocation!$I13</f>
        <v>8.1514633843450576E-2</v>
      </c>
      <c r="E13" s="344">
        <v>0.1489926888812883</v>
      </c>
      <c r="F13" s="342">
        <v>0.11973022619867188</v>
      </c>
      <c r="G13" s="158">
        <f t="shared" si="0"/>
        <v>215926.56713926792</v>
      </c>
      <c r="H13" s="158">
        <f t="shared" si="1"/>
        <v>394671.21818606346</v>
      </c>
      <c r="I13" s="158">
        <f t="shared" si="2"/>
        <v>317157.00000000006</v>
      </c>
      <c r="J13" s="171"/>
      <c r="K13" s="172"/>
      <c r="L13" s="7"/>
    </row>
    <row r="14" spans="1:12" s="71" customFormat="1" x14ac:dyDescent="0.25">
      <c r="A14" s="66"/>
      <c r="B14" s="50" t="str">
        <f>F2.CostAllocation!B14</f>
        <v>GS 500 kW - 4999 kW</v>
      </c>
      <c r="C14" s="50" t="str">
        <f>F2.CostAllocation!C14</f>
        <v>Continued</v>
      </c>
      <c r="D14" s="167">
        <f>F2.CostAllocation!$I14</f>
        <v>2.8313736015688633E-2</v>
      </c>
      <c r="E14" s="344">
        <v>6.4098487584353589E-2</v>
      </c>
      <c r="F14" s="342">
        <v>5.1509475476428972E-2</v>
      </c>
      <c r="G14" s="158">
        <f t="shared" si="0"/>
        <v>75001.107561821103</v>
      </c>
      <c r="H14" s="158">
        <f t="shared" si="1"/>
        <v>169792.41309590323</v>
      </c>
      <c r="I14" s="158">
        <f t="shared" si="2"/>
        <v>136445</v>
      </c>
      <c r="J14" s="171"/>
      <c r="K14" s="172"/>
      <c r="L14" s="7"/>
    </row>
    <row r="15" spans="1:12" hidden="1" x14ac:dyDescent="0.25">
      <c r="A15" s="18"/>
      <c r="B15" s="50" t="str">
        <f>F2.CostAllocation!B15</f>
        <v>GS &gt;50-Intermediate</v>
      </c>
      <c r="C15" s="50">
        <f>F2.CostAllocation!C15</f>
        <v>0</v>
      </c>
      <c r="D15" s="162">
        <f>F2.CostAllocation!$I15</f>
        <v>0</v>
      </c>
      <c r="E15" s="163">
        <v>0</v>
      </c>
      <c r="F15" s="164">
        <v>0</v>
      </c>
      <c r="G15" s="158">
        <f t="shared" si="0"/>
        <v>0</v>
      </c>
      <c r="H15" s="158">
        <f t="shared" si="1"/>
        <v>0</v>
      </c>
      <c r="I15" s="158">
        <f t="shared" si="2"/>
        <v>0</v>
      </c>
      <c r="J15" s="160"/>
      <c r="K15" s="161"/>
    </row>
    <row r="16" spans="1:12" x14ac:dyDescent="0.25">
      <c r="A16" s="18"/>
      <c r="B16" s="50" t="str">
        <f>F2.CostAllocation!B16</f>
        <v>Large Use &gt;5MW</v>
      </c>
      <c r="C16" s="50" t="str">
        <f>F2.CostAllocation!C16</f>
        <v>Continued</v>
      </c>
      <c r="D16" s="162">
        <f>F2.CostAllocation!$I16</f>
        <v>0.16710395896861827</v>
      </c>
      <c r="E16" s="343">
        <v>0.10094601353078111</v>
      </c>
      <c r="F16" s="343">
        <f>100%-SUM(F11:F14,F17:F19)</f>
        <v>0.13494641956089082</v>
      </c>
      <c r="G16" s="158">
        <f t="shared" si="0"/>
        <v>442646.70666092803</v>
      </c>
      <c r="H16" s="158">
        <f t="shared" si="1"/>
        <v>267398.93366823927</v>
      </c>
      <c r="I16" s="158">
        <f t="shared" si="2"/>
        <v>357463.63259729819</v>
      </c>
      <c r="J16" s="160"/>
      <c r="K16" s="161"/>
    </row>
    <row r="17" spans="1:12" x14ac:dyDescent="0.25">
      <c r="A17" s="18"/>
      <c r="B17" s="50" t="str">
        <f>F2.CostAllocation!B17</f>
        <v>Street Light</v>
      </c>
      <c r="C17" s="50" t="str">
        <f>F2.CostAllocation!C17</f>
        <v>Continued</v>
      </c>
      <c r="D17" s="162">
        <f>F2.CostAllocation!$I17</f>
        <v>6.506457806272567E-2</v>
      </c>
      <c r="E17" s="343">
        <v>2.7637693020219314E-2</v>
      </c>
      <c r="F17" s="342">
        <v>4.4932962917510394E-2</v>
      </c>
      <c r="G17" s="158">
        <f t="shared" si="0"/>
        <v>172351.51924292272</v>
      </c>
      <c r="H17" s="158">
        <f t="shared" si="1"/>
        <v>73210.316922552767</v>
      </c>
      <c r="I17" s="158">
        <f t="shared" si="2"/>
        <v>119024.27793280929</v>
      </c>
      <c r="J17" s="160"/>
      <c r="K17" s="161"/>
    </row>
    <row r="18" spans="1:12" x14ac:dyDescent="0.25">
      <c r="A18" s="18"/>
      <c r="B18" s="50" t="str">
        <f>F2.CostAllocation!B18</f>
        <v>Sentinel</v>
      </c>
      <c r="C18" s="50" t="str">
        <f>F2.CostAllocation!C18</f>
        <v>Continued</v>
      </c>
      <c r="D18" s="162">
        <f>F2.CostAllocation!$I18</f>
        <v>1.3842415526621854E-3</v>
      </c>
      <c r="E18" s="343">
        <v>2.5660999769061061E-4</v>
      </c>
      <c r="F18" s="342">
        <v>1.0928533340284102E-3</v>
      </c>
      <c r="G18" s="158">
        <f t="shared" si="0"/>
        <v>3666.759113853162</v>
      </c>
      <c r="H18" s="158">
        <f t="shared" si="1"/>
        <v>679.74194672041619</v>
      </c>
      <c r="I18" s="158">
        <f t="shared" si="2"/>
        <v>2894.8920908686405</v>
      </c>
      <c r="J18" s="160"/>
      <c r="K18" s="161"/>
    </row>
    <row r="19" spans="1:12" x14ac:dyDescent="0.25">
      <c r="A19" s="18"/>
      <c r="B19" s="50" t="str">
        <f>F2.CostAllocation!B19</f>
        <v>Unmetered Scattered Load</v>
      </c>
      <c r="C19" s="50" t="str">
        <f>F2.CostAllocation!C19</f>
        <v>Continued</v>
      </c>
      <c r="D19" s="162">
        <f>F2.CostAllocation!$I19</f>
        <v>4.2663759249445361E-3</v>
      </c>
      <c r="E19" s="343">
        <v>1.9462030564304541E-3</v>
      </c>
      <c r="F19" s="342">
        <v>3.3633027083737796E-3</v>
      </c>
      <c r="G19" s="158">
        <f t="shared" si="0"/>
        <v>11301.331603453064</v>
      </c>
      <c r="H19" s="158">
        <f t="shared" si="1"/>
        <v>5155.3558559564517</v>
      </c>
      <c r="I19" s="158">
        <f t="shared" si="2"/>
        <v>8909.1537780084418</v>
      </c>
      <c r="J19" s="160"/>
      <c r="K19" s="161"/>
    </row>
    <row r="20" spans="1:12" s="71" customFormat="1" hidden="1" x14ac:dyDescent="0.25">
      <c r="A20" s="66"/>
      <c r="B20" s="50" t="str">
        <f>F2.CostAllocation!B20</f>
        <v/>
      </c>
      <c r="C20" s="50" t="str">
        <f>F2.CostAllocation!C20</f>
        <v/>
      </c>
      <c r="D20" s="167">
        <f>F2.CostAllocation!$I20</f>
        <v>0</v>
      </c>
      <c r="E20" s="168"/>
      <c r="F20" s="164"/>
      <c r="G20" s="158">
        <f t="shared" si="0"/>
        <v>0</v>
      </c>
      <c r="H20" s="158">
        <f t="shared" si="1"/>
        <v>0</v>
      </c>
      <c r="I20" s="158">
        <f t="shared" si="2"/>
        <v>0</v>
      </c>
      <c r="J20" s="171"/>
      <c r="K20" s="172"/>
      <c r="L20" s="7"/>
    </row>
    <row r="21" spans="1:12" s="71" customFormat="1" hidden="1" x14ac:dyDescent="0.25">
      <c r="A21" s="66"/>
      <c r="B21" s="50" t="str">
        <f>F2.CostAllocation!B21</f>
        <v/>
      </c>
      <c r="C21" s="50" t="str">
        <f>F2.CostAllocation!C21</f>
        <v/>
      </c>
      <c r="D21" s="167">
        <f>F2.CostAllocation!$I21</f>
        <v>0</v>
      </c>
      <c r="E21" s="168"/>
      <c r="F21" s="164"/>
      <c r="G21" s="158">
        <f t="shared" si="0"/>
        <v>0</v>
      </c>
      <c r="H21" s="158">
        <f t="shared" si="1"/>
        <v>0</v>
      </c>
      <c r="I21" s="158">
        <f t="shared" si="2"/>
        <v>0</v>
      </c>
      <c r="J21" s="171"/>
      <c r="K21" s="172"/>
      <c r="L21" s="7"/>
    </row>
    <row r="22" spans="1:12" s="71" customFormat="1" hidden="1" x14ac:dyDescent="0.25">
      <c r="A22" s="66"/>
      <c r="B22" s="50" t="str">
        <f>F2.CostAllocation!B22</f>
        <v/>
      </c>
      <c r="C22" s="50" t="str">
        <f>F2.CostAllocation!C22</f>
        <v/>
      </c>
      <c r="D22" s="167">
        <f>F2.CostAllocation!$I22</f>
        <v>0</v>
      </c>
      <c r="E22" s="168"/>
      <c r="F22" s="164"/>
      <c r="G22" s="158">
        <f t="shared" si="0"/>
        <v>0</v>
      </c>
      <c r="H22" s="158">
        <f t="shared" si="1"/>
        <v>0</v>
      </c>
      <c r="I22" s="158">
        <f t="shared" si="2"/>
        <v>0</v>
      </c>
      <c r="J22" s="171"/>
      <c r="K22" s="172"/>
      <c r="L22" s="7"/>
    </row>
    <row r="23" spans="1:12" s="71" customFormat="1" hidden="1" x14ac:dyDescent="0.25">
      <c r="A23" s="66"/>
      <c r="B23" s="50" t="str">
        <f>F2.CostAllocation!B23</f>
        <v/>
      </c>
      <c r="C23" s="50" t="str">
        <f>F2.CostAllocation!C23</f>
        <v/>
      </c>
      <c r="D23" s="167">
        <f>F2.CostAllocation!$I23</f>
        <v>0</v>
      </c>
      <c r="E23" s="168"/>
      <c r="F23" s="164"/>
      <c r="G23" s="158">
        <f t="shared" si="0"/>
        <v>0</v>
      </c>
      <c r="H23" s="158">
        <f t="shared" si="1"/>
        <v>0</v>
      </c>
      <c r="I23" s="158">
        <f t="shared" si="2"/>
        <v>0</v>
      </c>
      <c r="J23" s="171"/>
      <c r="K23" s="172"/>
      <c r="L23" s="7"/>
    </row>
    <row r="24" spans="1:12" s="71" customFormat="1" hidden="1" x14ac:dyDescent="0.25">
      <c r="A24" s="66"/>
      <c r="B24" s="50" t="str">
        <f>F2.CostAllocation!B24</f>
        <v/>
      </c>
      <c r="C24" s="50" t="str">
        <f>F2.CostAllocation!C24</f>
        <v/>
      </c>
      <c r="D24" s="167">
        <f>F2.CostAllocation!$I24</f>
        <v>0</v>
      </c>
      <c r="E24" s="168"/>
      <c r="F24" s="164"/>
      <c r="G24" s="158">
        <f t="shared" si="0"/>
        <v>0</v>
      </c>
      <c r="H24" s="158">
        <f t="shared" si="1"/>
        <v>0</v>
      </c>
      <c r="I24" s="158">
        <f t="shared" si="2"/>
        <v>0</v>
      </c>
      <c r="J24" s="171"/>
      <c r="K24" s="172"/>
      <c r="L24" s="7"/>
    </row>
    <row r="25" spans="1:12" s="71" customFormat="1" hidden="1" x14ac:dyDescent="0.25">
      <c r="A25" s="66"/>
      <c r="B25" s="50" t="str">
        <f>F2.CostAllocation!B25</f>
        <v/>
      </c>
      <c r="C25" s="50" t="str">
        <f>F2.CostAllocation!C25</f>
        <v/>
      </c>
      <c r="D25" s="167">
        <f>F2.CostAllocation!$I25</f>
        <v>0</v>
      </c>
      <c r="E25" s="168"/>
      <c r="F25" s="164"/>
      <c r="G25" s="158">
        <f t="shared" si="0"/>
        <v>0</v>
      </c>
      <c r="H25" s="158">
        <f t="shared" si="1"/>
        <v>0</v>
      </c>
      <c r="I25" s="158">
        <f t="shared" si="2"/>
        <v>0</v>
      </c>
      <c r="J25" s="171"/>
      <c r="K25" s="172"/>
      <c r="L25" s="7"/>
    </row>
    <row r="26" spans="1:12" s="71" customFormat="1" hidden="1" x14ac:dyDescent="0.25">
      <c r="A26" s="66"/>
      <c r="B26" s="50" t="str">
        <f>F2.CostAllocation!B26</f>
        <v/>
      </c>
      <c r="C26" s="50" t="str">
        <f>F2.CostAllocation!C26</f>
        <v/>
      </c>
      <c r="D26" s="167">
        <f>F2.CostAllocation!$I26</f>
        <v>0</v>
      </c>
      <c r="E26" s="168"/>
      <c r="F26" s="164"/>
      <c r="G26" s="158">
        <f t="shared" si="0"/>
        <v>0</v>
      </c>
      <c r="H26" s="158">
        <f t="shared" si="1"/>
        <v>0</v>
      </c>
      <c r="I26" s="158">
        <f t="shared" si="2"/>
        <v>0</v>
      </c>
      <c r="J26" s="171"/>
      <c r="K26" s="172"/>
      <c r="L26" s="7"/>
    </row>
    <row r="27" spans="1:12" s="71" customFormat="1" hidden="1" x14ac:dyDescent="0.25">
      <c r="A27" s="66"/>
      <c r="B27" s="50" t="str">
        <f>F2.CostAllocation!B27</f>
        <v/>
      </c>
      <c r="C27" s="50" t="str">
        <f>F2.CostAllocation!C27</f>
        <v/>
      </c>
      <c r="D27" s="167">
        <f>F2.CostAllocation!$I27</f>
        <v>0</v>
      </c>
      <c r="E27" s="168"/>
      <c r="F27" s="164"/>
      <c r="G27" s="158">
        <f t="shared" si="0"/>
        <v>0</v>
      </c>
      <c r="H27" s="158">
        <f t="shared" si="1"/>
        <v>0</v>
      </c>
      <c r="I27" s="158">
        <f t="shared" si="2"/>
        <v>0</v>
      </c>
      <c r="J27" s="171"/>
      <c r="K27" s="172"/>
      <c r="L27" s="7"/>
    </row>
    <row r="28" spans="1:12" s="71" customFormat="1" hidden="1" x14ac:dyDescent="0.25">
      <c r="A28" s="66"/>
      <c r="B28" s="50" t="str">
        <f>F2.CostAllocation!B28</f>
        <v/>
      </c>
      <c r="C28" s="50" t="str">
        <f>F2.CostAllocation!C28</f>
        <v/>
      </c>
      <c r="D28" s="167">
        <f>F2.CostAllocation!$I28</f>
        <v>0</v>
      </c>
      <c r="E28" s="168"/>
      <c r="F28" s="164"/>
      <c r="G28" s="158">
        <f t="shared" si="0"/>
        <v>0</v>
      </c>
      <c r="H28" s="158">
        <f t="shared" si="1"/>
        <v>0</v>
      </c>
      <c r="I28" s="158">
        <f t="shared" si="2"/>
        <v>0</v>
      </c>
      <c r="J28" s="171"/>
      <c r="K28" s="172"/>
      <c r="L28" s="7"/>
    </row>
    <row r="29" spans="1:12" s="71" customFormat="1" hidden="1" x14ac:dyDescent="0.25">
      <c r="A29" s="66"/>
      <c r="B29" s="50" t="str">
        <f>F2.CostAllocation!B29</f>
        <v/>
      </c>
      <c r="C29" s="50" t="str">
        <f>F2.CostAllocation!C29</f>
        <v/>
      </c>
      <c r="D29" s="167">
        <f>F2.CostAllocation!$I29</f>
        <v>0</v>
      </c>
      <c r="E29" s="168"/>
      <c r="F29" s="164"/>
      <c r="G29" s="158">
        <f t="shared" si="0"/>
        <v>0</v>
      </c>
      <c r="H29" s="158">
        <f t="shared" si="1"/>
        <v>0</v>
      </c>
      <c r="I29" s="158">
        <f t="shared" si="2"/>
        <v>0</v>
      </c>
      <c r="J29" s="171"/>
      <c r="K29" s="172"/>
      <c r="L29" s="7"/>
    </row>
    <row r="30" spans="1:12" s="71" customFormat="1" hidden="1" x14ac:dyDescent="0.25">
      <c r="A30" s="66"/>
      <c r="B30" s="50" t="str">
        <f>F2.CostAllocation!B30</f>
        <v/>
      </c>
      <c r="C30" s="50" t="str">
        <f>F2.CostAllocation!C30</f>
        <v/>
      </c>
      <c r="D30" s="173">
        <f>F2.CostAllocation!$I30</f>
        <v>0</v>
      </c>
      <c r="E30" s="174"/>
      <c r="F30" s="175"/>
      <c r="G30" s="158">
        <f t="shared" si="0"/>
        <v>0</v>
      </c>
      <c r="H30" s="158">
        <f t="shared" si="1"/>
        <v>0</v>
      </c>
      <c r="I30" s="158">
        <f t="shared" si="2"/>
        <v>0</v>
      </c>
      <c r="J30" s="171"/>
      <c r="K30" s="172"/>
      <c r="L30" s="7"/>
    </row>
    <row r="31" spans="1:12" x14ac:dyDescent="0.25">
      <c r="A31" s="18"/>
      <c r="B31" s="178" t="s">
        <v>27</v>
      </c>
      <c r="C31" s="179" t="s">
        <v>89</v>
      </c>
      <c r="D31" s="180">
        <f>SUBTOTAL(9,D11:D30)</f>
        <v>1.0000000000000002</v>
      </c>
      <c r="E31" s="181">
        <f>SUBTOTAL(9,E11:E30)</f>
        <v>1.0000000000000002</v>
      </c>
      <c r="F31" s="182">
        <f>SUBTOTAL(9,F11:F30)</f>
        <v>1</v>
      </c>
      <c r="G31" s="183">
        <f>F2.CostAllocation!H31</f>
        <v>2648930.0995200002</v>
      </c>
      <c r="H31" s="184">
        <f>G31</f>
        <v>2648930.0995200002</v>
      </c>
      <c r="I31" s="185">
        <f>H31</f>
        <v>2648930.0995200002</v>
      </c>
      <c r="J31" s="186"/>
      <c r="K31" s="187"/>
    </row>
    <row r="32" spans="1:12" x14ac:dyDescent="0.25">
      <c r="A32" s="18"/>
      <c r="B32" s="87"/>
      <c r="C32" s="88" t="s">
        <v>89</v>
      </c>
      <c r="D32" s="141"/>
      <c r="E32" s="141"/>
      <c r="F32" s="188" t="str">
        <f>IF(ABS(F31-1)&lt;0.005,"OK","ERROR")</f>
        <v>OK</v>
      </c>
      <c r="G32" s="141"/>
      <c r="H32" s="141"/>
      <c r="I32" s="188" t="str">
        <f>IF(ABS(I31-G31)&lt;1.5,"OK","ERROR")</f>
        <v>OK</v>
      </c>
      <c r="J32" s="141"/>
      <c r="K32" s="142"/>
    </row>
    <row r="33" spans="1:11" ht="11.25" customHeight="1" x14ac:dyDescent="0.25">
      <c r="A33" s="189"/>
      <c r="B33" s="190" t="s">
        <v>28</v>
      </c>
      <c r="C33" s="96" t="s">
        <v>89</v>
      </c>
      <c r="D33" s="191"/>
      <c r="E33" s="191"/>
      <c r="F33" s="192"/>
      <c r="G33" s="191"/>
      <c r="H33" s="191"/>
      <c r="I33" s="191"/>
      <c r="J33" s="191"/>
      <c r="K33" s="192"/>
    </row>
    <row r="34" spans="1:11" ht="11.25" customHeight="1" x14ac:dyDescent="0.25">
      <c r="A34" s="189"/>
      <c r="B34" s="190" t="s">
        <v>29</v>
      </c>
      <c r="C34" s="96" t="s">
        <v>89</v>
      </c>
      <c r="D34" s="191"/>
      <c r="E34" s="191"/>
      <c r="F34" s="191"/>
      <c r="G34" s="191"/>
      <c r="H34" s="191"/>
      <c r="I34" s="191"/>
      <c r="J34" s="191"/>
      <c r="K34" s="192"/>
    </row>
    <row r="35" spans="1:11" ht="11.25" customHeight="1" x14ac:dyDescent="0.25">
      <c r="A35" s="189"/>
      <c r="B35" s="190" t="s">
        <v>30</v>
      </c>
      <c r="C35" s="96" t="s">
        <v>89</v>
      </c>
      <c r="D35" s="191"/>
      <c r="E35" s="191"/>
      <c r="F35" s="191"/>
      <c r="G35" s="191"/>
      <c r="H35" s="191"/>
      <c r="I35" s="191"/>
      <c r="J35" s="191"/>
      <c r="K35" s="192"/>
    </row>
    <row r="36" spans="1:11" ht="11.25" customHeight="1" x14ac:dyDescent="0.25">
      <c r="A36" s="189"/>
      <c r="B36" s="190"/>
      <c r="C36" s="96" t="s">
        <v>89</v>
      </c>
      <c r="D36" s="191"/>
      <c r="E36" s="191"/>
      <c r="F36" s="192"/>
      <c r="G36" s="191"/>
      <c r="H36" s="191"/>
      <c r="I36" s="191"/>
      <c r="J36" s="191"/>
      <c r="K36" s="192"/>
    </row>
    <row r="37" spans="1:11" ht="11.25" customHeight="1" x14ac:dyDescent="0.25">
      <c r="A37" s="189"/>
      <c r="B37" s="34"/>
      <c r="C37" s="143" t="s">
        <v>89</v>
      </c>
      <c r="D37" s="193" t="s">
        <v>31</v>
      </c>
      <c r="E37" s="145"/>
      <c r="F37" s="144"/>
      <c r="G37" s="145" t="s">
        <v>32</v>
      </c>
      <c r="H37" s="146"/>
      <c r="I37" s="144"/>
      <c r="J37" s="145" t="s">
        <v>33</v>
      </c>
      <c r="K37" s="146"/>
    </row>
    <row r="38" spans="1:11" ht="26.4" x14ac:dyDescent="0.25">
      <c r="A38" s="189"/>
      <c r="B38" s="42" t="s">
        <v>2</v>
      </c>
      <c r="C38" s="150" t="s">
        <v>3</v>
      </c>
      <c r="D38" s="194" t="s">
        <v>5</v>
      </c>
      <c r="E38" s="195" t="s">
        <v>34</v>
      </c>
      <c r="F38" s="151" t="s">
        <v>25</v>
      </c>
      <c r="G38" s="152" t="s">
        <v>26</v>
      </c>
      <c r="H38" s="153" t="s">
        <v>24</v>
      </c>
      <c r="I38" s="151" t="s">
        <v>25</v>
      </c>
      <c r="J38" s="152" t="s">
        <v>26</v>
      </c>
      <c r="K38" s="153" t="s">
        <v>24</v>
      </c>
    </row>
    <row r="39" spans="1:11" ht="11.25" customHeight="1" x14ac:dyDescent="0.25">
      <c r="A39" s="189"/>
      <c r="B39" s="196" t="str">
        <f t="shared" ref="B39:C58" si="3">B11</f>
        <v>Residential</v>
      </c>
      <c r="C39" s="197" t="str">
        <f t="shared" si="3"/>
        <v>Continued</v>
      </c>
      <c r="D39" s="198">
        <f>F2.CostAllocation!G11</f>
        <v>0.59521002468819562</v>
      </c>
      <c r="E39" s="199">
        <f>F2.CostAllocation!F$31*D39</f>
        <v>62258.968582385263</v>
      </c>
      <c r="F39" s="200">
        <f t="shared" ref="F39:H58" si="4">G11</f>
        <v>1388370.7985647474</v>
      </c>
      <c r="G39" s="201">
        <f t="shared" si="4"/>
        <v>1296513.1440468065</v>
      </c>
      <c r="H39" s="199">
        <f t="shared" si="4"/>
        <v>1296513.1440468065</v>
      </c>
      <c r="I39" s="200">
        <f t="shared" ref="I39:I58" si="5">$E39+F39</f>
        <v>1450629.7671471327</v>
      </c>
      <c r="J39" s="201">
        <f t="shared" ref="J39:J58" si="6">$E39+G39</f>
        <v>1358772.1126291917</v>
      </c>
      <c r="K39" s="199">
        <f t="shared" ref="K39:K58" si="7">$E39+H39</f>
        <v>1358772.1126291917</v>
      </c>
    </row>
    <row r="40" spans="1:11" ht="11.25" customHeight="1" x14ac:dyDescent="0.25">
      <c r="A40" s="189"/>
      <c r="B40" s="202" t="str">
        <f t="shared" si="3"/>
        <v>GS &lt;50</v>
      </c>
      <c r="C40" s="203" t="str">
        <f t="shared" si="3"/>
        <v>Continued</v>
      </c>
      <c r="D40" s="204">
        <f>F2.CostAllocation!G12</f>
        <v>0.13980055041113534</v>
      </c>
      <c r="E40" s="199">
        <f>F2.CostAllocation!F$31*D40</f>
        <v>14623.137573004757</v>
      </c>
      <c r="F40" s="206">
        <f t="shared" si="4"/>
        <v>339665.30963300692</v>
      </c>
      <c r="G40" s="207">
        <f t="shared" si="4"/>
        <v>441508.97579775826</v>
      </c>
      <c r="H40" s="205">
        <f t="shared" si="4"/>
        <v>410522.99907420913</v>
      </c>
      <c r="I40" s="206">
        <f t="shared" si="5"/>
        <v>354288.44720601168</v>
      </c>
      <c r="J40" s="207">
        <f t="shared" si="6"/>
        <v>456132.11337076302</v>
      </c>
      <c r="K40" s="205">
        <f t="shared" si="7"/>
        <v>425146.13664721389</v>
      </c>
    </row>
    <row r="41" spans="1:11" ht="11.25" customHeight="1" x14ac:dyDescent="0.25">
      <c r="A41" s="189"/>
      <c r="B41" s="202" t="str">
        <f t="shared" si="3"/>
        <v>GS 50 - 499 kW</v>
      </c>
      <c r="C41" s="203" t="str">
        <f t="shared" si="3"/>
        <v>Continued</v>
      </c>
      <c r="D41" s="204">
        <f>F2.CostAllocation!G13</f>
        <v>7.741499035650079E-2</v>
      </c>
      <c r="E41" s="199">
        <f>F2.CostAllocation!F$31*D41</f>
        <v>8097.6079912899822</v>
      </c>
      <c r="F41" s="206">
        <f t="shared" si="4"/>
        <v>215926.56713926792</v>
      </c>
      <c r="G41" s="207">
        <f t="shared" si="4"/>
        <v>394671.21818606346</v>
      </c>
      <c r="H41" s="205">
        <f t="shared" si="4"/>
        <v>317157.00000000006</v>
      </c>
      <c r="I41" s="206">
        <f t="shared" si="5"/>
        <v>224024.17513055791</v>
      </c>
      <c r="J41" s="207">
        <f t="shared" si="6"/>
        <v>402768.82617735345</v>
      </c>
      <c r="K41" s="205">
        <f t="shared" si="7"/>
        <v>325254.60799129005</v>
      </c>
    </row>
    <row r="42" spans="1:11" ht="11.25" customHeight="1" x14ac:dyDescent="0.25">
      <c r="A42" s="189"/>
      <c r="B42" s="202" t="str">
        <f t="shared" si="3"/>
        <v>GS 500 kW - 4999 kW</v>
      </c>
      <c r="C42" s="203" t="str">
        <f t="shared" si="3"/>
        <v>Continued</v>
      </c>
      <c r="D42" s="204">
        <f>F2.CostAllocation!G14</f>
        <v>3.8014894222202708E-2</v>
      </c>
      <c r="E42" s="199">
        <f>F2.CostAllocation!F$31*D42</f>
        <v>3976.3579356424034</v>
      </c>
      <c r="F42" s="206">
        <f t="shared" si="4"/>
        <v>75001.107561821103</v>
      </c>
      <c r="G42" s="207">
        <f t="shared" si="4"/>
        <v>169792.41309590323</v>
      </c>
      <c r="H42" s="205">
        <f t="shared" si="4"/>
        <v>136445</v>
      </c>
      <c r="I42" s="206">
        <f t="shared" si="5"/>
        <v>78977.465497463505</v>
      </c>
      <c r="J42" s="207">
        <f t="shared" si="6"/>
        <v>173768.77103154565</v>
      </c>
      <c r="K42" s="205">
        <f t="shared" si="7"/>
        <v>140421.35793564242</v>
      </c>
    </row>
    <row r="43" spans="1:11" ht="11.25" hidden="1" customHeight="1" x14ac:dyDescent="0.25">
      <c r="A43" s="189"/>
      <c r="B43" s="202" t="str">
        <f t="shared" si="3"/>
        <v>GS &gt;50-Intermediate</v>
      </c>
      <c r="C43" s="203">
        <f t="shared" si="3"/>
        <v>0</v>
      </c>
      <c r="D43" s="204">
        <f>F2.CostAllocation!G15</f>
        <v>0</v>
      </c>
      <c r="E43" s="199">
        <f>F2.CostAllocation!F$31*D43</f>
        <v>0</v>
      </c>
      <c r="F43" s="206">
        <f t="shared" si="4"/>
        <v>0</v>
      </c>
      <c r="G43" s="207">
        <f t="shared" si="4"/>
        <v>0</v>
      </c>
      <c r="H43" s="205">
        <f t="shared" si="4"/>
        <v>0</v>
      </c>
      <c r="I43" s="206">
        <f t="shared" si="5"/>
        <v>0</v>
      </c>
      <c r="J43" s="207">
        <f t="shared" si="6"/>
        <v>0</v>
      </c>
      <c r="K43" s="205">
        <f t="shared" si="7"/>
        <v>0</v>
      </c>
    </row>
    <row r="44" spans="1:11" ht="11.25" customHeight="1" x14ac:dyDescent="0.25">
      <c r="A44" s="189"/>
      <c r="B44" s="202" t="str">
        <f t="shared" si="3"/>
        <v>Large Use &gt;5MW</v>
      </c>
      <c r="C44" s="203" t="str">
        <f t="shared" si="3"/>
        <v>Continued</v>
      </c>
      <c r="D44" s="204">
        <f>F2.CostAllocation!G16</f>
        <v>8.9730808815002436E-2</v>
      </c>
      <c r="E44" s="199">
        <f>F2.CostAllocation!F$31*D44</f>
        <v>9385.8426020492552</v>
      </c>
      <c r="F44" s="206">
        <f t="shared" si="4"/>
        <v>442646.70666092803</v>
      </c>
      <c r="G44" s="207">
        <f t="shared" si="4"/>
        <v>267398.93366823927</v>
      </c>
      <c r="H44" s="205">
        <f t="shared" si="4"/>
        <v>357463.63259729819</v>
      </c>
      <c r="I44" s="206">
        <f t="shared" si="5"/>
        <v>452032.54926297726</v>
      </c>
      <c r="J44" s="207">
        <f t="shared" si="6"/>
        <v>276784.77627028851</v>
      </c>
      <c r="K44" s="205">
        <f t="shared" si="7"/>
        <v>366849.47519934742</v>
      </c>
    </row>
    <row r="45" spans="1:11" ht="11.25" customHeight="1" x14ac:dyDescent="0.25">
      <c r="A45" s="189"/>
      <c r="B45" s="202" t="str">
        <f t="shared" si="3"/>
        <v>Street Light</v>
      </c>
      <c r="C45" s="203" t="str">
        <f t="shared" si="3"/>
        <v>Continued</v>
      </c>
      <c r="D45" s="204">
        <f>F2.CostAllocation!G17</f>
        <v>5.1682139491289088E-2</v>
      </c>
      <c r="E45" s="199">
        <f>F2.CostAllocation!F$31*D45</f>
        <v>5405.9517907888385</v>
      </c>
      <c r="F45" s="206">
        <f t="shared" si="4"/>
        <v>172351.51924292272</v>
      </c>
      <c r="G45" s="207">
        <f t="shared" si="4"/>
        <v>73210.316922552767</v>
      </c>
      <c r="H45" s="205">
        <f t="shared" si="4"/>
        <v>119024.27793280929</v>
      </c>
      <c r="I45" s="206">
        <f t="shared" si="5"/>
        <v>177757.47103371157</v>
      </c>
      <c r="J45" s="207">
        <f t="shared" si="6"/>
        <v>78616.268713341604</v>
      </c>
      <c r="K45" s="205">
        <f t="shared" si="7"/>
        <v>124430.22972359812</v>
      </c>
    </row>
    <row r="46" spans="1:11" ht="11.25" customHeight="1" x14ac:dyDescent="0.25">
      <c r="A46" s="189"/>
      <c r="B46" s="202" t="str">
        <f t="shared" si="3"/>
        <v>Sentinel</v>
      </c>
      <c r="C46" s="203" t="str">
        <f t="shared" si="3"/>
        <v>Continued</v>
      </c>
      <c r="D46" s="204">
        <f>F2.CostAllocation!G18</f>
        <v>1.8410707559220049E-3</v>
      </c>
      <c r="E46" s="199">
        <f>F2.CostAllocation!F$31*D46</f>
        <v>192.5760010694417</v>
      </c>
      <c r="F46" s="206">
        <f t="shared" si="4"/>
        <v>3666.759113853162</v>
      </c>
      <c r="G46" s="207">
        <f t="shared" si="4"/>
        <v>679.74194672041619</v>
      </c>
      <c r="H46" s="205">
        <f t="shared" si="4"/>
        <v>2894.8920908686405</v>
      </c>
      <c r="I46" s="206">
        <f t="shared" si="5"/>
        <v>3859.3351149226037</v>
      </c>
      <c r="J46" s="207">
        <f t="shared" si="6"/>
        <v>872.31794778985795</v>
      </c>
      <c r="K46" s="205">
        <f t="shared" si="7"/>
        <v>3087.4680919380821</v>
      </c>
    </row>
    <row r="47" spans="1:11" ht="11.25" customHeight="1" x14ac:dyDescent="0.25">
      <c r="A47" s="189"/>
      <c r="B47" s="202" t="str">
        <f t="shared" si="3"/>
        <v>Unmetered Scattered Load</v>
      </c>
      <c r="C47" s="203" t="str">
        <f t="shared" si="3"/>
        <v>Continued</v>
      </c>
      <c r="D47" s="204">
        <f>F2.CostAllocation!G19</f>
        <v>6.3055212597519904E-3</v>
      </c>
      <c r="E47" s="199">
        <f>F2.CostAllocation!F$31*D47</f>
        <v>659.5575237700582</v>
      </c>
      <c r="F47" s="206">
        <f t="shared" si="4"/>
        <v>11301.331603453064</v>
      </c>
      <c r="G47" s="207">
        <f t="shared" si="4"/>
        <v>5155.3558559564517</v>
      </c>
      <c r="H47" s="205">
        <f t="shared" si="4"/>
        <v>8909.1537780084418</v>
      </c>
      <c r="I47" s="206">
        <f t="shared" si="5"/>
        <v>11960.889127223121</v>
      </c>
      <c r="J47" s="207">
        <f t="shared" si="6"/>
        <v>5814.9133797265094</v>
      </c>
      <c r="K47" s="205">
        <f t="shared" si="7"/>
        <v>9568.7113017784995</v>
      </c>
    </row>
    <row r="48" spans="1:11" ht="11.25" hidden="1" customHeight="1" x14ac:dyDescent="0.25">
      <c r="A48" s="189"/>
      <c r="B48" s="202" t="str">
        <f t="shared" si="3"/>
        <v/>
      </c>
      <c r="C48" s="203" t="str">
        <f t="shared" si="3"/>
        <v/>
      </c>
      <c r="D48" s="204">
        <f>F2.CostAllocation!G20</f>
        <v>0</v>
      </c>
      <c r="E48" s="199">
        <f>F2.CostAllocation!F$31*D48</f>
        <v>0</v>
      </c>
      <c r="F48" s="206">
        <f t="shared" si="4"/>
        <v>0</v>
      </c>
      <c r="G48" s="207">
        <f t="shared" si="4"/>
        <v>0</v>
      </c>
      <c r="H48" s="205">
        <f t="shared" si="4"/>
        <v>0</v>
      </c>
      <c r="I48" s="206">
        <f t="shared" si="5"/>
        <v>0</v>
      </c>
      <c r="J48" s="207">
        <f t="shared" si="6"/>
        <v>0</v>
      </c>
      <c r="K48" s="205">
        <f t="shared" si="7"/>
        <v>0</v>
      </c>
    </row>
    <row r="49" spans="1:11" ht="11.25" hidden="1" customHeight="1" x14ac:dyDescent="0.25">
      <c r="A49" s="189"/>
      <c r="B49" s="202" t="str">
        <f t="shared" si="3"/>
        <v/>
      </c>
      <c r="C49" s="203" t="str">
        <f t="shared" si="3"/>
        <v/>
      </c>
      <c r="D49" s="204">
        <f>F2.CostAllocation!G21</f>
        <v>0</v>
      </c>
      <c r="E49" s="199">
        <f>F2.CostAllocation!F$31*D49</f>
        <v>0</v>
      </c>
      <c r="F49" s="206">
        <f t="shared" si="4"/>
        <v>0</v>
      </c>
      <c r="G49" s="207">
        <f t="shared" si="4"/>
        <v>0</v>
      </c>
      <c r="H49" s="205">
        <f t="shared" si="4"/>
        <v>0</v>
      </c>
      <c r="I49" s="206">
        <f t="shared" si="5"/>
        <v>0</v>
      </c>
      <c r="J49" s="207">
        <f t="shared" si="6"/>
        <v>0</v>
      </c>
      <c r="K49" s="205">
        <f t="shared" si="7"/>
        <v>0</v>
      </c>
    </row>
    <row r="50" spans="1:11" ht="11.25" hidden="1" customHeight="1" x14ac:dyDescent="0.25">
      <c r="A50" s="189"/>
      <c r="B50" s="202" t="str">
        <f t="shared" si="3"/>
        <v/>
      </c>
      <c r="C50" s="203" t="str">
        <f t="shared" si="3"/>
        <v/>
      </c>
      <c r="D50" s="204">
        <f>F2.CostAllocation!G22</f>
        <v>0</v>
      </c>
      <c r="E50" s="199">
        <f>F2.CostAllocation!F$31*D50</f>
        <v>0</v>
      </c>
      <c r="F50" s="206">
        <f t="shared" si="4"/>
        <v>0</v>
      </c>
      <c r="G50" s="207">
        <f t="shared" si="4"/>
        <v>0</v>
      </c>
      <c r="H50" s="205">
        <f t="shared" si="4"/>
        <v>0</v>
      </c>
      <c r="I50" s="206">
        <f t="shared" si="5"/>
        <v>0</v>
      </c>
      <c r="J50" s="207">
        <f t="shared" si="6"/>
        <v>0</v>
      </c>
      <c r="K50" s="205">
        <f t="shared" si="7"/>
        <v>0</v>
      </c>
    </row>
    <row r="51" spans="1:11" ht="11.25" hidden="1" customHeight="1" x14ac:dyDescent="0.25">
      <c r="A51" s="189"/>
      <c r="B51" s="202" t="str">
        <f t="shared" si="3"/>
        <v/>
      </c>
      <c r="C51" s="203" t="str">
        <f t="shared" si="3"/>
        <v/>
      </c>
      <c r="D51" s="204">
        <f>F2.CostAllocation!G23</f>
        <v>0</v>
      </c>
      <c r="E51" s="199">
        <f>F2.CostAllocation!F$31*D51</f>
        <v>0</v>
      </c>
      <c r="F51" s="206">
        <f t="shared" si="4"/>
        <v>0</v>
      </c>
      <c r="G51" s="207">
        <f t="shared" si="4"/>
        <v>0</v>
      </c>
      <c r="H51" s="205">
        <f t="shared" si="4"/>
        <v>0</v>
      </c>
      <c r="I51" s="206">
        <f t="shared" si="5"/>
        <v>0</v>
      </c>
      <c r="J51" s="207">
        <f t="shared" si="6"/>
        <v>0</v>
      </c>
      <c r="K51" s="205">
        <f t="shared" si="7"/>
        <v>0</v>
      </c>
    </row>
    <row r="52" spans="1:11" ht="11.25" hidden="1" customHeight="1" x14ac:dyDescent="0.25">
      <c r="A52" s="189"/>
      <c r="B52" s="202" t="str">
        <f t="shared" si="3"/>
        <v/>
      </c>
      <c r="C52" s="203" t="str">
        <f t="shared" si="3"/>
        <v/>
      </c>
      <c r="D52" s="204">
        <f>F2.CostAllocation!G24</f>
        <v>0</v>
      </c>
      <c r="E52" s="199">
        <f>F2.CostAllocation!F$31*D52</f>
        <v>0</v>
      </c>
      <c r="F52" s="206">
        <f t="shared" si="4"/>
        <v>0</v>
      </c>
      <c r="G52" s="207">
        <f t="shared" si="4"/>
        <v>0</v>
      </c>
      <c r="H52" s="205">
        <f t="shared" si="4"/>
        <v>0</v>
      </c>
      <c r="I52" s="206">
        <f t="shared" si="5"/>
        <v>0</v>
      </c>
      <c r="J52" s="207">
        <f t="shared" si="6"/>
        <v>0</v>
      </c>
      <c r="K52" s="205">
        <f t="shared" si="7"/>
        <v>0</v>
      </c>
    </row>
    <row r="53" spans="1:11" ht="11.25" hidden="1" customHeight="1" x14ac:dyDescent="0.25">
      <c r="A53" s="189"/>
      <c r="B53" s="202" t="str">
        <f t="shared" si="3"/>
        <v/>
      </c>
      <c r="C53" s="203" t="str">
        <f t="shared" si="3"/>
        <v/>
      </c>
      <c r="D53" s="204">
        <f>F2.CostAllocation!G25</f>
        <v>0</v>
      </c>
      <c r="E53" s="199">
        <f>F2.CostAllocation!F$31*D53</f>
        <v>0</v>
      </c>
      <c r="F53" s="206">
        <f t="shared" si="4"/>
        <v>0</v>
      </c>
      <c r="G53" s="207">
        <f t="shared" si="4"/>
        <v>0</v>
      </c>
      <c r="H53" s="205">
        <f t="shared" si="4"/>
        <v>0</v>
      </c>
      <c r="I53" s="206">
        <f t="shared" si="5"/>
        <v>0</v>
      </c>
      <c r="J53" s="207">
        <f t="shared" si="6"/>
        <v>0</v>
      </c>
      <c r="K53" s="205">
        <f t="shared" si="7"/>
        <v>0</v>
      </c>
    </row>
    <row r="54" spans="1:11" ht="11.25" hidden="1" customHeight="1" x14ac:dyDescent="0.25">
      <c r="A54" s="189"/>
      <c r="B54" s="202" t="str">
        <f t="shared" si="3"/>
        <v/>
      </c>
      <c r="C54" s="203" t="str">
        <f t="shared" si="3"/>
        <v/>
      </c>
      <c r="D54" s="204">
        <f>F2.CostAllocation!G26</f>
        <v>0</v>
      </c>
      <c r="E54" s="199">
        <f>F2.CostAllocation!F$31*D54</f>
        <v>0</v>
      </c>
      <c r="F54" s="206">
        <f t="shared" si="4"/>
        <v>0</v>
      </c>
      <c r="G54" s="207">
        <f t="shared" si="4"/>
        <v>0</v>
      </c>
      <c r="H54" s="205">
        <f t="shared" si="4"/>
        <v>0</v>
      </c>
      <c r="I54" s="206">
        <f t="shared" si="5"/>
        <v>0</v>
      </c>
      <c r="J54" s="207">
        <f t="shared" si="6"/>
        <v>0</v>
      </c>
      <c r="K54" s="205">
        <f t="shared" si="7"/>
        <v>0</v>
      </c>
    </row>
    <row r="55" spans="1:11" ht="11.25" hidden="1" customHeight="1" x14ac:dyDescent="0.25">
      <c r="A55" s="189"/>
      <c r="B55" s="202" t="str">
        <f t="shared" si="3"/>
        <v/>
      </c>
      <c r="C55" s="203" t="str">
        <f t="shared" si="3"/>
        <v/>
      </c>
      <c r="D55" s="204">
        <f>F2.CostAllocation!G27</f>
        <v>0</v>
      </c>
      <c r="E55" s="199">
        <f>F2.CostAllocation!F$31*D55</f>
        <v>0</v>
      </c>
      <c r="F55" s="206">
        <f t="shared" si="4"/>
        <v>0</v>
      </c>
      <c r="G55" s="207">
        <f t="shared" si="4"/>
        <v>0</v>
      </c>
      <c r="H55" s="205">
        <f t="shared" si="4"/>
        <v>0</v>
      </c>
      <c r="I55" s="206">
        <f t="shared" si="5"/>
        <v>0</v>
      </c>
      <c r="J55" s="207">
        <f t="shared" si="6"/>
        <v>0</v>
      </c>
      <c r="K55" s="205">
        <f t="shared" si="7"/>
        <v>0</v>
      </c>
    </row>
    <row r="56" spans="1:11" ht="11.25" hidden="1" customHeight="1" x14ac:dyDescent="0.25">
      <c r="A56" s="189"/>
      <c r="B56" s="202" t="str">
        <f t="shared" si="3"/>
        <v/>
      </c>
      <c r="C56" s="203" t="str">
        <f t="shared" si="3"/>
        <v/>
      </c>
      <c r="D56" s="204">
        <f>F2.CostAllocation!G28</f>
        <v>0</v>
      </c>
      <c r="E56" s="199">
        <f>F2.CostAllocation!F$31*D56</f>
        <v>0</v>
      </c>
      <c r="F56" s="206">
        <f t="shared" si="4"/>
        <v>0</v>
      </c>
      <c r="G56" s="207">
        <f t="shared" si="4"/>
        <v>0</v>
      </c>
      <c r="H56" s="205">
        <f t="shared" si="4"/>
        <v>0</v>
      </c>
      <c r="I56" s="206">
        <f t="shared" si="5"/>
        <v>0</v>
      </c>
      <c r="J56" s="207">
        <f t="shared" si="6"/>
        <v>0</v>
      </c>
      <c r="K56" s="205">
        <f t="shared" si="7"/>
        <v>0</v>
      </c>
    </row>
    <row r="57" spans="1:11" ht="11.25" hidden="1" customHeight="1" x14ac:dyDescent="0.25">
      <c r="A57" s="189"/>
      <c r="B57" s="202" t="str">
        <f t="shared" si="3"/>
        <v/>
      </c>
      <c r="C57" s="203" t="str">
        <f t="shared" si="3"/>
        <v/>
      </c>
      <c r="D57" s="204">
        <f>F2.CostAllocation!G29</f>
        <v>0</v>
      </c>
      <c r="E57" s="199">
        <f>F2.CostAllocation!F$31*D57</f>
        <v>0</v>
      </c>
      <c r="F57" s="206">
        <f t="shared" si="4"/>
        <v>0</v>
      </c>
      <c r="G57" s="207">
        <f t="shared" si="4"/>
        <v>0</v>
      </c>
      <c r="H57" s="205">
        <f t="shared" si="4"/>
        <v>0</v>
      </c>
      <c r="I57" s="206">
        <f t="shared" si="5"/>
        <v>0</v>
      </c>
      <c r="J57" s="207">
        <f t="shared" si="6"/>
        <v>0</v>
      </c>
      <c r="K57" s="205">
        <f t="shared" si="7"/>
        <v>0</v>
      </c>
    </row>
    <row r="58" spans="1:11" ht="11.25" hidden="1" customHeight="1" x14ac:dyDescent="0.25">
      <c r="A58" s="189"/>
      <c r="B58" s="208" t="str">
        <f t="shared" si="3"/>
        <v/>
      </c>
      <c r="C58" s="209" t="str">
        <f t="shared" si="3"/>
        <v/>
      </c>
      <c r="D58" s="210">
        <f>F2.CostAllocation!G30</f>
        <v>0</v>
      </c>
      <c r="E58" s="199">
        <f>F2.CostAllocation!F$31*D58</f>
        <v>0</v>
      </c>
      <c r="F58" s="212">
        <f t="shared" si="4"/>
        <v>0</v>
      </c>
      <c r="G58" s="213">
        <f t="shared" si="4"/>
        <v>0</v>
      </c>
      <c r="H58" s="211">
        <f t="shared" si="4"/>
        <v>0</v>
      </c>
      <c r="I58" s="212">
        <f t="shared" si="5"/>
        <v>0</v>
      </c>
      <c r="J58" s="213">
        <f t="shared" si="6"/>
        <v>0</v>
      </c>
      <c r="K58" s="211">
        <f t="shared" si="7"/>
        <v>0</v>
      </c>
    </row>
    <row r="59" spans="1:11" s="218" customFormat="1" ht="11.25" customHeight="1" x14ac:dyDescent="0.25">
      <c r="A59" s="214"/>
      <c r="B59" s="215" t="s">
        <v>27</v>
      </c>
      <c r="C59" s="216" t="s">
        <v>89</v>
      </c>
      <c r="D59" s="180">
        <f t="shared" ref="D59:K59" si="8">SUBTOTAL(9,D39:D58)</f>
        <v>1</v>
      </c>
      <c r="E59" s="217">
        <f t="shared" si="8"/>
        <v>104600</v>
      </c>
      <c r="F59" s="183">
        <f t="shared" si="8"/>
        <v>2648930.0995200006</v>
      </c>
      <c r="G59" s="184">
        <f t="shared" si="8"/>
        <v>2648930.0995200006</v>
      </c>
      <c r="H59" s="217">
        <f t="shared" si="8"/>
        <v>2648930.0995200006</v>
      </c>
      <c r="I59" s="183">
        <f t="shared" si="8"/>
        <v>2753530.0995200002</v>
      </c>
      <c r="J59" s="184">
        <f t="shared" si="8"/>
        <v>2753530.0995200002</v>
      </c>
      <c r="K59" s="217">
        <f t="shared" si="8"/>
        <v>2753530.0995200002</v>
      </c>
    </row>
    <row r="60" spans="1:11" ht="12.75" customHeight="1" x14ac:dyDescent="0.25">
      <c r="A60" s="189"/>
      <c r="B60" s="190" t="s">
        <v>35</v>
      </c>
      <c r="C60" s="96" t="s">
        <v>89</v>
      </c>
      <c r="D60" s="191"/>
      <c r="E60" s="191"/>
      <c r="F60" s="191"/>
      <c r="G60" s="191"/>
      <c r="H60" s="191"/>
      <c r="I60" s="191"/>
      <c r="J60" s="191"/>
      <c r="K60" s="192"/>
    </row>
    <row r="61" spans="1:11" ht="12.75" customHeight="1" x14ac:dyDescent="0.25">
      <c r="A61" s="189"/>
      <c r="B61" s="190" t="s">
        <v>36</v>
      </c>
      <c r="C61" s="96" t="s">
        <v>89</v>
      </c>
      <c r="D61" s="191"/>
      <c r="E61" s="191"/>
      <c r="F61" s="191"/>
      <c r="G61" s="191"/>
      <c r="H61" s="192"/>
      <c r="I61" s="191"/>
      <c r="J61" s="191"/>
      <c r="K61" s="192"/>
    </row>
    <row r="62" spans="1:11" ht="12.75" customHeight="1" x14ac:dyDescent="0.25">
      <c r="A62" s="18"/>
      <c r="B62" s="87"/>
      <c r="C62" s="88" t="s">
        <v>89</v>
      </c>
      <c r="D62" s="99"/>
      <c r="E62" s="99"/>
      <c r="F62" s="99"/>
      <c r="G62" s="99"/>
      <c r="H62" s="99"/>
      <c r="I62" s="99"/>
      <c r="J62" s="99"/>
      <c r="K62" s="99"/>
    </row>
    <row r="63" spans="1:11" x14ac:dyDescent="0.25">
      <c r="A63" s="18"/>
      <c r="B63" s="34"/>
      <c r="C63" s="35" t="s">
        <v>10</v>
      </c>
      <c r="D63" s="219"/>
      <c r="E63" s="145" t="s">
        <v>4</v>
      </c>
      <c r="F63" s="220"/>
      <c r="G63" s="221" t="s">
        <v>25</v>
      </c>
      <c r="H63" s="222"/>
      <c r="I63" s="223" t="s">
        <v>37</v>
      </c>
      <c r="J63" s="224"/>
      <c r="K63" s="6"/>
    </row>
    <row r="64" spans="1:11" ht="28.8" x14ac:dyDescent="0.25">
      <c r="A64" s="33"/>
      <c r="B64" s="42" t="s">
        <v>2</v>
      </c>
      <c r="C64" s="225" t="s">
        <v>3</v>
      </c>
      <c r="D64" s="226" t="s">
        <v>24</v>
      </c>
      <c r="E64" s="227" t="s">
        <v>38</v>
      </c>
      <c r="F64" s="228" t="s">
        <v>39</v>
      </c>
      <c r="G64" s="229" t="s">
        <v>40</v>
      </c>
      <c r="H64" s="230" t="s">
        <v>41</v>
      </c>
      <c r="I64" s="231" t="s">
        <v>42</v>
      </c>
      <c r="J64" s="231" t="s">
        <v>43</v>
      </c>
      <c r="K64" s="6"/>
    </row>
    <row r="65" spans="1:11" x14ac:dyDescent="0.25">
      <c r="A65" s="33"/>
      <c r="B65" s="58" t="str">
        <f t="shared" ref="B65:C84" si="9">B11</f>
        <v>Residential</v>
      </c>
      <c r="C65" s="59" t="str">
        <f t="shared" si="9"/>
        <v>Continued</v>
      </c>
      <c r="D65" s="158">
        <f t="shared" ref="D65:D84" si="10">K39</f>
        <v>1358772.1126291917</v>
      </c>
      <c r="E65" s="159">
        <f t="shared" ref="E65:E84" si="11">I39</f>
        <v>1450629.7671471327</v>
      </c>
      <c r="F65" s="242">
        <f t="shared" ref="F65:F85" si="12">D65/E65</f>
        <v>0.93667739584677634</v>
      </c>
      <c r="G65" s="232">
        <f>F2.CostAllocation!J11</f>
        <v>0.93667739584677634</v>
      </c>
      <c r="H65" s="233">
        <f t="shared" ref="H65:H85" si="13">F65-G65</f>
        <v>0</v>
      </c>
      <c r="I65" s="234">
        <v>0.85</v>
      </c>
      <c r="J65" s="235">
        <v>1.1499999999999999</v>
      </c>
      <c r="K65" s="6"/>
    </row>
    <row r="66" spans="1:11" x14ac:dyDescent="0.25">
      <c r="A66" s="18"/>
      <c r="B66" s="58" t="str">
        <f t="shared" si="9"/>
        <v>GS &lt;50</v>
      </c>
      <c r="C66" s="59" t="str">
        <f t="shared" si="9"/>
        <v>Continued</v>
      </c>
      <c r="D66" s="165">
        <f t="shared" si="10"/>
        <v>425146.13664721389</v>
      </c>
      <c r="E66" s="166">
        <f t="shared" si="11"/>
        <v>354288.44720601168</v>
      </c>
      <c r="F66" s="242">
        <f t="shared" si="12"/>
        <v>1.1999999999999997</v>
      </c>
      <c r="G66" s="236">
        <f>F2.CostAllocation!J12</f>
        <v>1.2874597435166473</v>
      </c>
      <c r="H66" s="237">
        <f t="shared" si="13"/>
        <v>-8.7459743516647537E-2</v>
      </c>
      <c r="I66" s="238">
        <v>0.8</v>
      </c>
      <c r="J66" s="239">
        <v>1.2</v>
      </c>
      <c r="K66" s="6"/>
    </row>
    <row r="67" spans="1:11" x14ac:dyDescent="0.25">
      <c r="A67" s="18"/>
      <c r="B67" s="67" t="str">
        <f t="shared" si="9"/>
        <v>GS 50 - 499 kW</v>
      </c>
      <c r="C67" s="59" t="str">
        <f t="shared" si="9"/>
        <v>Continued</v>
      </c>
      <c r="D67" s="169">
        <f t="shared" si="10"/>
        <v>325254.60799129005</v>
      </c>
      <c r="E67" s="170">
        <f t="shared" si="11"/>
        <v>224024.17513055791</v>
      </c>
      <c r="F67" s="242">
        <f t="shared" si="12"/>
        <v>1.4518728070385107</v>
      </c>
      <c r="G67" s="240">
        <f>F2.CostAllocation!J13</f>
        <v>1.7978810811048667</v>
      </c>
      <c r="H67" s="241">
        <f t="shared" si="13"/>
        <v>-0.34600827406635593</v>
      </c>
      <c r="I67" s="238">
        <v>0.8</v>
      </c>
      <c r="J67" s="239">
        <v>1.2</v>
      </c>
      <c r="K67" s="350"/>
    </row>
    <row r="68" spans="1:11" s="71" customFormat="1" x14ac:dyDescent="0.25">
      <c r="A68" s="66"/>
      <c r="B68" s="67" t="str">
        <f t="shared" si="9"/>
        <v>GS 500 kW - 4999 kW</v>
      </c>
      <c r="C68" s="59" t="str">
        <f t="shared" si="9"/>
        <v>Continued</v>
      </c>
      <c r="D68" s="169">
        <f t="shared" si="10"/>
        <v>140421.35793564242</v>
      </c>
      <c r="E68" s="170">
        <f t="shared" si="11"/>
        <v>78977.465497463505</v>
      </c>
      <c r="F68" s="242">
        <f t="shared" si="12"/>
        <v>1.7779927103402968</v>
      </c>
      <c r="G68" s="240">
        <f>F2.CostAllocation!J14</f>
        <v>2.2002323059750064</v>
      </c>
      <c r="H68" s="241">
        <f t="shared" si="13"/>
        <v>-0.42223959563470959</v>
      </c>
      <c r="I68" s="238">
        <v>0.8</v>
      </c>
      <c r="J68" s="239">
        <v>1.2</v>
      </c>
      <c r="K68" s="123"/>
    </row>
    <row r="69" spans="1:11" s="71" customFormat="1" hidden="1" x14ac:dyDescent="0.25">
      <c r="A69" s="66"/>
      <c r="B69" s="58" t="str">
        <f t="shared" si="9"/>
        <v>GS &gt;50-Intermediate</v>
      </c>
      <c r="C69" s="59">
        <f t="shared" si="9"/>
        <v>0</v>
      </c>
      <c r="D69" s="165">
        <f t="shared" si="10"/>
        <v>0</v>
      </c>
      <c r="E69" s="166">
        <f t="shared" si="11"/>
        <v>0</v>
      </c>
      <c r="F69" s="242" t="e">
        <f t="shared" si="12"/>
        <v>#DIV/0!</v>
      </c>
      <c r="G69" s="236">
        <f>F2.CostAllocation!J15</f>
        <v>0</v>
      </c>
      <c r="H69" s="237" t="e">
        <f t="shared" si="13"/>
        <v>#DIV/0!</v>
      </c>
      <c r="I69" s="238">
        <v>0.7</v>
      </c>
      <c r="J69" s="239">
        <v>1.2</v>
      </c>
      <c r="K69" s="6"/>
    </row>
    <row r="70" spans="1:11" x14ac:dyDescent="0.25">
      <c r="A70" s="18"/>
      <c r="B70" s="58" t="str">
        <f t="shared" si="9"/>
        <v>Large Use &gt;5MW</v>
      </c>
      <c r="C70" s="59" t="str">
        <f t="shared" si="9"/>
        <v>Continued</v>
      </c>
      <c r="D70" s="165">
        <f t="shared" si="10"/>
        <v>366849.47519934742</v>
      </c>
      <c r="E70" s="166">
        <f t="shared" si="11"/>
        <v>452032.54926297726</v>
      </c>
      <c r="F70" s="242">
        <f t="shared" si="12"/>
        <v>0.81155544174303873</v>
      </c>
      <c r="G70" s="236">
        <f>F2.CostAllocation!J16</f>
        <v>0.61231160614777869</v>
      </c>
      <c r="H70" s="237">
        <f t="shared" si="13"/>
        <v>0.19924383559526004</v>
      </c>
      <c r="I70" s="238">
        <v>0.85</v>
      </c>
      <c r="J70" s="239">
        <v>1.1499999999999999</v>
      </c>
      <c r="K70" s="6"/>
    </row>
    <row r="71" spans="1:11" x14ac:dyDescent="0.25">
      <c r="A71" s="18"/>
      <c r="B71" s="58" t="str">
        <f t="shared" si="9"/>
        <v>Street Light</v>
      </c>
      <c r="C71" s="59" t="str">
        <f t="shared" si="9"/>
        <v>Continued</v>
      </c>
      <c r="D71" s="165">
        <f t="shared" si="10"/>
        <v>124430.22972359812</v>
      </c>
      <c r="E71" s="166">
        <f t="shared" si="11"/>
        <v>177757.47103371157</v>
      </c>
      <c r="F71" s="242">
        <f t="shared" si="12"/>
        <v>0.70000000000000018</v>
      </c>
      <c r="G71" s="236">
        <f>F2.CostAllocation!J17</f>
        <v>0.4422670296565599</v>
      </c>
      <c r="H71" s="237">
        <f t="shared" si="13"/>
        <v>0.25773297034344028</v>
      </c>
      <c r="I71" s="238">
        <v>0.7</v>
      </c>
      <c r="J71" s="239">
        <v>1.2</v>
      </c>
      <c r="K71" s="6"/>
    </row>
    <row r="72" spans="1:11" x14ac:dyDescent="0.25">
      <c r="A72" s="18"/>
      <c r="B72" s="58" t="str">
        <f t="shared" si="9"/>
        <v>Sentinel</v>
      </c>
      <c r="C72" s="59" t="str">
        <f t="shared" si="9"/>
        <v>Continued</v>
      </c>
      <c r="D72" s="165">
        <f t="shared" si="10"/>
        <v>3087.4680919380821</v>
      </c>
      <c r="E72" s="166">
        <f t="shared" si="11"/>
        <v>3859.3351149226037</v>
      </c>
      <c r="F72" s="242">
        <f t="shared" si="12"/>
        <v>0.79999999999999982</v>
      </c>
      <c r="G72" s="236">
        <f>F2.CostAllocation!J18</f>
        <v>0.22602803897928717</v>
      </c>
      <c r="H72" s="237">
        <f t="shared" si="13"/>
        <v>0.57397196102071268</v>
      </c>
      <c r="I72" s="238">
        <v>0.8</v>
      </c>
      <c r="J72" s="239">
        <v>1.2</v>
      </c>
      <c r="K72" s="6"/>
    </row>
    <row r="73" spans="1:11" x14ac:dyDescent="0.25">
      <c r="A73" s="18"/>
      <c r="B73" s="58" t="str">
        <f t="shared" si="9"/>
        <v>Unmetered Scattered Load</v>
      </c>
      <c r="C73" s="59" t="str">
        <f t="shared" si="9"/>
        <v>Continued</v>
      </c>
      <c r="D73" s="165">
        <f t="shared" si="10"/>
        <v>9568.7113017784995</v>
      </c>
      <c r="E73" s="166">
        <f t="shared" si="11"/>
        <v>11960.889127223121</v>
      </c>
      <c r="F73" s="242">
        <f t="shared" si="12"/>
        <v>0.80000000000000027</v>
      </c>
      <c r="G73" s="236">
        <f>F2.CostAllocation!J19</f>
        <v>0.48616062885255751</v>
      </c>
      <c r="H73" s="237">
        <f t="shared" si="13"/>
        <v>0.31383937114744276</v>
      </c>
      <c r="I73" s="238">
        <v>0.8</v>
      </c>
      <c r="J73" s="239">
        <v>1.2</v>
      </c>
      <c r="K73" s="5"/>
    </row>
    <row r="74" spans="1:11" hidden="1" x14ac:dyDescent="0.25">
      <c r="A74" s="18"/>
      <c r="B74" s="67" t="str">
        <f t="shared" si="9"/>
        <v/>
      </c>
      <c r="C74" s="59" t="str">
        <f t="shared" si="9"/>
        <v/>
      </c>
      <c r="D74" s="169">
        <f t="shared" si="10"/>
        <v>0</v>
      </c>
      <c r="E74" s="170">
        <f t="shared" si="11"/>
        <v>0</v>
      </c>
      <c r="F74" s="242" t="e">
        <f t="shared" si="12"/>
        <v>#DIV/0!</v>
      </c>
      <c r="G74" s="240">
        <f>F2.CostAllocation!J20</f>
        <v>0</v>
      </c>
      <c r="H74" s="241" t="e">
        <f t="shared" si="13"/>
        <v>#DIV/0!</v>
      </c>
      <c r="I74" s="238"/>
      <c r="J74" s="239"/>
      <c r="K74" s="123"/>
    </row>
    <row r="75" spans="1:11" s="71" customFormat="1" hidden="1" x14ac:dyDescent="0.25">
      <c r="A75" s="66"/>
      <c r="B75" s="67" t="str">
        <f t="shared" si="9"/>
        <v/>
      </c>
      <c r="C75" s="59" t="str">
        <f t="shared" si="9"/>
        <v/>
      </c>
      <c r="D75" s="169">
        <f t="shared" si="10"/>
        <v>0</v>
      </c>
      <c r="E75" s="170">
        <f t="shared" si="11"/>
        <v>0</v>
      </c>
      <c r="F75" s="242" t="e">
        <f t="shared" si="12"/>
        <v>#DIV/0!</v>
      </c>
      <c r="G75" s="240">
        <f>F2.CostAllocation!J21</f>
        <v>0</v>
      </c>
      <c r="H75" s="241" t="e">
        <f t="shared" si="13"/>
        <v>#DIV/0!</v>
      </c>
      <c r="I75" s="238"/>
      <c r="J75" s="239"/>
      <c r="K75" s="123"/>
    </row>
    <row r="76" spans="1:11" s="71" customFormat="1" hidden="1" x14ac:dyDescent="0.25">
      <c r="A76" s="66"/>
      <c r="B76" s="67" t="str">
        <f t="shared" si="9"/>
        <v/>
      </c>
      <c r="C76" s="59" t="str">
        <f t="shared" si="9"/>
        <v/>
      </c>
      <c r="D76" s="169">
        <f t="shared" si="10"/>
        <v>0</v>
      </c>
      <c r="E76" s="170">
        <f t="shared" si="11"/>
        <v>0</v>
      </c>
      <c r="F76" s="242" t="e">
        <f t="shared" si="12"/>
        <v>#DIV/0!</v>
      </c>
      <c r="G76" s="240">
        <f>F2.CostAllocation!J22</f>
        <v>0</v>
      </c>
      <c r="H76" s="241" t="e">
        <f t="shared" si="13"/>
        <v>#DIV/0!</v>
      </c>
      <c r="I76" s="238"/>
      <c r="J76" s="239"/>
      <c r="K76" s="123"/>
    </row>
    <row r="77" spans="1:11" s="71" customFormat="1" hidden="1" x14ac:dyDescent="0.25">
      <c r="A77" s="66"/>
      <c r="B77" s="67" t="str">
        <f t="shared" si="9"/>
        <v/>
      </c>
      <c r="C77" s="59" t="str">
        <f t="shared" si="9"/>
        <v/>
      </c>
      <c r="D77" s="169">
        <f t="shared" si="10"/>
        <v>0</v>
      </c>
      <c r="E77" s="170">
        <f t="shared" si="11"/>
        <v>0</v>
      </c>
      <c r="F77" s="242" t="e">
        <f t="shared" si="12"/>
        <v>#DIV/0!</v>
      </c>
      <c r="G77" s="240">
        <f>F2.CostAllocation!J23</f>
        <v>0</v>
      </c>
      <c r="H77" s="241" t="e">
        <f t="shared" si="13"/>
        <v>#DIV/0!</v>
      </c>
      <c r="I77" s="238"/>
      <c r="J77" s="239"/>
      <c r="K77" s="123"/>
    </row>
    <row r="78" spans="1:11" s="71" customFormat="1" hidden="1" x14ac:dyDescent="0.25">
      <c r="A78" s="66"/>
      <c r="B78" s="67" t="str">
        <f t="shared" si="9"/>
        <v/>
      </c>
      <c r="C78" s="59" t="str">
        <f t="shared" si="9"/>
        <v/>
      </c>
      <c r="D78" s="169">
        <f t="shared" si="10"/>
        <v>0</v>
      </c>
      <c r="E78" s="170">
        <f t="shared" si="11"/>
        <v>0</v>
      </c>
      <c r="F78" s="242" t="e">
        <f t="shared" si="12"/>
        <v>#DIV/0!</v>
      </c>
      <c r="G78" s="240">
        <f>F2.CostAllocation!J24</f>
        <v>0</v>
      </c>
      <c r="H78" s="241" t="e">
        <f t="shared" si="13"/>
        <v>#DIV/0!</v>
      </c>
      <c r="I78" s="238"/>
      <c r="J78" s="239"/>
      <c r="K78" s="123"/>
    </row>
    <row r="79" spans="1:11" s="71" customFormat="1" hidden="1" x14ac:dyDescent="0.25">
      <c r="A79" s="66"/>
      <c r="B79" s="67" t="str">
        <f t="shared" si="9"/>
        <v/>
      </c>
      <c r="C79" s="59" t="str">
        <f t="shared" si="9"/>
        <v/>
      </c>
      <c r="D79" s="169">
        <f t="shared" si="10"/>
        <v>0</v>
      </c>
      <c r="E79" s="170">
        <f t="shared" si="11"/>
        <v>0</v>
      </c>
      <c r="F79" s="242" t="e">
        <f t="shared" si="12"/>
        <v>#DIV/0!</v>
      </c>
      <c r="G79" s="240">
        <f>F2.CostAllocation!J25</f>
        <v>0</v>
      </c>
      <c r="H79" s="241" t="e">
        <f t="shared" si="13"/>
        <v>#DIV/0!</v>
      </c>
      <c r="I79" s="238"/>
      <c r="J79" s="239"/>
      <c r="K79" s="123"/>
    </row>
    <row r="80" spans="1:11" s="71" customFormat="1" hidden="1" x14ac:dyDescent="0.25">
      <c r="A80" s="66"/>
      <c r="B80" s="67" t="str">
        <f t="shared" si="9"/>
        <v/>
      </c>
      <c r="C80" s="59" t="str">
        <f t="shared" si="9"/>
        <v/>
      </c>
      <c r="D80" s="169">
        <f t="shared" si="10"/>
        <v>0</v>
      </c>
      <c r="E80" s="170">
        <f t="shared" si="11"/>
        <v>0</v>
      </c>
      <c r="F80" s="242" t="e">
        <f t="shared" si="12"/>
        <v>#DIV/0!</v>
      </c>
      <c r="G80" s="240">
        <f>F2.CostAllocation!J26</f>
        <v>0</v>
      </c>
      <c r="H80" s="241" t="e">
        <f t="shared" si="13"/>
        <v>#DIV/0!</v>
      </c>
      <c r="I80" s="238"/>
      <c r="J80" s="239"/>
      <c r="K80" s="123"/>
    </row>
    <row r="81" spans="1:11" s="71" customFormat="1" hidden="1" x14ac:dyDescent="0.25">
      <c r="A81" s="66"/>
      <c r="B81" s="67" t="str">
        <f t="shared" si="9"/>
        <v/>
      </c>
      <c r="C81" s="59" t="str">
        <f t="shared" si="9"/>
        <v/>
      </c>
      <c r="D81" s="169">
        <f t="shared" si="10"/>
        <v>0</v>
      </c>
      <c r="E81" s="170">
        <f t="shared" si="11"/>
        <v>0</v>
      </c>
      <c r="F81" s="242" t="e">
        <f t="shared" si="12"/>
        <v>#DIV/0!</v>
      </c>
      <c r="G81" s="240">
        <f>F2.CostAllocation!J27</f>
        <v>0</v>
      </c>
      <c r="H81" s="241" t="e">
        <f t="shared" si="13"/>
        <v>#DIV/0!</v>
      </c>
      <c r="I81" s="238"/>
      <c r="J81" s="239"/>
      <c r="K81" s="123"/>
    </row>
    <row r="82" spans="1:11" s="71" customFormat="1" hidden="1" x14ac:dyDescent="0.25">
      <c r="A82" s="66"/>
      <c r="B82" s="72" t="str">
        <f t="shared" si="9"/>
        <v/>
      </c>
      <c r="C82" s="73" t="str">
        <f t="shared" si="9"/>
        <v/>
      </c>
      <c r="D82" s="169">
        <f t="shared" si="10"/>
        <v>0</v>
      </c>
      <c r="E82" s="170">
        <f t="shared" si="11"/>
        <v>0</v>
      </c>
      <c r="F82" s="242" t="e">
        <f t="shared" si="12"/>
        <v>#DIV/0!</v>
      </c>
      <c r="G82" s="240">
        <f>F2.CostAllocation!J28</f>
        <v>0</v>
      </c>
      <c r="H82" s="241" t="e">
        <f t="shared" si="13"/>
        <v>#DIV/0!</v>
      </c>
      <c r="I82" s="238"/>
      <c r="J82" s="239"/>
      <c r="K82" s="123"/>
    </row>
    <row r="83" spans="1:11" s="71" customFormat="1" hidden="1" x14ac:dyDescent="0.25">
      <c r="A83" s="66"/>
      <c r="B83" s="72" t="str">
        <f t="shared" si="9"/>
        <v/>
      </c>
      <c r="C83" s="73" t="str">
        <f t="shared" si="9"/>
        <v/>
      </c>
      <c r="D83" s="169">
        <f t="shared" si="10"/>
        <v>0</v>
      </c>
      <c r="E83" s="170">
        <f t="shared" si="11"/>
        <v>0</v>
      </c>
      <c r="F83" s="242" t="e">
        <f t="shared" si="12"/>
        <v>#DIV/0!</v>
      </c>
      <c r="G83" s="240">
        <f>F2.CostAllocation!J29</f>
        <v>0</v>
      </c>
      <c r="H83" s="241" t="e">
        <f t="shared" si="13"/>
        <v>#DIV/0!</v>
      </c>
      <c r="I83" s="238"/>
      <c r="J83" s="239"/>
      <c r="K83" s="123"/>
    </row>
    <row r="84" spans="1:11" s="71" customFormat="1" hidden="1" x14ac:dyDescent="0.25">
      <c r="A84" s="66"/>
      <c r="B84" s="72" t="str">
        <f t="shared" si="9"/>
        <v/>
      </c>
      <c r="C84" s="73" t="str">
        <f t="shared" si="9"/>
        <v/>
      </c>
      <c r="D84" s="176">
        <f t="shared" si="10"/>
        <v>0</v>
      </c>
      <c r="E84" s="177">
        <f t="shared" si="11"/>
        <v>0</v>
      </c>
      <c r="F84" s="243" t="e">
        <f t="shared" si="12"/>
        <v>#DIV/0!</v>
      </c>
      <c r="G84" s="244">
        <f>F2.CostAllocation!J30</f>
        <v>0</v>
      </c>
      <c r="H84" s="245" t="e">
        <f t="shared" si="13"/>
        <v>#DIV/0!</v>
      </c>
      <c r="I84" s="246"/>
      <c r="J84" s="247"/>
      <c r="K84" s="123"/>
    </row>
    <row r="85" spans="1:11" s="254" customFormat="1" x14ac:dyDescent="0.25">
      <c r="A85" s="248"/>
      <c r="B85" s="178" t="s">
        <v>27</v>
      </c>
      <c r="C85" s="179" t="s">
        <v>89</v>
      </c>
      <c r="D85" s="183">
        <f>SUBTOTAL(9,D65:D84)</f>
        <v>2753530.0995200002</v>
      </c>
      <c r="E85" s="184">
        <f>SUBTOTAL(9,E65:E84)</f>
        <v>2753530.0995200002</v>
      </c>
      <c r="F85" s="249">
        <f t="shared" si="12"/>
        <v>1</v>
      </c>
      <c r="G85" s="250">
        <f>F2.CostAllocation!J31</f>
        <v>1</v>
      </c>
      <c r="H85" s="251">
        <f t="shared" si="13"/>
        <v>0</v>
      </c>
      <c r="I85" s="252"/>
      <c r="J85" s="253"/>
      <c r="K85" s="253"/>
    </row>
    <row r="86" spans="1:11" x14ac:dyDescent="0.25">
      <c r="A86" s="18"/>
      <c r="B86" s="87"/>
      <c r="C86" s="88" t="s">
        <v>89</v>
      </c>
      <c r="D86" s="141"/>
      <c r="E86" s="141"/>
      <c r="F86" s="141"/>
      <c r="G86" s="141"/>
      <c r="H86" s="141"/>
      <c r="I86" s="255"/>
      <c r="J86" s="6"/>
      <c r="K86" s="6"/>
    </row>
    <row r="87" spans="1:11" ht="12.75" customHeight="1" x14ac:dyDescent="0.25">
      <c r="A87" s="189"/>
      <c r="B87" s="190" t="s">
        <v>44</v>
      </c>
      <c r="C87" s="96" t="s">
        <v>89</v>
      </c>
      <c r="D87" s="191"/>
      <c r="E87" s="191"/>
      <c r="F87" s="191"/>
      <c r="G87" s="191"/>
      <c r="H87" s="191"/>
      <c r="I87" s="191"/>
      <c r="J87" s="191"/>
      <c r="K87" s="192"/>
    </row>
    <row r="88" spans="1:11" ht="12.75" customHeight="1" x14ac:dyDescent="0.25">
      <c r="A88" s="189"/>
      <c r="B88" s="190" t="s">
        <v>45</v>
      </c>
      <c r="C88" s="96" t="s">
        <v>89</v>
      </c>
      <c r="D88" s="191"/>
      <c r="E88" s="191"/>
      <c r="F88" s="191"/>
      <c r="G88" s="191"/>
      <c r="H88" s="191"/>
      <c r="I88" s="191"/>
      <c r="J88" s="191"/>
      <c r="K88" s="192"/>
    </row>
    <row r="89" spans="1:11" ht="12.75" customHeight="1" x14ac:dyDescent="0.25">
      <c r="A89" s="18"/>
    </row>
  </sheetData>
  <autoFilter ref="B10:C88">
    <filterColumn colId="1">
      <customFilters>
        <customFilter operator="notEqual" val=" "/>
      </customFilters>
    </filterColumn>
  </autoFilter>
  <conditionalFormatting sqref="B1:D1">
    <cfRule type="expression" dxfId="7" priority="6" stopIfTrue="1">
      <formula>LEFT($B1,6)="Macros"</formula>
    </cfRule>
  </conditionalFormatting>
  <conditionalFormatting sqref="B7">
    <cfRule type="cellIs" dxfId="6" priority="5" stopIfTrue="1" operator="equal">
      <formula>B6</formula>
    </cfRule>
  </conditionalFormatting>
  <conditionalFormatting sqref="F32 I32">
    <cfRule type="cellIs" dxfId="5" priority="4" stopIfTrue="1" operator="equal">
      <formula>"OK"</formula>
    </cfRule>
  </conditionalFormatting>
  <conditionalFormatting sqref="F65:F84">
    <cfRule type="expression" dxfId="4" priority="1" stopIfTrue="1">
      <formula>F65&lt;I65</formula>
    </cfRule>
    <cfRule type="expression" dxfId="3" priority="2" stopIfTrue="1">
      <formula>F65&gt;J65</formula>
    </cfRule>
    <cfRule type="expression" dxfId="2" priority="3" stopIfTrue="1">
      <formula>OR(AND(F65&gt;G65,G65&gt;1),AND(F65&lt;G65,G65&lt;1))</formula>
    </cfRule>
  </conditionalFormatting>
  <dataValidations count="2">
    <dataValidation type="decimal" allowBlank="1" showInputMessage="1" showErrorMessage="1" errorTitle="Invalid Allocation" error="Input value must be between 0% and 100%" sqref="F20:F30">
      <formula1>0</formula1>
      <formula2>1</formula2>
    </dataValidation>
    <dataValidation showInputMessage="1" showErrorMessage="1" sqref="B63:C84 B37:C38 B9:C30"/>
  </dataValidations>
  <hyperlinks>
    <hyperlink ref="A9" location="Overview!A1" display="Go to Overview"/>
  </hyperlinks>
  <pageMargins left="0.5" right="0.5" top="0.5" bottom="0.75" header="0" footer="0.5"/>
  <pageSetup scale="83" fitToHeight="0" pageOrder="overThenDown" orientation="landscape" errors="dash" r:id="rId1"/>
  <headerFooter alignWithMargins="0">
    <oddFooter>&amp;LPrinted: &amp;D &amp;T&amp;R&amp;P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filterMode="1">
    <tabColor indexed="21"/>
  </sheetPr>
  <dimension ref="A1:O84"/>
  <sheetViews>
    <sheetView showZeros="0" zoomScale="80" zoomScaleNormal="80" workbookViewId="0">
      <pane xSplit="3" ySplit="10" topLeftCell="D11" activePane="bottomRight" state="frozen"/>
      <selection activeCell="J82" sqref="J82"/>
      <selection pane="topRight" activeCell="J82" sqref="J82"/>
      <selection pane="bottomLeft" activeCell="J82" sqref="J82"/>
      <selection pane="bottomRight" activeCell="G44" sqref="G44"/>
    </sheetView>
  </sheetViews>
  <sheetFormatPr defaultColWidth="9.109375" defaultRowHeight="13.2" outlineLevelCol="1" x14ac:dyDescent="0.25"/>
  <cols>
    <col min="1" max="1" width="12.88671875" style="257" customWidth="1"/>
    <col min="2" max="2" width="27.5546875" style="256" customWidth="1"/>
    <col min="3" max="3" width="35.6640625" style="138" customWidth="1" outlineLevel="1"/>
    <col min="4" max="12" width="13.6640625" style="7" customWidth="1"/>
    <col min="13" max="13" width="12.6640625" style="7" hidden="1" customWidth="1"/>
    <col min="14" max="14" width="0" style="7" hidden="1" customWidth="1"/>
    <col min="15" max="16384" width="9.109375" style="7"/>
  </cols>
  <sheetData>
    <row r="1" spans="1:15" x14ac:dyDescent="0.25">
      <c r="A1" s="1"/>
      <c r="B1" s="3" t="s">
        <v>83</v>
      </c>
      <c r="C1" s="2"/>
      <c r="D1" s="2"/>
      <c r="E1" s="3"/>
      <c r="F1" s="4"/>
      <c r="G1" s="4"/>
      <c r="H1" s="4"/>
      <c r="I1" s="4"/>
      <c r="J1" s="4"/>
      <c r="K1" s="4"/>
      <c r="L1" s="4"/>
    </row>
    <row r="2" spans="1:15" ht="21" x14ac:dyDescent="0.25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5" ht="15.6" x14ac:dyDescent="0.25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O3" s="258"/>
    </row>
    <row r="4" spans="1:15" ht="15.6" x14ac:dyDescent="0.25">
      <c r="A4" s="12"/>
      <c r="B4" s="16"/>
      <c r="C4" s="17"/>
      <c r="D4" s="15"/>
      <c r="E4" s="15"/>
      <c r="F4" s="15"/>
      <c r="G4" s="15"/>
      <c r="H4" s="15"/>
      <c r="I4" s="15"/>
      <c r="J4" s="15"/>
      <c r="K4" s="15"/>
      <c r="L4" s="15"/>
    </row>
    <row r="5" spans="1:15" x14ac:dyDescent="0.25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  <c r="L5" s="21"/>
    </row>
    <row r="6" spans="1:15" ht="25.5" customHeight="1" x14ac:dyDescent="0.25">
      <c r="A6" s="22"/>
      <c r="B6" s="139"/>
      <c r="C6" s="24"/>
      <c r="D6" s="25"/>
      <c r="E6" s="25"/>
      <c r="F6" s="25"/>
      <c r="G6" s="25"/>
      <c r="H6" s="25"/>
      <c r="I6" s="25"/>
      <c r="J6" s="25"/>
      <c r="K6" s="25"/>
      <c r="L6" s="25"/>
    </row>
    <row r="7" spans="1:15" ht="18" x14ac:dyDescent="0.25">
      <c r="A7" s="28"/>
      <c r="B7" s="140"/>
      <c r="C7" s="30"/>
      <c r="D7" s="31"/>
      <c r="E7" s="31"/>
      <c r="F7" s="31"/>
      <c r="G7" s="31"/>
      <c r="H7" s="31"/>
      <c r="I7" s="31"/>
      <c r="J7" s="31"/>
      <c r="K7" s="31"/>
      <c r="L7" s="31"/>
    </row>
    <row r="8" spans="1:15" x14ac:dyDescent="0.25">
      <c r="A8" s="32"/>
      <c r="B8" s="19"/>
      <c r="C8" s="20"/>
      <c r="D8" s="141"/>
      <c r="E8" s="141"/>
      <c r="F8" s="141"/>
      <c r="G8" s="141"/>
      <c r="H8" s="141"/>
      <c r="I8" s="141"/>
      <c r="J8" s="141"/>
      <c r="K8" s="141"/>
      <c r="L8" s="142"/>
    </row>
    <row r="9" spans="1:15" x14ac:dyDescent="0.25">
      <c r="A9" s="33" t="s">
        <v>0</v>
      </c>
      <c r="B9" s="34"/>
      <c r="C9" s="143"/>
      <c r="D9" s="144"/>
      <c r="E9" s="145" t="s">
        <v>46</v>
      </c>
      <c r="F9" s="146"/>
      <c r="G9" s="144"/>
      <c r="H9" s="145" t="s">
        <v>47</v>
      </c>
      <c r="I9" s="146"/>
      <c r="J9" s="144"/>
      <c r="K9" s="145" t="s">
        <v>48</v>
      </c>
      <c r="L9" s="146"/>
    </row>
    <row r="10" spans="1:15" x14ac:dyDescent="0.25">
      <c r="A10" s="18"/>
      <c r="B10" s="42" t="s">
        <v>2</v>
      </c>
      <c r="C10" s="259" t="s">
        <v>3</v>
      </c>
      <c r="D10" s="151" t="s">
        <v>49</v>
      </c>
      <c r="E10" s="152" t="s">
        <v>50</v>
      </c>
      <c r="F10" s="153" t="s">
        <v>51</v>
      </c>
      <c r="G10" s="151" t="s">
        <v>49</v>
      </c>
      <c r="H10" s="152" t="s">
        <v>50</v>
      </c>
      <c r="I10" s="153" t="s">
        <v>51</v>
      </c>
      <c r="J10" s="151" t="s">
        <v>49</v>
      </c>
      <c r="K10" s="152" t="s">
        <v>50</v>
      </c>
      <c r="L10" s="153" t="s">
        <v>51</v>
      </c>
    </row>
    <row r="11" spans="1:15" x14ac:dyDescent="0.25">
      <c r="A11" s="18"/>
      <c r="B11" s="50" t="str">
        <f>F2.CostAllocation!B11</f>
        <v>Residential</v>
      </c>
      <c r="C11" s="50" t="str">
        <f>F2.CostAllocation!C11</f>
        <v>Continued</v>
      </c>
      <c r="D11" s="268">
        <f>F2.CostAllocation!G37</f>
        <v>14.2</v>
      </c>
      <c r="E11" s="260">
        <f>D11*M11*12/N11</f>
        <v>0.52892397550388215</v>
      </c>
      <c r="F11" s="261">
        <f>1-E11</f>
        <v>0.47107602449611785</v>
      </c>
      <c r="G11" s="262">
        <f>F2.CostAllocation!$D37</f>
        <v>9.5967079652296867</v>
      </c>
      <c r="H11" s="260">
        <f>G11*M11*12/F3.RevenueAllocation!I11</f>
        <v>0.28725435173928965</v>
      </c>
      <c r="I11" s="261">
        <f t="shared" ref="I11:I30" si="0">IF(H11="","",1-H11)</f>
        <v>0.71274564826071041</v>
      </c>
      <c r="J11" s="262">
        <f>F2.CostAllocation!$H37</f>
        <v>25.379875017618875</v>
      </c>
      <c r="K11" s="338">
        <f>J11*M11*12/F3.RevenueAllocation!I11</f>
        <v>0.75968546420551764</v>
      </c>
      <c r="L11" s="261">
        <f t="shared" ref="L11:L30" si="1">IF(K11="","",1-K11)</f>
        <v>0.24031453579448236</v>
      </c>
      <c r="M11" s="7">
        <v>3234</v>
      </c>
      <c r="N11" s="7">
        <v>1041876.764</v>
      </c>
    </row>
    <row r="12" spans="1:15" x14ac:dyDescent="0.25">
      <c r="A12" s="18"/>
      <c r="B12" s="50" t="str">
        <f>F2.CostAllocation!B12</f>
        <v>GS &lt;50</v>
      </c>
      <c r="C12" s="50" t="str">
        <f>F2.CostAllocation!C12</f>
        <v>Continued</v>
      </c>
      <c r="D12" s="268">
        <f>F2.CostAllocation!G38</f>
        <v>33.72</v>
      </c>
      <c r="E12" s="260">
        <f t="shared" ref="E12:E19" si="2">D12*M12*12/N12</f>
        <v>0.52576391031339464</v>
      </c>
      <c r="F12" s="261">
        <f t="shared" ref="F12:F30" si="3">1-E12</f>
        <v>0.47423608968660536</v>
      </c>
      <c r="G12" s="265">
        <f>F2.CostAllocation!$D38</f>
        <v>13.856560188515031</v>
      </c>
      <c r="H12" s="260">
        <f>G12*M12*12/F3.RevenueAllocation!I12</f>
        <v>0.18672398656282965</v>
      </c>
      <c r="I12" s="264">
        <f t="shared" si="0"/>
        <v>0.81327601343717038</v>
      </c>
      <c r="J12" s="265">
        <f>F2.CostAllocation!$H38</f>
        <v>37.003125515910334</v>
      </c>
      <c r="K12" s="338">
        <f>J12*M12*12/F3.RevenueAllocation!I12</f>
        <v>0.49863537686231479</v>
      </c>
      <c r="L12" s="264">
        <f t="shared" si="1"/>
        <v>0.50136462313768515</v>
      </c>
      <c r="M12" s="7">
        <v>461</v>
      </c>
      <c r="N12" s="7">
        <v>354796.20480000001</v>
      </c>
    </row>
    <row r="13" spans="1:15" s="71" customFormat="1" x14ac:dyDescent="0.25">
      <c r="A13" s="66"/>
      <c r="B13" s="50" t="str">
        <f>F2.CostAllocation!B13</f>
        <v>GS 50 - 499 kW</v>
      </c>
      <c r="C13" s="50" t="str">
        <f>F2.CostAllocation!C13</f>
        <v>Continued</v>
      </c>
      <c r="D13" s="268">
        <f>F2.CostAllocation!G39</f>
        <v>396.04</v>
      </c>
      <c r="E13" s="260">
        <f t="shared" si="2"/>
        <v>0.68929201091238512</v>
      </c>
      <c r="F13" s="261">
        <f t="shared" si="3"/>
        <v>0.31070798908761488</v>
      </c>
      <c r="G13" s="268">
        <f>F2.CostAllocation!$D39</f>
        <v>88.715708043694676</v>
      </c>
      <c r="H13" s="260">
        <f>G13*M13*12/F3.RevenueAllocation!I13</f>
        <v>0.15440640074196518</v>
      </c>
      <c r="I13" s="267">
        <f t="shared" si="0"/>
        <v>0.84559359925803479</v>
      </c>
      <c r="J13" s="268">
        <f>F2.CostAllocation!$H39</f>
        <v>396.04</v>
      </c>
      <c r="K13" s="338">
        <f>J13*M13*12/F3.RevenueAllocation!I13</f>
        <v>0.68929293693659599</v>
      </c>
      <c r="L13" s="267">
        <f t="shared" si="1"/>
        <v>0.31070706306340401</v>
      </c>
      <c r="M13" s="7">
        <v>46</v>
      </c>
      <c r="N13" s="71">
        <v>317157.42608220613</v>
      </c>
    </row>
    <row r="14" spans="1:15" s="71" customFormat="1" x14ac:dyDescent="0.25">
      <c r="A14" s="66"/>
      <c r="B14" s="50" t="str">
        <f>F2.CostAllocation!B14</f>
        <v>GS 500 kW - 4999 kW</v>
      </c>
      <c r="C14" s="50" t="str">
        <f>F2.CostAllocation!C14</f>
        <v>Continued</v>
      </c>
      <c r="D14" s="268">
        <f>F2.CostAllocation!G40</f>
        <v>2974.29</v>
      </c>
      <c r="E14" s="260">
        <f t="shared" si="2"/>
        <v>0.78474417853129474</v>
      </c>
      <c r="F14" s="261">
        <f t="shared" si="3"/>
        <v>0.21525582146870526</v>
      </c>
      <c r="G14" s="268">
        <f>F2.CostAllocation!$D40</f>
        <v>329.76336898646963</v>
      </c>
      <c r="H14" s="260">
        <f>G14*M14*12/F3.RevenueAllocation!I14</f>
        <v>8.7005616061511262E-2</v>
      </c>
      <c r="I14" s="267">
        <f t="shared" si="0"/>
        <v>0.91299438393848875</v>
      </c>
      <c r="J14" s="268">
        <f>F2.CostAllocation!$H40</f>
        <v>2974.29</v>
      </c>
      <c r="K14" s="338">
        <f>J14*M14*12/F3.RevenueAllocation!I14</f>
        <v>0.78474432921690052</v>
      </c>
      <c r="L14" s="267">
        <f t="shared" si="1"/>
        <v>0.21525567078309948</v>
      </c>
      <c r="M14" s="7">
        <v>3</v>
      </c>
      <c r="N14" s="71">
        <v>136445.02619999999</v>
      </c>
    </row>
    <row r="15" spans="1:15" hidden="1" x14ac:dyDescent="0.25">
      <c r="A15" s="18"/>
      <c r="B15" s="50" t="str">
        <f>F2.CostAllocation!B15</f>
        <v>GS &gt;50-Intermediate</v>
      </c>
      <c r="C15" s="50">
        <f>F2.CostAllocation!C15</f>
        <v>0</v>
      </c>
      <c r="D15" s="268">
        <f>F2.CostAllocation!G41</f>
        <v>0</v>
      </c>
      <c r="E15" s="260" t="e">
        <f t="shared" si="2"/>
        <v>#DIV/0!</v>
      </c>
      <c r="F15" s="261" t="e">
        <f t="shared" si="3"/>
        <v>#DIV/0!</v>
      </c>
      <c r="G15" s="265">
        <f>F2.CostAllocation!$D41</f>
        <v>0</v>
      </c>
      <c r="H15" s="260" t="e">
        <f>G15*M15*12/F3.RevenueAllocation!I15</f>
        <v>#DIV/0!</v>
      </c>
      <c r="I15" s="264" t="e">
        <f t="shared" si="0"/>
        <v>#DIV/0!</v>
      </c>
      <c r="J15" s="265">
        <f>F2.CostAllocation!$H41</f>
        <v>0</v>
      </c>
      <c r="K15" s="338" t="e">
        <f>J15*M15*12/F3.RevenueAllocation!I15</f>
        <v>#DIV/0!</v>
      </c>
      <c r="L15" s="264" t="e">
        <f t="shared" si="1"/>
        <v>#DIV/0!</v>
      </c>
      <c r="N15" s="7">
        <v>0</v>
      </c>
    </row>
    <row r="16" spans="1:15" x14ac:dyDescent="0.25">
      <c r="A16" s="18"/>
      <c r="B16" s="50" t="str">
        <f>F2.CostAllocation!B16</f>
        <v>Large Use &gt;5MW</v>
      </c>
      <c r="C16" s="50" t="str">
        <f>F2.CostAllocation!C16</f>
        <v>Continued</v>
      </c>
      <c r="D16" s="268">
        <f>F2.CostAllocation!G42</f>
        <v>9509.57</v>
      </c>
      <c r="E16" s="260">
        <f t="shared" si="2"/>
        <v>0.53105930913071053</v>
      </c>
      <c r="F16" s="261">
        <f t="shared" si="3"/>
        <v>0.46894069086928947</v>
      </c>
      <c r="G16" s="268">
        <f>F2.CostAllocation!$D42</f>
        <v>1216.2523104455699</v>
      </c>
      <c r="H16" s="260">
        <f>G16*M16*12/F3.RevenueAllocation!I16</f>
        <v>4.0829405831582635E-2</v>
      </c>
      <c r="I16" s="267">
        <f t="shared" ref="I16" si="4">IF(H16="","",1-H16)</f>
        <v>0.95917059416841732</v>
      </c>
      <c r="J16" s="265">
        <f>F2.CostAllocation!$H42</f>
        <v>9509.57</v>
      </c>
      <c r="K16" s="338">
        <f>J16*M16*12/F3.RevenueAllocation!I16</f>
        <v>0.31923482445151685</v>
      </c>
      <c r="L16" s="264">
        <f t="shared" si="1"/>
        <v>0.68076517554848315</v>
      </c>
      <c r="M16" s="7">
        <v>1</v>
      </c>
      <c r="N16" s="7">
        <v>214881.53590000005</v>
      </c>
    </row>
    <row r="17" spans="1:14" x14ac:dyDescent="0.25">
      <c r="A17" s="18"/>
      <c r="B17" s="50" t="str">
        <f>F2.CostAllocation!B17</f>
        <v>Street Light</v>
      </c>
      <c r="C17" s="50" t="str">
        <f>F2.CostAllocation!C17</f>
        <v>Continued</v>
      </c>
      <c r="D17" s="268">
        <f>F2.CostAllocation!G43</f>
        <v>1.97</v>
      </c>
      <c r="E17" s="260">
        <f t="shared" si="2"/>
        <v>0.52156741302055254</v>
      </c>
      <c r="F17" s="261">
        <f t="shared" si="3"/>
        <v>0.47843258697944746</v>
      </c>
      <c r="G17" s="265">
        <f>F2.CostAllocation!$D43</f>
        <v>0.51839634305429627</v>
      </c>
      <c r="H17" s="260">
        <f>G17*M17*12/F3.RevenueAllocation!I17</f>
        <v>6.7839449057375503E-2</v>
      </c>
      <c r="I17" s="264">
        <f t="shared" si="0"/>
        <v>0.93216055094262451</v>
      </c>
      <c r="J17" s="265">
        <f>F2.CostAllocation!$H43</f>
        <v>11.351663310832558</v>
      </c>
      <c r="K17" s="338">
        <f>J17*M17*12/F3.RevenueAllocation!I17</f>
        <v>1.4855247248745453</v>
      </c>
      <c r="L17" s="264">
        <f t="shared" si="1"/>
        <v>-0.48552472487454534</v>
      </c>
      <c r="M17" s="7">
        <v>1298</v>
      </c>
      <c r="N17" s="7">
        <v>58831.743000000002</v>
      </c>
    </row>
    <row r="18" spans="1:14" x14ac:dyDescent="0.25">
      <c r="A18" s="18"/>
      <c r="B18" s="50" t="str">
        <f>F2.CostAllocation!B18</f>
        <v>Sentinel</v>
      </c>
      <c r="C18" s="50" t="str">
        <f>F2.CostAllocation!C18</f>
        <v>Continued</v>
      </c>
      <c r="D18" s="268">
        <f>F2.CostAllocation!G44</f>
        <v>5.69</v>
      </c>
      <c r="E18" s="260">
        <f t="shared" si="2"/>
        <v>1</v>
      </c>
      <c r="F18" s="261">
        <f t="shared" si="3"/>
        <v>0</v>
      </c>
      <c r="G18" s="265">
        <f>F2.CostAllocation!$D44</f>
        <v>16.276018111387589</v>
      </c>
      <c r="H18" s="260">
        <f>G18*M18*12/F3.RevenueAllocation!I18</f>
        <v>0.5397429989262108</v>
      </c>
      <c r="I18" s="264">
        <f t="shared" si="0"/>
        <v>0.4602570010737892</v>
      </c>
      <c r="J18" s="265">
        <f>F2.CostAllocation!$H44</f>
        <v>35.390916405610369</v>
      </c>
      <c r="K18" s="338">
        <f>J18*M18*12/F3.RevenueAllocation!I18</f>
        <v>1.1736285389204728</v>
      </c>
      <c r="L18" s="264">
        <f t="shared" si="1"/>
        <v>-0.17362853892047281</v>
      </c>
      <c r="M18" s="7">
        <v>8</v>
      </c>
      <c r="N18" s="7">
        <v>546.24</v>
      </c>
    </row>
    <row r="19" spans="1:14" x14ac:dyDescent="0.25">
      <c r="A19" s="18"/>
      <c r="B19" s="50" t="str">
        <f>F2.CostAllocation!B19</f>
        <v>Unmetered Scattered Load</v>
      </c>
      <c r="C19" s="50" t="str">
        <f>F2.CostAllocation!C19</f>
        <v>Continued</v>
      </c>
      <c r="D19" s="268">
        <f>F2.CostAllocation!G45</f>
        <v>33.729999999999997</v>
      </c>
      <c r="E19" s="260">
        <f t="shared" si="2"/>
        <v>0.80656924706653177</v>
      </c>
      <c r="F19" s="261">
        <f t="shared" si="3"/>
        <v>0.19343075293346823</v>
      </c>
      <c r="G19" s="265">
        <f>F2.CostAllocation!$D45</f>
        <v>124.55895057059489</v>
      </c>
      <c r="H19" s="260">
        <f>G19*M19*12/F3.RevenueAllocation!I19</f>
        <v>4.3620745074525962</v>
      </c>
      <c r="I19" s="264">
        <f t="shared" si="0"/>
        <v>-3.3620745074525962</v>
      </c>
      <c r="J19" s="265">
        <f>F2.CostAllocation!$H45</f>
        <v>232.87693936120149</v>
      </c>
      <c r="K19" s="338">
        <f>J19*M19*12/F3.RevenueAllocation!I19</f>
        <v>8.1553879179911064</v>
      </c>
      <c r="L19" s="264">
        <f t="shared" si="1"/>
        <v>-7.1553879179911064</v>
      </c>
      <c r="M19" s="7">
        <v>26</v>
      </c>
      <c r="N19" s="7">
        <v>13047.559199999998</v>
      </c>
    </row>
    <row r="20" spans="1:14" s="71" customFormat="1" hidden="1" x14ac:dyDescent="0.25">
      <c r="A20" s="66"/>
      <c r="B20" s="50" t="str">
        <f>F2.CostAllocation!B20</f>
        <v/>
      </c>
      <c r="C20" s="50" t="str">
        <f>F2.CostAllocation!C20</f>
        <v/>
      </c>
      <c r="D20" s="268"/>
      <c r="E20" s="260" t="e">
        <f>D20*M20*12/F3.RevenueAllocation!I20</f>
        <v>#DIV/0!</v>
      </c>
      <c r="F20" s="261" t="e">
        <f t="shared" si="3"/>
        <v>#DIV/0!</v>
      </c>
      <c r="G20" s="268">
        <f>F2.CostAllocation!$D46</f>
        <v>0</v>
      </c>
      <c r="H20" s="260" t="e">
        <f>G20*M20*12/F3.RevenueAllocation!I20</f>
        <v>#DIV/0!</v>
      </c>
      <c r="I20" s="267" t="e">
        <f t="shared" si="0"/>
        <v>#DIV/0!</v>
      </c>
      <c r="J20" s="268">
        <f>F2.CostAllocation!$H46</f>
        <v>0</v>
      </c>
      <c r="K20" s="338" t="e">
        <f>J20*M20*12/F3.RevenueAllocation!I20</f>
        <v>#DIV/0!</v>
      </c>
      <c r="L20" s="267" t="e">
        <f t="shared" si="1"/>
        <v>#DIV/0!</v>
      </c>
      <c r="M20" s="7"/>
    </row>
    <row r="21" spans="1:14" s="71" customFormat="1" hidden="1" x14ac:dyDescent="0.25">
      <c r="A21" s="66"/>
      <c r="B21" s="50" t="str">
        <f>F2.CostAllocation!B21</f>
        <v/>
      </c>
      <c r="C21" s="50" t="str">
        <f>F2.CostAllocation!C21</f>
        <v/>
      </c>
      <c r="D21" s="268"/>
      <c r="E21" s="260" t="e">
        <f>D21*M21*12/F3.RevenueAllocation!I21</f>
        <v>#DIV/0!</v>
      </c>
      <c r="F21" s="261" t="e">
        <f t="shared" si="3"/>
        <v>#DIV/0!</v>
      </c>
      <c r="G21" s="268">
        <f>F2.CostAllocation!$D47</f>
        <v>0</v>
      </c>
      <c r="H21" s="260" t="e">
        <f>G21*M21*12/F3.RevenueAllocation!I21</f>
        <v>#DIV/0!</v>
      </c>
      <c r="I21" s="267" t="e">
        <f t="shared" si="0"/>
        <v>#DIV/0!</v>
      </c>
      <c r="J21" s="268">
        <f>F2.CostAllocation!$H47</f>
        <v>0</v>
      </c>
      <c r="K21" s="338" t="e">
        <f>J21*M21*12/F3.RevenueAllocation!I21</f>
        <v>#DIV/0!</v>
      </c>
      <c r="L21" s="267" t="e">
        <f t="shared" si="1"/>
        <v>#DIV/0!</v>
      </c>
      <c r="M21" s="7"/>
    </row>
    <row r="22" spans="1:14" s="71" customFormat="1" hidden="1" x14ac:dyDescent="0.25">
      <c r="A22" s="66"/>
      <c r="B22" s="50" t="str">
        <f>F2.CostAllocation!B22</f>
        <v/>
      </c>
      <c r="C22" s="50" t="str">
        <f>F2.CostAllocation!C22</f>
        <v/>
      </c>
      <c r="D22" s="268"/>
      <c r="E22" s="260" t="e">
        <f>D22*M22*12/F3.RevenueAllocation!I22</f>
        <v>#DIV/0!</v>
      </c>
      <c r="F22" s="261" t="e">
        <f t="shared" si="3"/>
        <v>#DIV/0!</v>
      </c>
      <c r="G22" s="268">
        <f>F2.CostAllocation!$D48</f>
        <v>0</v>
      </c>
      <c r="H22" s="260" t="e">
        <f>G22*M22*12/F3.RevenueAllocation!I22</f>
        <v>#DIV/0!</v>
      </c>
      <c r="I22" s="267" t="e">
        <f t="shared" si="0"/>
        <v>#DIV/0!</v>
      </c>
      <c r="J22" s="268">
        <f>F2.CostAllocation!$H48</f>
        <v>0</v>
      </c>
      <c r="K22" s="338" t="e">
        <f>J22*M22*12/F3.RevenueAllocation!I22</f>
        <v>#DIV/0!</v>
      </c>
      <c r="L22" s="267" t="e">
        <f t="shared" si="1"/>
        <v>#DIV/0!</v>
      </c>
      <c r="M22" s="7"/>
    </row>
    <row r="23" spans="1:14" s="71" customFormat="1" hidden="1" x14ac:dyDescent="0.25">
      <c r="A23" s="66"/>
      <c r="B23" s="50" t="str">
        <f>F2.CostAllocation!B23</f>
        <v/>
      </c>
      <c r="C23" s="50" t="str">
        <f>F2.CostAllocation!C23</f>
        <v/>
      </c>
      <c r="D23" s="268"/>
      <c r="E23" s="260" t="e">
        <f>D23*M23*12/F3.RevenueAllocation!I23</f>
        <v>#DIV/0!</v>
      </c>
      <c r="F23" s="261" t="e">
        <f t="shared" si="3"/>
        <v>#DIV/0!</v>
      </c>
      <c r="G23" s="268">
        <f>F2.CostAllocation!$D49</f>
        <v>0</v>
      </c>
      <c r="H23" s="260" t="e">
        <f>G23*M23*12/F3.RevenueAllocation!I23</f>
        <v>#DIV/0!</v>
      </c>
      <c r="I23" s="267" t="e">
        <f t="shared" si="0"/>
        <v>#DIV/0!</v>
      </c>
      <c r="J23" s="268">
        <f>F2.CostAllocation!$H49</f>
        <v>0</v>
      </c>
      <c r="K23" s="338" t="e">
        <f>J23*M23*12/F3.RevenueAllocation!I23</f>
        <v>#DIV/0!</v>
      </c>
      <c r="L23" s="267" t="e">
        <f t="shared" si="1"/>
        <v>#DIV/0!</v>
      </c>
      <c r="M23" s="7"/>
    </row>
    <row r="24" spans="1:14" s="71" customFormat="1" hidden="1" x14ac:dyDescent="0.25">
      <c r="A24" s="66"/>
      <c r="B24" s="50" t="str">
        <f>F2.CostAllocation!B24</f>
        <v/>
      </c>
      <c r="C24" s="50" t="str">
        <f>F2.CostAllocation!C24</f>
        <v/>
      </c>
      <c r="D24" s="268"/>
      <c r="E24" s="260" t="e">
        <f>D24*M24*12/F3.RevenueAllocation!I24</f>
        <v>#DIV/0!</v>
      </c>
      <c r="F24" s="261" t="e">
        <f t="shared" si="3"/>
        <v>#DIV/0!</v>
      </c>
      <c r="G24" s="268">
        <f>F2.CostAllocation!$D50</f>
        <v>0</v>
      </c>
      <c r="H24" s="260" t="e">
        <f>G24*M24*12/F3.RevenueAllocation!I24</f>
        <v>#DIV/0!</v>
      </c>
      <c r="I24" s="267" t="e">
        <f t="shared" si="0"/>
        <v>#DIV/0!</v>
      </c>
      <c r="J24" s="268">
        <f>F2.CostAllocation!$H50</f>
        <v>0</v>
      </c>
      <c r="K24" s="338" t="e">
        <f>J24*M24*12/F3.RevenueAllocation!I24</f>
        <v>#DIV/0!</v>
      </c>
      <c r="L24" s="267" t="e">
        <f t="shared" si="1"/>
        <v>#DIV/0!</v>
      </c>
      <c r="M24" s="7"/>
    </row>
    <row r="25" spans="1:14" s="71" customFormat="1" hidden="1" x14ac:dyDescent="0.25">
      <c r="A25" s="66"/>
      <c r="B25" s="50" t="str">
        <f>F2.CostAllocation!B25</f>
        <v/>
      </c>
      <c r="C25" s="50" t="str">
        <f>F2.CostAllocation!C25</f>
        <v/>
      </c>
      <c r="D25" s="268"/>
      <c r="E25" s="260" t="e">
        <f>D25*M25*12/F3.RevenueAllocation!I25</f>
        <v>#DIV/0!</v>
      </c>
      <c r="F25" s="261" t="e">
        <f t="shared" si="3"/>
        <v>#DIV/0!</v>
      </c>
      <c r="G25" s="268">
        <f>F2.CostAllocation!$D51</f>
        <v>0</v>
      </c>
      <c r="H25" s="260" t="e">
        <f>G25*M25*12/F3.RevenueAllocation!I25</f>
        <v>#DIV/0!</v>
      </c>
      <c r="I25" s="267" t="e">
        <f t="shared" si="0"/>
        <v>#DIV/0!</v>
      </c>
      <c r="J25" s="268">
        <f>F2.CostAllocation!$H51</f>
        <v>0</v>
      </c>
      <c r="K25" s="338" t="e">
        <f>J25*M25*12/F3.RevenueAllocation!I25</f>
        <v>#DIV/0!</v>
      </c>
      <c r="L25" s="267" t="e">
        <f t="shared" si="1"/>
        <v>#DIV/0!</v>
      </c>
      <c r="M25" s="7"/>
    </row>
    <row r="26" spans="1:14" s="71" customFormat="1" hidden="1" x14ac:dyDescent="0.25">
      <c r="A26" s="66"/>
      <c r="B26" s="50" t="str">
        <f>F2.CostAllocation!B26</f>
        <v/>
      </c>
      <c r="C26" s="50" t="str">
        <f>F2.CostAllocation!C26</f>
        <v/>
      </c>
      <c r="D26" s="268"/>
      <c r="E26" s="260" t="e">
        <f>D26*M26*12/F3.RevenueAllocation!I26</f>
        <v>#DIV/0!</v>
      </c>
      <c r="F26" s="261" t="e">
        <f t="shared" si="3"/>
        <v>#DIV/0!</v>
      </c>
      <c r="G26" s="268">
        <f>F2.CostAllocation!$D52</f>
        <v>0</v>
      </c>
      <c r="H26" s="260" t="e">
        <f>G26*M26*12/F3.RevenueAllocation!I26</f>
        <v>#DIV/0!</v>
      </c>
      <c r="I26" s="267" t="e">
        <f t="shared" si="0"/>
        <v>#DIV/0!</v>
      </c>
      <c r="J26" s="268">
        <f>F2.CostAllocation!$H52</f>
        <v>0</v>
      </c>
      <c r="K26" s="338" t="e">
        <f>J26*M26*12/F3.RevenueAllocation!I26</f>
        <v>#DIV/0!</v>
      </c>
      <c r="L26" s="267" t="e">
        <f t="shared" si="1"/>
        <v>#DIV/0!</v>
      </c>
      <c r="M26" s="7"/>
    </row>
    <row r="27" spans="1:14" s="71" customFormat="1" hidden="1" x14ac:dyDescent="0.25">
      <c r="A27" s="66"/>
      <c r="B27" s="50" t="str">
        <f>F2.CostAllocation!B27</f>
        <v/>
      </c>
      <c r="C27" s="50" t="str">
        <f>F2.CostAllocation!C27</f>
        <v/>
      </c>
      <c r="D27" s="268"/>
      <c r="E27" s="260" t="e">
        <f>D27*M27*12/F3.RevenueAllocation!I27</f>
        <v>#DIV/0!</v>
      </c>
      <c r="F27" s="261" t="e">
        <f t="shared" si="3"/>
        <v>#DIV/0!</v>
      </c>
      <c r="G27" s="268">
        <f>F2.CostAllocation!$D53</f>
        <v>0</v>
      </c>
      <c r="H27" s="260" t="e">
        <f>G27*M27*12/F3.RevenueAllocation!I27</f>
        <v>#DIV/0!</v>
      </c>
      <c r="I27" s="267" t="e">
        <f t="shared" si="0"/>
        <v>#DIV/0!</v>
      </c>
      <c r="J27" s="268">
        <f>F2.CostAllocation!$H53</f>
        <v>0</v>
      </c>
      <c r="K27" s="338" t="e">
        <f>J27*M27*12/F3.RevenueAllocation!I27</f>
        <v>#DIV/0!</v>
      </c>
      <c r="L27" s="267" t="e">
        <f t="shared" si="1"/>
        <v>#DIV/0!</v>
      </c>
      <c r="M27" s="7"/>
    </row>
    <row r="28" spans="1:14" s="71" customFormat="1" hidden="1" x14ac:dyDescent="0.25">
      <c r="A28" s="66"/>
      <c r="B28" s="50" t="str">
        <f>F2.CostAllocation!B28</f>
        <v/>
      </c>
      <c r="C28" s="50" t="str">
        <f>F2.CostAllocation!C28</f>
        <v/>
      </c>
      <c r="D28" s="268"/>
      <c r="E28" s="260" t="e">
        <f>D28*M28*12/F3.RevenueAllocation!I28</f>
        <v>#DIV/0!</v>
      </c>
      <c r="F28" s="261" t="e">
        <f t="shared" si="3"/>
        <v>#DIV/0!</v>
      </c>
      <c r="G28" s="268">
        <f>F2.CostAllocation!$D54</f>
        <v>0</v>
      </c>
      <c r="H28" s="260" t="e">
        <f>G28*M28*12/F3.RevenueAllocation!I28</f>
        <v>#DIV/0!</v>
      </c>
      <c r="I28" s="267" t="e">
        <f t="shared" si="0"/>
        <v>#DIV/0!</v>
      </c>
      <c r="J28" s="268">
        <f>F2.CostAllocation!$H54</f>
        <v>0</v>
      </c>
      <c r="K28" s="338" t="e">
        <f>J28*M28*12/F3.RevenueAllocation!I28</f>
        <v>#DIV/0!</v>
      </c>
      <c r="L28" s="267" t="e">
        <f t="shared" si="1"/>
        <v>#DIV/0!</v>
      </c>
      <c r="M28" s="7"/>
    </row>
    <row r="29" spans="1:14" s="71" customFormat="1" hidden="1" x14ac:dyDescent="0.25">
      <c r="A29" s="66"/>
      <c r="B29" s="50" t="str">
        <f>F2.CostAllocation!B29</f>
        <v/>
      </c>
      <c r="C29" s="50" t="str">
        <f>F2.CostAllocation!C29</f>
        <v/>
      </c>
      <c r="D29" s="268"/>
      <c r="E29" s="260" t="e">
        <f>D29*M29*12/F3.RevenueAllocation!I29</f>
        <v>#DIV/0!</v>
      </c>
      <c r="F29" s="261" t="e">
        <f t="shared" si="3"/>
        <v>#DIV/0!</v>
      </c>
      <c r="G29" s="268">
        <f>F2.CostAllocation!$D55</f>
        <v>0</v>
      </c>
      <c r="H29" s="260" t="e">
        <f>G29*M29*12/F3.RevenueAllocation!I29</f>
        <v>#DIV/0!</v>
      </c>
      <c r="I29" s="267" t="e">
        <f t="shared" si="0"/>
        <v>#DIV/0!</v>
      </c>
      <c r="J29" s="268">
        <f>F2.CostAllocation!$H55</f>
        <v>0</v>
      </c>
      <c r="K29" s="338" t="e">
        <f>J29*M29*12/F3.RevenueAllocation!I29</f>
        <v>#DIV/0!</v>
      </c>
      <c r="L29" s="267" t="e">
        <f t="shared" si="1"/>
        <v>#DIV/0!</v>
      </c>
      <c r="M29" s="7"/>
    </row>
    <row r="30" spans="1:14" s="71" customFormat="1" hidden="1" x14ac:dyDescent="0.25">
      <c r="A30" s="66"/>
      <c r="B30" s="50" t="str">
        <f>F2.CostAllocation!B30</f>
        <v/>
      </c>
      <c r="C30" s="50" t="str">
        <f>F2.CostAllocation!C30</f>
        <v/>
      </c>
      <c r="D30" s="269"/>
      <c r="E30" s="260" t="e">
        <f>D30*M30*12/F3.RevenueAllocation!I30</f>
        <v>#DIV/0!</v>
      </c>
      <c r="F30" s="261" t="e">
        <f t="shared" si="3"/>
        <v>#DIV/0!</v>
      </c>
      <c r="G30" s="269">
        <f>F2.CostAllocation!$D56</f>
        <v>0</v>
      </c>
      <c r="H30" s="260" t="e">
        <f>G30*M30*12/F3.RevenueAllocation!I30</f>
        <v>#DIV/0!</v>
      </c>
      <c r="I30" s="271" t="e">
        <f t="shared" si="0"/>
        <v>#DIV/0!</v>
      </c>
      <c r="J30" s="269">
        <f>F2.CostAllocation!$H56</f>
        <v>0</v>
      </c>
      <c r="K30" s="338" t="e">
        <f>J30*M30*12/F3.RevenueAllocation!I30</f>
        <v>#DIV/0!</v>
      </c>
      <c r="L30" s="271" t="e">
        <f t="shared" si="1"/>
        <v>#DIV/0!</v>
      </c>
      <c r="M30" s="7"/>
    </row>
    <row r="31" spans="1:14" x14ac:dyDescent="0.25">
      <c r="A31" s="189"/>
      <c r="B31" s="272" t="s">
        <v>52</v>
      </c>
      <c r="C31" s="273" t="s">
        <v>53</v>
      </c>
      <c r="D31" s="274"/>
      <c r="E31" s="274"/>
      <c r="F31" s="274"/>
      <c r="G31" s="274"/>
      <c r="H31" s="274"/>
      <c r="I31" s="274"/>
      <c r="J31" s="142"/>
      <c r="K31" s="142"/>
      <c r="L31" s="142"/>
    </row>
    <row r="32" spans="1:14" x14ac:dyDescent="0.25">
      <c r="A32" s="189"/>
      <c r="B32" s="275" t="s">
        <v>54</v>
      </c>
      <c r="C32" s="276" t="s">
        <v>53</v>
      </c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3" x14ac:dyDescent="0.25">
      <c r="A33" s="189"/>
      <c r="B33" s="277"/>
      <c r="C33" s="278" t="s">
        <v>53</v>
      </c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3" x14ac:dyDescent="0.25">
      <c r="A34" s="189"/>
      <c r="B34" s="34"/>
      <c r="C34" s="143" t="s">
        <v>55</v>
      </c>
      <c r="D34" s="144"/>
      <c r="E34" s="145" t="s">
        <v>56</v>
      </c>
      <c r="F34" s="146"/>
      <c r="G34" s="144"/>
      <c r="H34" s="145" t="s">
        <v>24</v>
      </c>
      <c r="I34" s="279"/>
      <c r="J34" s="280"/>
      <c r="K34" s="281" t="s">
        <v>32</v>
      </c>
      <c r="L34" s="282"/>
    </row>
    <row r="35" spans="1:13" x14ac:dyDescent="0.25">
      <c r="A35" s="18"/>
      <c r="B35" s="42" t="s">
        <v>2</v>
      </c>
      <c r="C35" s="259" t="s">
        <v>3</v>
      </c>
      <c r="D35" s="151" t="s">
        <v>49</v>
      </c>
      <c r="E35" s="152" t="s">
        <v>50</v>
      </c>
      <c r="F35" s="153" t="s">
        <v>51</v>
      </c>
      <c r="G35" s="151" t="s">
        <v>57</v>
      </c>
      <c r="H35" s="152" t="s">
        <v>50</v>
      </c>
      <c r="I35" s="154" t="s">
        <v>51</v>
      </c>
      <c r="J35" s="151" t="s">
        <v>58</v>
      </c>
      <c r="K35" s="283" t="s">
        <v>59</v>
      </c>
      <c r="L35" s="284" t="s">
        <v>60</v>
      </c>
    </row>
    <row r="36" spans="1:13" x14ac:dyDescent="0.25">
      <c r="A36" s="18"/>
      <c r="B36" s="50" t="str">
        <f t="shared" ref="B36:C51" si="5">B11</f>
        <v>Residential</v>
      </c>
      <c r="C36" s="51" t="str">
        <f t="shared" si="5"/>
        <v>Continued</v>
      </c>
      <c r="D36" s="262">
        <f>E36*J36/M11/12</f>
        <v>17.67050315507819</v>
      </c>
      <c r="E36" s="260">
        <f t="shared" ref="E36:F51" si="6">E11</f>
        <v>0.52892397550388215</v>
      </c>
      <c r="F36" s="261">
        <f t="shared" si="6"/>
        <v>0.47107602449611785</v>
      </c>
      <c r="G36" s="345">
        <f t="shared" ref="G36:G44" si="7">MIN(D36,J11)</f>
        <v>17.67050315507819</v>
      </c>
      <c r="H36" s="260">
        <f>K36/$J36</f>
        <v>0.52892397550388215</v>
      </c>
      <c r="I36" s="286">
        <f>L36/$J36</f>
        <v>0.47107602449611785</v>
      </c>
      <c r="J36" s="158">
        <f>F3.RevenueAllocation!$I11</f>
        <v>1296513.1440468065</v>
      </c>
      <c r="K36" s="287">
        <f>G36*12*M11</f>
        <v>685756.88644227432</v>
      </c>
      <c r="L36" s="288">
        <f>J36-K36</f>
        <v>610756.25760453218</v>
      </c>
    </row>
    <row r="37" spans="1:13" x14ac:dyDescent="0.25">
      <c r="A37" s="18"/>
      <c r="B37" s="58" t="str">
        <f t="shared" si="5"/>
        <v>GS &lt;50</v>
      </c>
      <c r="C37" s="59" t="str">
        <f t="shared" si="5"/>
        <v>Continued</v>
      </c>
      <c r="D37" s="262">
        <f t="shared" ref="D37:D55" si="8">E37*J37/M12/12</f>
        <v>39.016301024374236</v>
      </c>
      <c r="E37" s="263">
        <f t="shared" si="6"/>
        <v>0.52576391031339464</v>
      </c>
      <c r="F37" s="264">
        <f t="shared" si="6"/>
        <v>0.47423608968660536</v>
      </c>
      <c r="G37" s="345">
        <f t="shared" si="7"/>
        <v>37.003125515910334</v>
      </c>
      <c r="H37" s="260">
        <f t="shared" ref="H37:H55" si="9">K37/$J37</f>
        <v>0.49863537686231474</v>
      </c>
      <c r="I37" s="289">
        <f t="shared" ref="I37:I55" si="10">IF(H37=0,0,1-H37)</f>
        <v>0.50136462313768526</v>
      </c>
      <c r="J37" s="165">
        <f>F3.RevenueAllocation!$I12</f>
        <v>410522.99907420913</v>
      </c>
      <c r="K37" s="287">
        <f t="shared" ref="K37:K55" si="11">G37*12*M12</f>
        <v>204701.29035401595</v>
      </c>
      <c r="L37" s="290">
        <f t="shared" ref="L37:L55" si="12">J37-K37</f>
        <v>205821.70872019319</v>
      </c>
    </row>
    <row r="38" spans="1:13" s="71" customFormat="1" x14ac:dyDescent="0.25">
      <c r="A38" s="66"/>
      <c r="B38" s="67" t="str">
        <f t="shared" si="5"/>
        <v>GS 50 - 499 kW</v>
      </c>
      <c r="C38" s="59" t="str">
        <f t="shared" si="5"/>
        <v>Continued</v>
      </c>
      <c r="D38" s="262">
        <f t="shared" si="8"/>
        <v>396.0394679437307</v>
      </c>
      <c r="E38" s="266">
        <f t="shared" si="6"/>
        <v>0.68929201091238512</v>
      </c>
      <c r="F38" s="267">
        <f t="shared" si="6"/>
        <v>0.31070798908761488</v>
      </c>
      <c r="G38" s="345">
        <f t="shared" si="7"/>
        <v>396.0394679437307</v>
      </c>
      <c r="H38" s="260">
        <f t="shared" si="9"/>
        <v>0.68929201091238512</v>
      </c>
      <c r="I38" s="291">
        <f t="shared" si="10"/>
        <v>0.31070798908761488</v>
      </c>
      <c r="J38" s="169">
        <f>F3.RevenueAllocation!$I13</f>
        <v>317157.00000000006</v>
      </c>
      <c r="K38" s="287">
        <f t="shared" si="11"/>
        <v>218613.78630493936</v>
      </c>
      <c r="L38" s="292">
        <f t="shared" si="12"/>
        <v>98543.213695060695</v>
      </c>
      <c r="M38" s="7"/>
    </row>
    <row r="39" spans="1:13" s="71" customFormat="1" x14ac:dyDescent="0.25">
      <c r="A39" s="66"/>
      <c r="B39" s="67" t="str">
        <f t="shared" si="5"/>
        <v>GS 500 kW - 4999 kW</v>
      </c>
      <c r="C39" s="59" t="str">
        <f t="shared" si="5"/>
        <v>Continued</v>
      </c>
      <c r="D39" s="262">
        <f t="shared" si="8"/>
        <v>2974.2894288806256</v>
      </c>
      <c r="E39" s="266">
        <f t="shared" si="6"/>
        <v>0.78474417853129474</v>
      </c>
      <c r="F39" s="267">
        <f t="shared" si="6"/>
        <v>0.21525582146870526</v>
      </c>
      <c r="G39" s="345">
        <f t="shared" si="7"/>
        <v>2974.2894288806256</v>
      </c>
      <c r="H39" s="260">
        <f t="shared" si="9"/>
        <v>0.78474417853129486</v>
      </c>
      <c r="I39" s="291">
        <f t="shared" si="10"/>
        <v>0.21525582146870514</v>
      </c>
      <c r="J39" s="169">
        <f>F3.RevenueAllocation!$I14</f>
        <v>136445</v>
      </c>
      <c r="K39" s="287">
        <f t="shared" si="11"/>
        <v>107074.41943970253</v>
      </c>
      <c r="L39" s="292">
        <f t="shared" si="12"/>
        <v>29370.580560297472</v>
      </c>
      <c r="M39" s="7"/>
    </row>
    <row r="40" spans="1:13" hidden="1" x14ac:dyDescent="0.25">
      <c r="A40" s="18"/>
      <c r="B40" s="58" t="str">
        <f t="shared" si="5"/>
        <v>GS &gt;50-Intermediate</v>
      </c>
      <c r="C40" s="59">
        <f t="shared" si="5"/>
        <v>0</v>
      </c>
      <c r="D40" s="262" t="e">
        <f t="shared" si="8"/>
        <v>#DIV/0!</v>
      </c>
      <c r="E40" s="263" t="e">
        <f t="shared" si="6"/>
        <v>#DIV/0!</v>
      </c>
      <c r="F40" s="264" t="e">
        <f t="shared" si="6"/>
        <v>#DIV/0!</v>
      </c>
      <c r="G40" s="285" t="e">
        <f t="shared" si="7"/>
        <v>#DIV/0!</v>
      </c>
      <c r="H40" s="260" t="e">
        <f t="shared" si="9"/>
        <v>#DIV/0!</v>
      </c>
      <c r="I40" s="289" t="e">
        <f t="shared" si="10"/>
        <v>#DIV/0!</v>
      </c>
      <c r="J40" s="165">
        <f>F3.RevenueAllocation!$I15</f>
        <v>0</v>
      </c>
      <c r="K40" s="287" t="e">
        <f t="shared" si="11"/>
        <v>#DIV/0!</v>
      </c>
      <c r="L40" s="290" t="e">
        <f t="shared" si="12"/>
        <v>#DIV/0!</v>
      </c>
    </row>
    <row r="41" spans="1:13" x14ac:dyDescent="0.25">
      <c r="A41" s="18"/>
      <c r="B41" s="58" t="str">
        <f t="shared" si="5"/>
        <v>Large Use &gt;5MW</v>
      </c>
      <c r="C41" s="59" t="str">
        <f t="shared" si="5"/>
        <v>Continued</v>
      </c>
      <c r="D41" s="262">
        <f t="shared" si="8"/>
        <v>15819.532480539609</v>
      </c>
      <c r="E41" s="263">
        <f t="shared" si="6"/>
        <v>0.53105930913071053</v>
      </c>
      <c r="F41" s="264">
        <f t="shared" si="6"/>
        <v>0.46894069086928947</v>
      </c>
      <c r="G41" s="345">
        <f t="shared" si="7"/>
        <v>9509.57</v>
      </c>
      <c r="H41" s="260">
        <f t="shared" si="9"/>
        <v>0.31923482445151685</v>
      </c>
      <c r="I41" s="289">
        <f t="shared" si="10"/>
        <v>0.68076517554848315</v>
      </c>
      <c r="J41" s="165">
        <f>F3.RevenueAllocation!$I16</f>
        <v>357463.63259729819</v>
      </c>
      <c r="K41" s="287">
        <f t="shared" si="11"/>
        <v>114114.84</v>
      </c>
      <c r="L41" s="290">
        <f t="shared" si="12"/>
        <v>243348.79259729819</v>
      </c>
    </row>
    <row r="42" spans="1:13" x14ac:dyDescent="0.25">
      <c r="A42" s="18"/>
      <c r="B42" s="58" t="str">
        <f t="shared" si="5"/>
        <v>Street Light</v>
      </c>
      <c r="C42" s="59" t="str">
        <f t="shared" si="5"/>
        <v>Continued</v>
      </c>
      <c r="D42" s="262">
        <f t="shared" si="8"/>
        <v>3.9855665593255378</v>
      </c>
      <c r="E42" s="263">
        <f t="shared" si="6"/>
        <v>0.52156741302055254</v>
      </c>
      <c r="F42" s="264">
        <f t="shared" si="6"/>
        <v>0.47843258697944746</v>
      </c>
      <c r="G42" s="345">
        <f t="shared" si="7"/>
        <v>3.9855665593255378</v>
      </c>
      <c r="H42" s="260">
        <f t="shared" si="9"/>
        <v>0.52156741302055254</v>
      </c>
      <c r="I42" s="289">
        <f t="shared" si="10"/>
        <v>0.47843258697944746</v>
      </c>
      <c r="J42" s="165">
        <f>F3.RevenueAllocation!$I17</f>
        <v>119024.27793280929</v>
      </c>
      <c r="K42" s="287">
        <f t="shared" si="11"/>
        <v>62079.184728054577</v>
      </c>
      <c r="L42" s="290">
        <f t="shared" si="12"/>
        <v>56945.09320475471</v>
      </c>
    </row>
    <row r="43" spans="1:13" x14ac:dyDescent="0.25">
      <c r="A43" s="18"/>
      <c r="B43" s="58" t="str">
        <f t="shared" si="5"/>
        <v>Sentinel</v>
      </c>
      <c r="C43" s="59" t="str">
        <f t="shared" si="5"/>
        <v>Continued</v>
      </c>
      <c r="D43" s="262">
        <f t="shared" si="8"/>
        <v>30.155125946548338</v>
      </c>
      <c r="E43" s="263">
        <f t="shared" si="6"/>
        <v>1</v>
      </c>
      <c r="F43" s="264">
        <f t="shared" si="6"/>
        <v>0</v>
      </c>
      <c r="G43" s="345">
        <f t="shared" si="7"/>
        <v>30.155125946548338</v>
      </c>
      <c r="H43" s="260">
        <f t="shared" si="9"/>
        <v>1</v>
      </c>
      <c r="I43" s="289">
        <f t="shared" si="10"/>
        <v>0</v>
      </c>
      <c r="J43" s="165">
        <f>F3.RevenueAllocation!$I18</f>
        <v>2894.8920908686405</v>
      </c>
      <c r="K43" s="287">
        <f t="shared" si="11"/>
        <v>2894.8920908686405</v>
      </c>
      <c r="L43" s="290">
        <f t="shared" si="12"/>
        <v>0</v>
      </c>
    </row>
    <row r="44" spans="1:13" x14ac:dyDescent="0.25">
      <c r="A44" s="18"/>
      <c r="B44" s="58" t="str">
        <f t="shared" si="5"/>
        <v>Unmetered Scattered Load</v>
      </c>
      <c r="C44" s="59" t="str">
        <f t="shared" si="5"/>
        <v>Continued</v>
      </c>
      <c r="D44" s="262">
        <f t="shared" si="8"/>
        <v>23.031568765154542</v>
      </c>
      <c r="E44" s="263">
        <f t="shared" si="6"/>
        <v>0.80656924706653177</v>
      </c>
      <c r="F44" s="264">
        <f t="shared" si="6"/>
        <v>0.19343075293346823</v>
      </c>
      <c r="G44" s="345">
        <f t="shared" si="7"/>
        <v>23.031568765154542</v>
      </c>
      <c r="H44" s="260">
        <f t="shared" si="9"/>
        <v>0.80656924706653188</v>
      </c>
      <c r="I44" s="289">
        <f t="shared" si="10"/>
        <v>0.19343075293346812</v>
      </c>
      <c r="J44" s="165">
        <f>F3.RevenueAllocation!$I19</f>
        <v>8909.1537780084418</v>
      </c>
      <c r="K44" s="287">
        <f t="shared" si="11"/>
        <v>7185.8494547282171</v>
      </c>
      <c r="L44" s="290">
        <f t="shared" si="12"/>
        <v>1723.3043232802247</v>
      </c>
    </row>
    <row r="45" spans="1:13" s="71" customFormat="1" hidden="1" x14ac:dyDescent="0.25">
      <c r="A45" s="66"/>
      <c r="B45" s="67" t="str">
        <f t="shared" si="5"/>
        <v/>
      </c>
      <c r="C45" s="59" t="str">
        <f t="shared" si="5"/>
        <v/>
      </c>
      <c r="D45" s="262" t="e">
        <f t="shared" si="8"/>
        <v>#DIV/0!</v>
      </c>
      <c r="E45" s="266" t="e">
        <f t="shared" si="6"/>
        <v>#DIV/0!</v>
      </c>
      <c r="F45" s="267" t="e">
        <f t="shared" si="6"/>
        <v>#DIV/0!</v>
      </c>
      <c r="G45" s="293"/>
      <c r="H45" s="260" t="e">
        <f t="shared" si="9"/>
        <v>#DIV/0!</v>
      </c>
      <c r="I45" s="291" t="e">
        <f t="shared" si="10"/>
        <v>#DIV/0!</v>
      </c>
      <c r="J45" s="169">
        <f>F3.RevenueAllocation!$I20</f>
        <v>0</v>
      </c>
      <c r="K45" s="287">
        <f t="shared" si="11"/>
        <v>0</v>
      </c>
      <c r="L45" s="292">
        <f t="shared" si="12"/>
        <v>0</v>
      </c>
      <c r="M45" s="7"/>
    </row>
    <row r="46" spans="1:13" s="71" customFormat="1" hidden="1" x14ac:dyDescent="0.25">
      <c r="A46" s="66"/>
      <c r="B46" s="67" t="str">
        <f t="shared" si="5"/>
        <v/>
      </c>
      <c r="C46" s="59" t="str">
        <f t="shared" si="5"/>
        <v/>
      </c>
      <c r="D46" s="262" t="e">
        <f t="shared" si="8"/>
        <v>#DIV/0!</v>
      </c>
      <c r="E46" s="266" t="e">
        <f t="shared" si="6"/>
        <v>#DIV/0!</v>
      </c>
      <c r="F46" s="267" t="e">
        <f t="shared" si="6"/>
        <v>#DIV/0!</v>
      </c>
      <c r="G46" s="293"/>
      <c r="H46" s="260" t="e">
        <f t="shared" si="9"/>
        <v>#DIV/0!</v>
      </c>
      <c r="I46" s="291" t="e">
        <f t="shared" si="10"/>
        <v>#DIV/0!</v>
      </c>
      <c r="J46" s="169">
        <f>F3.RevenueAllocation!$I21</f>
        <v>0</v>
      </c>
      <c r="K46" s="287">
        <f t="shared" si="11"/>
        <v>0</v>
      </c>
      <c r="L46" s="292">
        <f t="shared" si="12"/>
        <v>0</v>
      </c>
      <c r="M46" s="7"/>
    </row>
    <row r="47" spans="1:13" s="71" customFormat="1" hidden="1" x14ac:dyDescent="0.25">
      <c r="A47" s="66"/>
      <c r="B47" s="67" t="str">
        <f t="shared" si="5"/>
        <v/>
      </c>
      <c r="C47" s="59" t="str">
        <f t="shared" si="5"/>
        <v/>
      </c>
      <c r="D47" s="262" t="e">
        <f t="shared" si="8"/>
        <v>#DIV/0!</v>
      </c>
      <c r="E47" s="266" t="e">
        <f t="shared" si="6"/>
        <v>#DIV/0!</v>
      </c>
      <c r="F47" s="267" t="e">
        <f t="shared" si="6"/>
        <v>#DIV/0!</v>
      </c>
      <c r="G47" s="293"/>
      <c r="H47" s="260" t="e">
        <f t="shared" si="9"/>
        <v>#DIV/0!</v>
      </c>
      <c r="I47" s="291" t="e">
        <f t="shared" si="10"/>
        <v>#DIV/0!</v>
      </c>
      <c r="J47" s="169">
        <f>F3.RevenueAllocation!$I22</f>
        <v>0</v>
      </c>
      <c r="K47" s="287">
        <f t="shared" si="11"/>
        <v>0</v>
      </c>
      <c r="L47" s="292">
        <f t="shared" si="12"/>
        <v>0</v>
      </c>
      <c r="M47" s="7"/>
    </row>
    <row r="48" spans="1:13" s="71" customFormat="1" hidden="1" x14ac:dyDescent="0.25">
      <c r="A48" s="66"/>
      <c r="B48" s="67" t="str">
        <f t="shared" si="5"/>
        <v/>
      </c>
      <c r="C48" s="59" t="str">
        <f t="shared" si="5"/>
        <v/>
      </c>
      <c r="D48" s="262" t="e">
        <f t="shared" si="8"/>
        <v>#DIV/0!</v>
      </c>
      <c r="E48" s="266" t="e">
        <f t="shared" si="6"/>
        <v>#DIV/0!</v>
      </c>
      <c r="F48" s="267" t="e">
        <f t="shared" si="6"/>
        <v>#DIV/0!</v>
      </c>
      <c r="G48" s="293"/>
      <c r="H48" s="260" t="e">
        <f t="shared" si="9"/>
        <v>#DIV/0!</v>
      </c>
      <c r="I48" s="291" t="e">
        <f t="shared" si="10"/>
        <v>#DIV/0!</v>
      </c>
      <c r="J48" s="169">
        <f>F3.RevenueAllocation!$I23</f>
        <v>0</v>
      </c>
      <c r="K48" s="287">
        <f t="shared" si="11"/>
        <v>0</v>
      </c>
      <c r="L48" s="292">
        <f t="shared" si="12"/>
        <v>0</v>
      </c>
      <c r="M48" s="7"/>
    </row>
    <row r="49" spans="1:14" s="71" customFormat="1" hidden="1" x14ac:dyDescent="0.25">
      <c r="A49" s="66"/>
      <c r="B49" s="67" t="str">
        <f t="shared" si="5"/>
        <v/>
      </c>
      <c r="C49" s="59" t="str">
        <f t="shared" si="5"/>
        <v/>
      </c>
      <c r="D49" s="262" t="e">
        <f t="shared" si="8"/>
        <v>#DIV/0!</v>
      </c>
      <c r="E49" s="266" t="e">
        <f t="shared" si="6"/>
        <v>#DIV/0!</v>
      </c>
      <c r="F49" s="267" t="e">
        <f t="shared" si="6"/>
        <v>#DIV/0!</v>
      </c>
      <c r="G49" s="293"/>
      <c r="H49" s="260" t="e">
        <f t="shared" si="9"/>
        <v>#DIV/0!</v>
      </c>
      <c r="I49" s="291" t="e">
        <f t="shared" si="10"/>
        <v>#DIV/0!</v>
      </c>
      <c r="J49" s="169">
        <f>F3.RevenueAllocation!$I24</f>
        <v>0</v>
      </c>
      <c r="K49" s="287">
        <f t="shared" si="11"/>
        <v>0</v>
      </c>
      <c r="L49" s="292">
        <f t="shared" si="12"/>
        <v>0</v>
      </c>
      <c r="M49" s="7"/>
    </row>
    <row r="50" spans="1:14" s="71" customFormat="1" hidden="1" x14ac:dyDescent="0.25">
      <c r="A50" s="66"/>
      <c r="B50" s="67" t="str">
        <f t="shared" si="5"/>
        <v/>
      </c>
      <c r="C50" s="59" t="str">
        <f t="shared" si="5"/>
        <v/>
      </c>
      <c r="D50" s="262" t="e">
        <f t="shared" si="8"/>
        <v>#DIV/0!</v>
      </c>
      <c r="E50" s="266" t="e">
        <f t="shared" si="6"/>
        <v>#DIV/0!</v>
      </c>
      <c r="F50" s="267" t="e">
        <f t="shared" si="6"/>
        <v>#DIV/0!</v>
      </c>
      <c r="G50" s="293"/>
      <c r="H50" s="260" t="e">
        <f t="shared" si="9"/>
        <v>#DIV/0!</v>
      </c>
      <c r="I50" s="291" t="e">
        <f t="shared" si="10"/>
        <v>#DIV/0!</v>
      </c>
      <c r="J50" s="169">
        <f>F3.RevenueAllocation!$I25</f>
        <v>0</v>
      </c>
      <c r="K50" s="287">
        <f t="shared" si="11"/>
        <v>0</v>
      </c>
      <c r="L50" s="292">
        <f t="shared" si="12"/>
        <v>0</v>
      </c>
      <c r="M50" s="7"/>
    </row>
    <row r="51" spans="1:14" s="71" customFormat="1" hidden="1" x14ac:dyDescent="0.25">
      <c r="A51" s="66"/>
      <c r="B51" s="67" t="str">
        <f t="shared" si="5"/>
        <v/>
      </c>
      <c r="C51" s="59" t="str">
        <f t="shared" si="5"/>
        <v/>
      </c>
      <c r="D51" s="262" t="e">
        <f t="shared" si="8"/>
        <v>#DIV/0!</v>
      </c>
      <c r="E51" s="266" t="e">
        <f t="shared" si="6"/>
        <v>#DIV/0!</v>
      </c>
      <c r="F51" s="267" t="e">
        <f t="shared" si="6"/>
        <v>#DIV/0!</v>
      </c>
      <c r="G51" s="293"/>
      <c r="H51" s="260" t="e">
        <f t="shared" si="9"/>
        <v>#DIV/0!</v>
      </c>
      <c r="I51" s="291" t="e">
        <f t="shared" si="10"/>
        <v>#DIV/0!</v>
      </c>
      <c r="J51" s="169">
        <f>F3.RevenueAllocation!$I26</f>
        <v>0</v>
      </c>
      <c r="K51" s="287">
        <f t="shared" si="11"/>
        <v>0</v>
      </c>
      <c r="L51" s="292">
        <f t="shared" si="12"/>
        <v>0</v>
      </c>
      <c r="M51" s="7"/>
    </row>
    <row r="52" spans="1:14" s="71" customFormat="1" hidden="1" x14ac:dyDescent="0.25">
      <c r="A52" s="66"/>
      <c r="B52" s="67" t="str">
        <f t="shared" ref="B52:C55" si="13">B27</f>
        <v/>
      </c>
      <c r="C52" s="59" t="str">
        <f t="shared" si="13"/>
        <v/>
      </c>
      <c r="D52" s="262" t="e">
        <f t="shared" si="8"/>
        <v>#DIV/0!</v>
      </c>
      <c r="E52" s="266" t="e">
        <f t="shared" ref="E52:F55" si="14">E27</f>
        <v>#DIV/0!</v>
      </c>
      <c r="F52" s="267" t="e">
        <f t="shared" si="14"/>
        <v>#DIV/0!</v>
      </c>
      <c r="G52" s="293"/>
      <c r="H52" s="260" t="e">
        <f t="shared" si="9"/>
        <v>#DIV/0!</v>
      </c>
      <c r="I52" s="291" t="e">
        <f t="shared" si="10"/>
        <v>#DIV/0!</v>
      </c>
      <c r="J52" s="169">
        <f>F3.RevenueAllocation!$I27</f>
        <v>0</v>
      </c>
      <c r="K52" s="287">
        <f t="shared" si="11"/>
        <v>0</v>
      </c>
      <c r="L52" s="292">
        <f t="shared" si="12"/>
        <v>0</v>
      </c>
      <c r="M52" s="7"/>
    </row>
    <row r="53" spans="1:14" s="71" customFormat="1" hidden="1" x14ac:dyDescent="0.25">
      <c r="A53" s="66"/>
      <c r="B53" s="67" t="str">
        <f t="shared" si="13"/>
        <v/>
      </c>
      <c r="C53" s="59" t="str">
        <f t="shared" si="13"/>
        <v/>
      </c>
      <c r="D53" s="262" t="e">
        <f t="shared" si="8"/>
        <v>#DIV/0!</v>
      </c>
      <c r="E53" s="266" t="e">
        <f t="shared" si="14"/>
        <v>#DIV/0!</v>
      </c>
      <c r="F53" s="267" t="e">
        <f t="shared" si="14"/>
        <v>#DIV/0!</v>
      </c>
      <c r="G53" s="293"/>
      <c r="H53" s="260" t="e">
        <f t="shared" si="9"/>
        <v>#DIV/0!</v>
      </c>
      <c r="I53" s="291" t="e">
        <f t="shared" si="10"/>
        <v>#DIV/0!</v>
      </c>
      <c r="J53" s="169">
        <f>F3.RevenueAllocation!$I28</f>
        <v>0</v>
      </c>
      <c r="K53" s="287">
        <f t="shared" si="11"/>
        <v>0</v>
      </c>
      <c r="L53" s="292">
        <f t="shared" si="12"/>
        <v>0</v>
      </c>
      <c r="M53" s="7"/>
    </row>
    <row r="54" spans="1:14" s="71" customFormat="1" hidden="1" x14ac:dyDescent="0.25">
      <c r="A54" s="66"/>
      <c r="B54" s="67" t="str">
        <f t="shared" si="13"/>
        <v/>
      </c>
      <c r="C54" s="59" t="str">
        <f t="shared" si="13"/>
        <v/>
      </c>
      <c r="D54" s="262" t="e">
        <f t="shared" si="8"/>
        <v>#DIV/0!</v>
      </c>
      <c r="E54" s="266" t="e">
        <f t="shared" si="14"/>
        <v>#DIV/0!</v>
      </c>
      <c r="F54" s="267" t="e">
        <f t="shared" si="14"/>
        <v>#DIV/0!</v>
      </c>
      <c r="G54" s="293"/>
      <c r="H54" s="260" t="e">
        <f t="shared" si="9"/>
        <v>#DIV/0!</v>
      </c>
      <c r="I54" s="291" t="e">
        <f t="shared" si="10"/>
        <v>#DIV/0!</v>
      </c>
      <c r="J54" s="169">
        <f>F3.RevenueAllocation!$I29</f>
        <v>0</v>
      </c>
      <c r="K54" s="287">
        <f t="shared" si="11"/>
        <v>0</v>
      </c>
      <c r="L54" s="292">
        <f t="shared" si="12"/>
        <v>0</v>
      </c>
      <c r="M54" s="7"/>
    </row>
    <row r="55" spans="1:14" s="71" customFormat="1" hidden="1" x14ac:dyDescent="0.25">
      <c r="A55" s="66"/>
      <c r="B55" s="72" t="str">
        <f t="shared" si="13"/>
        <v/>
      </c>
      <c r="C55" s="73" t="str">
        <f t="shared" si="13"/>
        <v/>
      </c>
      <c r="D55" s="262" t="e">
        <f t="shared" si="8"/>
        <v>#DIV/0!</v>
      </c>
      <c r="E55" s="270" t="e">
        <f t="shared" si="14"/>
        <v>#DIV/0!</v>
      </c>
      <c r="F55" s="271" t="e">
        <f t="shared" si="14"/>
        <v>#DIV/0!</v>
      </c>
      <c r="G55" s="294"/>
      <c r="H55" s="260" t="e">
        <f t="shared" si="9"/>
        <v>#DIV/0!</v>
      </c>
      <c r="I55" s="295" t="e">
        <f t="shared" si="10"/>
        <v>#DIV/0!</v>
      </c>
      <c r="J55" s="176">
        <f>F3.RevenueAllocation!$I30</f>
        <v>0</v>
      </c>
      <c r="K55" s="287">
        <f t="shared" si="11"/>
        <v>0</v>
      </c>
      <c r="L55" s="296">
        <f t="shared" si="12"/>
        <v>0</v>
      </c>
      <c r="M55" s="7"/>
    </row>
    <row r="56" spans="1:14" x14ac:dyDescent="0.25">
      <c r="A56" s="18"/>
      <c r="B56" s="272" t="s">
        <v>61</v>
      </c>
      <c r="C56" s="273" t="s">
        <v>89</v>
      </c>
      <c r="D56" s="274"/>
      <c r="E56" s="142"/>
      <c r="F56" s="142"/>
      <c r="G56" s="142"/>
      <c r="H56" s="297" t="s">
        <v>62</v>
      </c>
      <c r="I56" s="142"/>
      <c r="J56" s="142"/>
      <c r="K56" s="142"/>
      <c r="L56" s="142"/>
    </row>
    <row r="57" spans="1:14" x14ac:dyDescent="0.25">
      <c r="A57" s="18"/>
      <c r="B57" s="275" t="s">
        <v>63</v>
      </c>
      <c r="C57" s="276" t="s">
        <v>89</v>
      </c>
      <c r="D57" s="142"/>
      <c r="E57" s="142"/>
      <c r="F57" s="142"/>
      <c r="G57" s="142"/>
      <c r="H57" s="297" t="s">
        <v>64</v>
      </c>
      <c r="I57" s="142"/>
      <c r="J57" s="142"/>
      <c r="K57" s="142"/>
      <c r="L57" s="142"/>
    </row>
    <row r="58" spans="1:14" x14ac:dyDescent="0.25">
      <c r="A58" s="18"/>
      <c r="B58" s="275"/>
      <c r="C58" s="276" t="s">
        <v>89</v>
      </c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4" x14ac:dyDescent="0.25">
      <c r="A59" s="189"/>
      <c r="B59" s="277"/>
      <c r="C59" s="278" t="s">
        <v>53</v>
      </c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4" x14ac:dyDescent="0.25">
      <c r="A60" s="189"/>
      <c r="B60" s="34"/>
      <c r="C60" s="143" t="s">
        <v>55</v>
      </c>
      <c r="D60" s="298"/>
      <c r="E60" s="299" t="s">
        <v>65</v>
      </c>
      <c r="F60" s="300">
        <v>-0.6</v>
      </c>
      <c r="G60" s="301" t="s">
        <v>66</v>
      </c>
      <c r="H60" s="302" t="s">
        <v>67</v>
      </c>
      <c r="I60" s="303"/>
      <c r="J60" s="304" t="s">
        <v>68</v>
      </c>
      <c r="K60" s="305" t="s">
        <v>69</v>
      </c>
      <c r="L60" s="306"/>
    </row>
    <row r="61" spans="1:14" x14ac:dyDescent="0.25">
      <c r="A61" s="18"/>
      <c r="B61" s="42" t="s">
        <v>2</v>
      </c>
      <c r="C61" s="259" t="s">
        <v>3</v>
      </c>
      <c r="D61" s="307" t="s">
        <v>70</v>
      </c>
      <c r="E61" s="308" t="s">
        <v>49</v>
      </c>
      <c r="F61" s="309" t="s">
        <v>71</v>
      </c>
      <c r="G61" s="310" t="s">
        <v>72</v>
      </c>
      <c r="H61" s="311" t="s">
        <v>73</v>
      </c>
      <c r="I61" s="312" t="s">
        <v>74</v>
      </c>
      <c r="J61" s="313" t="s">
        <v>75</v>
      </c>
      <c r="K61" s="314" t="s">
        <v>76</v>
      </c>
      <c r="L61" s="315" t="s">
        <v>77</v>
      </c>
    </row>
    <row r="62" spans="1:14" x14ac:dyDescent="0.25">
      <c r="A62" s="18"/>
      <c r="B62" s="50" t="str">
        <f t="shared" ref="B62:C77" si="15">B36</f>
        <v>Residential</v>
      </c>
      <c r="C62" s="51" t="str">
        <f t="shared" si="15"/>
        <v>Continued</v>
      </c>
      <c r="D62" s="339">
        <f>[1]C3.DistRevenue!I59</f>
        <v>0</v>
      </c>
      <c r="E62" s="316">
        <f>IF(D62=0,0,-F$60)</f>
        <v>0</v>
      </c>
      <c r="F62" s="288">
        <f>D62*E62</f>
        <v>0</v>
      </c>
      <c r="G62" s="317">
        <f>L36+F62</f>
        <v>610756.25760453218</v>
      </c>
      <c r="H62" s="346">
        <f>G62/M62</f>
        <v>2.2896990003763284E-2</v>
      </c>
      <c r="I62" s="347" t="s">
        <v>88</v>
      </c>
      <c r="J62" s="318">
        <v>1.84E-2</v>
      </c>
      <c r="K62" s="319">
        <f>K36</f>
        <v>685756.88644227432</v>
      </c>
      <c r="L62" s="320">
        <f>G62+K62</f>
        <v>1296513.1440468065</v>
      </c>
      <c r="M62" s="7">
        <v>26674085</v>
      </c>
    </row>
    <row r="63" spans="1:14" x14ac:dyDescent="0.25">
      <c r="A63" s="18"/>
      <c r="B63" s="58" t="str">
        <f t="shared" si="15"/>
        <v>GS &lt;50</v>
      </c>
      <c r="C63" s="59" t="str">
        <f t="shared" si="15"/>
        <v>Continued</v>
      </c>
      <c r="D63" s="340">
        <f>[1]C3.DistRevenue!I60</f>
        <v>0</v>
      </c>
      <c r="E63" s="321">
        <f t="shared" ref="E63:E81" si="16">IF(D63=0,0,-F$60)</f>
        <v>0</v>
      </c>
      <c r="F63" s="290">
        <f t="shared" ref="F63:F81" si="17">D63*E63</f>
        <v>0</v>
      </c>
      <c r="G63" s="322">
        <f t="shared" ref="G63:G81" si="18">L37+F63</f>
        <v>205821.70872019319</v>
      </c>
      <c r="H63" s="346">
        <f t="shared" ref="H63:H81" si="19">G63/M63</f>
        <v>1.4189778034071813E-2</v>
      </c>
      <c r="I63" s="348" t="s">
        <v>88</v>
      </c>
      <c r="J63" s="318">
        <v>1.1599999999999999E-2</v>
      </c>
      <c r="K63" s="324">
        <f t="shared" ref="K63:K81" si="20">K37</f>
        <v>204701.29035401595</v>
      </c>
      <c r="L63" s="325">
        <f t="shared" ref="L63:L81" si="21">G63+K63</f>
        <v>410522.99907420913</v>
      </c>
      <c r="M63" s="7">
        <v>14504928</v>
      </c>
    </row>
    <row r="64" spans="1:14" s="71" customFormat="1" x14ac:dyDescent="0.25">
      <c r="A64" s="66"/>
      <c r="B64" s="67" t="str">
        <f t="shared" si="15"/>
        <v>GS 50 - 499 kW</v>
      </c>
      <c r="C64" s="59" t="str">
        <f t="shared" si="15"/>
        <v>Continued</v>
      </c>
      <c r="D64" s="341">
        <v>37080.293029656466</v>
      </c>
      <c r="E64" s="321">
        <f t="shared" si="16"/>
        <v>0.6</v>
      </c>
      <c r="F64" s="292">
        <f t="shared" si="17"/>
        <v>22248.175817793879</v>
      </c>
      <c r="G64" s="326">
        <f t="shared" si="18"/>
        <v>120791.38951285457</v>
      </c>
      <c r="H64" s="346">
        <f>G64/N64</f>
        <v>1.7548980766348676</v>
      </c>
      <c r="I64" s="349" t="s">
        <v>70</v>
      </c>
      <c r="J64" s="318">
        <v>1.7548999999999999</v>
      </c>
      <c r="K64" s="324">
        <f t="shared" si="20"/>
        <v>218613.78630493936</v>
      </c>
      <c r="L64" s="328">
        <f t="shared" si="21"/>
        <v>339405.17581779393</v>
      </c>
      <c r="M64" s="71">
        <v>21358141</v>
      </c>
      <c r="N64" s="71">
        <v>68831</v>
      </c>
    </row>
    <row r="65" spans="1:14" s="71" customFormat="1" x14ac:dyDescent="0.25">
      <c r="A65" s="66"/>
      <c r="B65" s="67" t="str">
        <f t="shared" si="15"/>
        <v>GS 500 kW - 4999 kW</v>
      </c>
      <c r="C65" s="59" t="str">
        <f t="shared" si="15"/>
        <v>Continued</v>
      </c>
      <c r="D65" s="341">
        <v>32194</v>
      </c>
      <c r="E65" s="321">
        <f t="shared" si="16"/>
        <v>0.6</v>
      </c>
      <c r="F65" s="292">
        <f t="shared" si="17"/>
        <v>19316.399999999998</v>
      </c>
      <c r="G65" s="326">
        <f t="shared" si="18"/>
        <v>48686.980560297467</v>
      </c>
      <c r="H65" s="346">
        <f>G65/N65</f>
        <v>1.5122998248213166</v>
      </c>
      <c r="I65" s="349" t="s">
        <v>70</v>
      </c>
      <c r="J65" s="318">
        <v>1.5123</v>
      </c>
      <c r="K65" s="324">
        <f t="shared" si="20"/>
        <v>107074.41943970253</v>
      </c>
      <c r="L65" s="328">
        <f t="shared" si="21"/>
        <v>155761.4</v>
      </c>
      <c r="M65" s="71">
        <v>13606879</v>
      </c>
      <c r="N65" s="71">
        <v>32194</v>
      </c>
    </row>
    <row r="66" spans="1:14" hidden="1" x14ac:dyDescent="0.25">
      <c r="A66" s="18"/>
      <c r="B66" s="58" t="str">
        <f t="shared" si="15"/>
        <v>GS &gt;50-Intermediate</v>
      </c>
      <c r="C66" s="59">
        <f t="shared" si="15"/>
        <v>0</v>
      </c>
      <c r="D66" s="165"/>
      <c r="E66" s="321">
        <f t="shared" si="16"/>
        <v>0</v>
      </c>
      <c r="F66" s="290">
        <f t="shared" si="17"/>
        <v>0</v>
      </c>
      <c r="G66" s="322" t="e">
        <f t="shared" si="18"/>
        <v>#DIV/0!</v>
      </c>
      <c r="H66" s="318" t="e">
        <f t="shared" si="19"/>
        <v>#DIV/0!</v>
      </c>
      <c r="I66" s="323" t="s">
        <v>70</v>
      </c>
      <c r="J66" s="318"/>
      <c r="K66" s="324" t="e">
        <f t="shared" si="20"/>
        <v>#DIV/0!</v>
      </c>
      <c r="L66" s="325" t="e">
        <f t="shared" si="21"/>
        <v>#DIV/0!</v>
      </c>
    </row>
    <row r="67" spans="1:14" x14ac:dyDescent="0.25">
      <c r="A67" s="18"/>
      <c r="B67" s="58" t="str">
        <f t="shared" si="15"/>
        <v>Large Use &gt;5MW</v>
      </c>
      <c r="C67" s="59" t="str">
        <f t="shared" si="15"/>
        <v>Continued</v>
      </c>
      <c r="D67" s="340">
        <v>156689</v>
      </c>
      <c r="E67" s="321">
        <f t="shared" si="16"/>
        <v>0.6</v>
      </c>
      <c r="F67" s="290">
        <f t="shared" si="17"/>
        <v>94013.4</v>
      </c>
      <c r="G67" s="322">
        <f t="shared" si="18"/>
        <v>337362.19259729818</v>
      </c>
      <c r="H67" s="346">
        <f>G67/N67</f>
        <v>2.1530687706048171</v>
      </c>
      <c r="I67" s="348" t="s">
        <v>70</v>
      </c>
      <c r="J67" s="318">
        <v>1.2431000000000001</v>
      </c>
      <c r="K67" s="324">
        <f t="shared" si="20"/>
        <v>114114.84</v>
      </c>
      <c r="L67" s="325">
        <f t="shared" si="21"/>
        <v>451477.03259729815</v>
      </c>
      <c r="M67" s="7">
        <v>72207033</v>
      </c>
      <c r="N67" s="7">
        <v>156689</v>
      </c>
    </row>
    <row r="68" spans="1:14" x14ac:dyDescent="0.25">
      <c r="A68" s="18"/>
      <c r="B68" s="58" t="str">
        <f t="shared" si="15"/>
        <v>Street Light</v>
      </c>
      <c r="C68" s="59" t="str">
        <f t="shared" si="15"/>
        <v>Continued</v>
      </c>
      <c r="D68" s="340">
        <f>[1]C3.DistRevenue!I65</f>
        <v>0</v>
      </c>
      <c r="E68" s="321">
        <f t="shared" si="16"/>
        <v>0</v>
      </c>
      <c r="F68" s="290">
        <f t="shared" si="17"/>
        <v>0</v>
      </c>
      <c r="G68" s="322">
        <f t="shared" si="18"/>
        <v>56945.09320475471</v>
      </c>
      <c r="H68" s="346">
        <f>G68/N68</f>
        <v>21.818043373469237</v>
      </c>
      <c r="I68" s="348" t="s">
        <v>70</v>
      </c>
      <c r="J68" s="318">
        <v>10.7843</v>
      </c>
      <c r="K68" s="324">
        <f t="shared" si="20"/>
        <v>62079.184728054577</v>
      </c>
      <c r="L68" s="325">
        <f t="shared" si="21"/>
        <v>119024.27793280929</v>
      </c>
      <c r="M68" s="7">
        <v>942000</v>
      </c>
      <c r="N68" s="7">
        <v>2610</v>
      </c>
    </row>
    <row r="69" spans="1:14" x14ac:dyDescent="0.25">
      <c r="A69" s="18"/>
      <c r="B69" s="58" t="str">
        <f t="shared" si="15"/>
        <v>Sentinel</v>
      </c>
      <c r="C69" s="59" t="str">
        <f t="shared" si="15"/>
        <v>Continued</v>
      </c>
      <c r="D69" s="340">
        <f>[1]C3.DistRevenue!I66</f>
        <v>0</v>
      </c>
      <c r="E69" s="321">
        <f t="shared" si="16"/>
        <v>0</v>
      </c>
      <c r="F69" s="290">
        <f t="shared" si="17"/>
        <v>0</v>
      </c>
      <c r="G69" s="322">
        <f t="shared" si="18"/>
        <v>0</v>
      </c>
      <c r="H69" s="346" t="e">
        <f>G69/N69</f>
        <v>#DIV/0!</v>
      </c>
      <c r="I69" s="348" t="s">
        <v>70</v>
      </c>
      <c r="J69" s="318">
        <v>10.838699999999999</v>
      </c>
      <c r="K69" s="324">
        <f t="shared" si="20"/>
        <v>2894.8920908686405</v>
      </c>
      <c r="L69" s="325">
        <f t="shared" si="21"/>
        <v>2894.8920908686405</v>
      </c>
      <c r="M69" s="7">
        <v>15251</v>
      </c>
    </row>
    <row r="70" spans="1:14" x14ac:dyDescent="0.25">
      <c r="A70" s="18"/>
      <c r="B70" s="58" t="str">
        <f t="shared" si="15"/>
        <v>Unmetered Scattered Load</v>
      </c>
      <c r="C70" s="59" t="str">
        <f t="shared" si="15"/>
        <v>Continued</v>
      </c>
      <c r="D70" s="340">
        <f>[1]C3.DistRevenue!I67</f>
        <v>0</v>
      </c>
      <c r="E70" s="321">
        <f t="shared" si="16"/>
        <v>0</v>
      </c>
      <c r="F70" s="290">
        <f t="shared" si="17"/>
        <v>0</v>
      </c>
      <c r="G70" s="322">
        <f t="shared" si="18"/>
        <v>1723.3043232802247</v>
      </c>
      <c r="H70" s="346">
        <f t="shared" si="19"/>
        <v>2.0416362468962949E-2</v>
      </c>
      <c r="I70" s="348" t="s">
        <v>88</v>
      </c>
      <c r="J70" s="318">
        <v>2.9899999999999999E-2</v>
      </c>
      <c r="K70" s="324">
        <f t="shared" si="20"/>
        <v>7185.8494547282171</v>
      </c>
      <c r="L70" s="325">
        <f t="shared" si="21"/>
        <v>8909.1537780084418</v>
      </c>
      <c r="M70" s="7">
        <v>84408</v>
      </c>
    </row>
    <row r="71" spans="1:14" s="71" customFormat="1" hidden="1" x14ac:dyDescent="0.25">
      <c r="A71" s="66"/>
      <c r="B71" s="67" t="str">
        <f t="shared" si="15"/>
        <v/>
      </c>
      <c r="C71" s="59" t="str">
        <f t="shared" si="15"/>
        <v/>
      </c>
      <c r="D71" s="169">
        <f>[1]C3.DistRevenue!I68</f>
        <v>0</v>
      </c>
      <c r="E71" s="321">
        <f t="shared" si="16"/>
        <v>0</v>
      </c>
      <c r="F71" s="292">
        <f t="shared" si="17"/>
        <v>0</v>
      </c>
      <c r="G71" s="326">
        <f t="shared" si="18"/>
        <v>0</v>
      </c>
      <c r="H71" s="318" t="e">
        <f t="shared" si="19"/>
        <v>#DIV/0!</v>
      </c>
      <c r="I71" s="327" t="s">
        <v>87</v>
      </c>
      <c r="J71" s="318">
        <v>0</v>
      </c>
      <c r="K71" s="324">
        <f t="shared" si="20"/>
        <v>0</v>
      </c>
      <c r="L71" s="328">
        <f t="shared" si="21"/>
        <v>0</v>
      </c>
    </row>
    <row r="72" spans="1:14" s="71" customFormat="1" hidden="1" x14ac:dyDescent="0.25">
      <c r="A72" s="66"/>
      <c r="B72" s="67" t="str">
        <f t="shared" si="15"/>
        <v/>
      </c>
      <c r="C72" s="59" t="str">
        <f t="shared" si="15"/>
        <v/>
      </c>
      <c r="D72" s="169">
        <f>[1]C3.DistRevenue!I69</f>
        <v>0</v>
      </c>
      <c r="E72" s="321">
        <f t="shared" si="16"/>
        <v>0</v>
      </c>
      <c r="F72" s="292">
        <f t="shared" si="17"/>
        <v>0</v>
      </c>
      <c r="G72" s="326">
        <f t="shared" si="18"/>
        <v>0</v>
      </c>
      <c r="H72" s="318" t="e">
        <f t="shared" si="19"/>
        <v>#DIV/0!</v>
      </c>
      <c r="I72" s="327" t="s">
        <v>87</v>
      </c>
      <c r="J72" s="318">
        <v>0</v>
      </c>
      <c r="K72" s="324">
        <f t="shared" si="20"/>
        <v>0</v>
      </c>
      <c r="L72" s="328">
        <f t="shared" si="21"/>
        <v>0</v>
      </c>
    </row>
    <row r="73" spans="1:14" s="71" customFormat="1" hidden="1" x14ac:dyDescent="0.25">
      <c r="A73" s="66"/>
      <c r="B73" s="67" t="str">
        <f t="shared" si="15"/>
        <v/>
      </c>
      <c r="C73" s="59" t="str">
        <f t="shared" si="15"/>
        <v/>
      </c>
      <c r="D73" s="169">
        <f>[1]C3.DistRevenue!I70</f>
        <v>0</v>
      </c>
      <c r="E73" s="321">
        <f t="shared" si="16"/>
        <v>0</v>
      </c>
      <c r="F73" s="292">
        <f t="shared" si="17"/>
        <v>0</v>
      </c>
      <c r="G73" s="326">
        <f t="shared" si="18"/>
        <v>0</v>
      </c>
      <c r="H73" s="318" t="e">
        <f t="shared" si="19"/>
        <v>#DIV/0!</v>
      </c>
      <c r="I73" s="327" t="s">
        <v>87</v>
      </c>
      <c r="J73" s="318">
        <v>0</v>
      </c>
      <c r="K73" s="324">
        <f t="shared" si="20"/>
        <v>0</v>
      </c>
      <c r="L73" s="328">
        <f t="shared" si="21"/>
        <v>0</v>
      </c>
    </row>
    <row r="74" spans="1:14" s="71" customFormat="1" hidden="1" x14ac:dyDescent="0.25">
      <c r="A74" s="66"/>
      <c r="B74" s="67" t="str">
        <f t="shared" si="15"/>
        <v/>
      </c>
      <c r="C74" s="59" t="str">
        <f t="shared" si="15"/>
        <v/>
      </c>
      <c r="D74" s="169">
        <f>[1]C3.DistRevenue!I71</f>
        <v>0</v>
      </c>
      <c r="E74" s="321">
        <f t="shared" si="16"/>
        <v>0</v>
      </c>
      <c r="F74" s="292">
        <f t="shared" si="17"/>
        <v>0</v>
      </c>
      <c r="G74" s="326">
        <f t="shared" si="18"/>
        <v>0</v>
      </c>
      <c r="H74" s="318" t="e">
        <f t="shared" si="19"/>
        <v>#DIV/0!</v>
      </c>
      <c r="I74" s="327" t="s">
        <v>87</v>
      </c>
      <c r="J74" s="318">
        <v>0</v>
      </c>
      <c r="K74" s="324">
        <f t="shared" si="20"/>
        <v>0</v>
      </c>
      <c r="L74" s="328">
        <f t="shared" si="21"/>
        <v>0</v>
      </c>
    </row>
    <row r="75" spans="1:14" s="71" customFormat="1" hidden="1" x14ac:dyDescent="0.25">
      <c r="A75" s="66"/>
      <c r="B75" s="67" t="str">
        <f t="shared" si="15"/>
        <v/>
      </c>
      <c r="C75" s="59" t="str">
        <f t="shared" si="15"/>
        <v/>
      </c>
      <c r="D75" s="169">
        <f>[1]C3.DistRevenue!I72</f>
        <v>0</v>
      </c>
      <c r="E75" s="321">
        <f t="shared" si="16"/>
        <v>0</v>
      </c>
      <c r="F75" s="292">
        <f t="shared" si="17"/>
        <v>0</v>
      </c>
      <c r="G75" s="326">
        <f t="shared" si="18"/>
        <v>0</v>
      </c>
      <c r="H75" s="318" t="e">
        <f t="shared" si="19"/>
        <v>#DIV/0!</v>
      </c>
      <c r="I75" s="327" t="s">
        <v>87</v>
      </c>
      <c r="J75" s="318">
        <v>0</v>
      </c>
      <c r="K75" s="324">
        <f t="shared" si="20"/>
        <v>0</v>
      </c>
      <c r="L75" s="328">
        <f t="shared" si="21"/>
        <v>0</v>
      </c>
    </row>
    <row r="76" spans="1:14" s="71" customFormat="1" hidden="1" x14ac:dyDescent="0.25">
      <c r="A76" s="66"/>
      <c r="B76" s="67" t="str">
        <f t="shared" si="15"/>
        <v/>
      </c>
      <c r="C76" s="59" t="str">
        <f t="shared" si="15"/>
        <v/>
      </c>
      <c r="D76" s="169">
        <f>[1]C3.DistRevenue!I73</f>
        <v>0</v>
      </c>
      <c r="E76" s="321">
        <f t="shared" si="16"/>
        <v>0</v>
      </c>
      <c r="F76" s="292">
        <f t="shared" si="17"/>
        <v>0</v>
      </c>
      <c r="G76" s="326">
        <f t="shared" si="18"/>
        <v>0</v>
      </c>
      <c r="H76" s="318" t="e">
        <f t="shared" si="19"/>
        <v>#DIV/0!</v>
      </c>
      <c r="I76" s="327" t="s">
        <v>87</v>
      </c>
      <c r="J76" s="318">
        <v>0</v>
      </c>
      <c r="K76" s="324">
        <f t="shared" si="20"/>
        <v>0</v>
      </c>
      <c r="L76" s="328">
        <f t="shared" si="21"/>
        <v>0</v>
      </c>
    </row>
    <row r="77" spans="1:14" s="71" customFormat="1" hidden="1" x14ac:dyDescent="0.25">
      <c r="A77" s="66"/>
      <c r="B77" s="67" t="str">
        <f t="shared" si="15"/>
        <v/>
      </c>
      <c r="C77" s="59" t="str">
        <f t="shared" si="15"/>
        <v/>
      </c>
      <c r="D77" s="169">
        <f>[1]C3.DistRevenue!I74</f>
        <v>0</v>
      </c>
      <c r="E77" s="321">
        <f t="shared" si="16"/>
        <v>0</v>
      </c>
      <c r="F77" s="292">
        <f t="shared" si="17"/>
        <v>0</v>
      </c>
      <c r="G77" s="326">
        <f t="shared" si="18"/>
        <v>0</v>
      </c>
      <c r="H77" s="318" t="e">
        <f t="shared" si="19"/>
        <v>#DIV/0!</v>
      </c>
      <c r="I77" s="327" t="s">
        <v>87</v>
      </c>
      <c r="J77" s="318">
        <v>0</v>
      </c>
      <c r="K77" s="324">
        <f t="shared" si="20"/>
        <v>0</v>
      </c>
      <c r="L77" s="328">
        <f t="shared" si="21"/>
        <v>0</v>
      </c>
    </row>
    <row r="78" spans="1:14" s="71" customFormat="1" hidden="1" x14ac:dyDescent="0.25">
      <c r="A78" s="66"/>
      <c r="B78" s="67" t="str">
        <f t="shared" ref="B78:C81" si="22">B52</f>
        <v/>
      </c>
      <c r="C78" s="59" t="str">
        <f t="shared" si="22"/>
        <v/>
      </c>
      <c r="D78" s="169">
        <f>[1]C3.DistRevenue!I75</f>
        <v>0</v>
      </c>
      <c r="E78" s="321">
        <f t="shared" si="16"/>
        <v>0</v>
      </c>
      <c r="F78" s="292">
        <f t="shared" si="17"/>
        <v>0</v>
      </c>
      <c r="G78" s="326">
        <f t="shared" si="18"/>
        <v>0</v>
      </c>
      <c r="H78" s="318" t="e">
        <f t="shared" si="19"/>
        <v>#DIV/0!</v>
      </c>
      <c r="I78" s="327" t="s">
        <v>87</v>
      </c>
      <c r="J78" s="329">
        <v>0</v>
      </c>
      <c r="K78" s="324">
        <f t="shared" si="20"/>
        <v>0</v>
      </c>
      <c r="L78" s="328">
        <f t="shared" si="21"/>
        <v>0</v>
      </c>
    </row>
    <row r="79" spans="1:14" s="71" customFormat="1" hidden="1" x14ac:dyDescent="0.25">
      <c r="A79" s="66"/>
      <c r="B79" s="67" t="str">
        <f t="shared" si="22"/>
        <v/>
      </c>
      <c r="C79" s="59" t="str">
        <f t="shared" si="22"/>
        <v/>
      </c>
      <c r="D79" s="169">
        <f>[1]C3.DistRevenue!I76</f>
        <v>0</v>
      </c>
      <c r="E79" s="321">
        <f t="shared" si="16"/>
        <v>0</v>
      </c>
      <c r="F79" s="292">
        <f t="shared" si="17"/>
        <v>0</v>
      </c>
      <c r="G79" s="326">
        <f t="shared" si="18"/>
        <v>0</v>
      </c>
      <c r="H79" s="318" t="e">
        <f t="shared" si="19"/>
        <v>#DIV/0!</v>
      </c>
      <c r="I79" s="327" t="s">
        <v>87</v>
      </c>
      <c r="J79" s="329">
        <v>0</v>
      </c>
      <c r="K79" s="324">
        <f t="shared" si="20"/>
        <v>0</v>
      </c>
      <c r="L79" s="328">
        <f t="shared" si="21"/>
        <v>0</v>
      </c>
    </row>
    <row r="80" spans="1:14" s="71" customFormat="1" hidden="1" x14ac:dyDescent="0.25">
      <c r="A80" s="66"/>
      <c r="B80" s="72" t="str">
        <f t="shared" si="22"/>
        <v/>
      </c>
      <c r="C80" s="59" t="str">
        <f t="shared" si="22"/>
        <v/>
      </c>
      <c r="D80" s="169">
        <f>[1]C3.DistRevenue!I77</f>
        <v>0</v>
      </c>
      <c r="E80" s="321">
        <f t="shared" si="16"/>
        <v>0</v>
      </c>
      <c r="F80" s="292">
        <f t="shared" si="17"/>
        <v>0</v>
      </c>
      <c r="G80" s="326">
        <f t="shared" si="18"/>
        <v>0</v>
      </c>
      <c r="H80" s="318" t="e">
        <f t="shared" si="19"/>
        <v>#DIV/0!</v>
      </c>
      <c r="I80" s="327" t="s">
        <v>87</v>
      </c>
      <c r="J80" s="329">
        <v>0</v>
      </c>
      <c r="K80" s="324">
        <f t="shared" si="20"/>
        <v>0</v>
      </c>
      <c r="L80" s="328">
        <f t="shared" si="21"/>
        <v>0</v>
      </c>
    </row>
    <row r="81" spans="1:14" s="71" customFormat="1" hidden="1" x14ac:dyDescent="0.25">
      <c r="A81" s="66"/>
      <c r="B81" s="330" t="str">
        <f t="shared" si="22"/>
        <v/>
      </c>
      <c r="C81" s="73" t="str">
        <f t="shared" si="22"/>
        <v/>
      </c>
      <c r="D81" s="176">
        <f>[1]C3.DistRevenue!I78</f>
        <v>0</v>
      </c>
      <c r="E81" s="331">
        <f t="shared" si="16"/>
        <v>0</v>
      </c>
      <c r="F81" s="296">
        <f t="shared" si="17"/>
        <v>0</v>
      </c>
      <c r="G81" s="332">
        <f t="shared" si="18"/>
        <v>0</v>
      </c>
      <c r="H81" s="318" t="e">
        <f t="shared" si="19"/>
        <v>#DIV/0!</v>
      </c>
      <c r="I81" s="333" t="s">
        <v>87</v>
      </c>
      <c r="J81" s="334">
        <v>0</v>
      </c>
      <c r="K81" s="335">
        <f t="shared" si="20"/>
        <v>0</v>
      </c>
      <c r="L81" s="336">
        <f t="shared" si="21"/>
        <v>0</v>
      </c>
    </row>
    <row r="82" spans="1:14" x14ac:dyDescent="0.25">
      <c r="A82" s="18"/>
      <c r="B82" s="275" t="s">
        <v>78</v>
      </c>
      <c r="C82" s="337" t="s">
        <v>89</v>
      </c>
      <c r="D82" s="274"/>
      <c r="E82" s="142"/>
      <c r="F82" s="142"/>
      <c r="G82" s="142"/>
      <c r="H82" s="275" t="s">
        <v>79</v>
      </c>
      <c r="I82" s="275"/>
      <c r="J82" s="142"/>
      <c r="K82" s="142"/>
      <c r="L82" s="142"/>
      <c r="N82" s="218"/>
    </row>
    <row r="83" spans="1:14" x14ac:dyDescent="0.25">
      <c r="A83" s="18"/>
      <c r="B83" s="275" t="s">
        <v>80</v>
      </c>
      <c r="C83" s="276" t="s">
        <v>89</v>
      </c>
      <c r="D83" s="142"/>
      <c r="E83" s="142"/>
      <c r="F83" s="142"/>
      <c r="G83" s="142"/>
      <c r="H83" s="275" t="s">
        <v>81</v>
      </c>
      <c r="I83" s="275"/>
      <c r="J83" s="142"/>
      <c r="K83" s="142"/>
      <c r="L83" s="142"/>
    </row>
    <row r="84" spans="1:14" x14ac:dyDescent="0.25">
      <c r="A84" s="18"/>
      <c r="B84" s="275" t="s">
        <v>82</v>
      </c>
      <c r="C84" s="276" t="s">
        <v>89</v>
      </c>
      <c r="D84" s="142"/>
      <c r="E84" s="142"/>
      <c r="F84" s="142"/>
      <c r="G84" s="142"/>
      <c r="H84" s="275"/>
      <c r="I84" s="275"/>
      <c r="J84" s="142"/>
      <c r="K84" s="142"/>
      <c r="L84" s="142"/>
      <c r="N84" s="218"/>
    </row>
  </sheetData>
  <autoFilter ref="B10:C84">
    <filterColumn colId="1">
      <customFilters>
        <customFilter operator="notEqual" val=" "/>
      </customFilters>
    </filterColumn>
  </autoFilter>
  <conditionalFormatting sqref="B1:D1">
    <cfRule type="expression" dxfId="1" priority="2" stopIfTrue="1">
      <formula>LEFT($B1,6)="Macros"</formula>
    </cfRule>
  </conditionalFormatting>
  <conditionalFormatting sqref="B7">
    <cfRule type="cellIs" dxfId="0" priority="1" stopIfTrue="1" operator="equal">
      <formula>B6</formula>
    </cfRule>
  </conditionalFormatting>
  <dataValidations count="2">
    <dataValidation type="decimal" allowBlank="1" showInputMessage="1" showErrorMessage="1" errorTitle="Invalid Fixed Rate" error="Input value must be positive numeric" sqref="G36:G55">
      <formula1>0</formula1>
      <formula2>999999999</formula2>
    </dataValidation>
    <dataValidation showInputMessage="1" showErrorMessage="1" sqref="B60:C81 B34:C55 B9:C30"/>
  </dataValidations>
  <hyperlinks>
    <hyperlink ref="A9" location="Overview!A1" display="Go to Overview"/>
  </hyperlinks>
  <pageMargins left="0.5" right="0.5" top="0.5" bottom="0.75" header="0" footer="0.5"/>
  <pageSetup scale="85" fitToHeight="0" pageOrder="overThenDown" orientation="landscape" errors="dash" r:id="rId1"/>
  <headerFooter alignWithMargins="0">
    <oddFooter>&amp;LPrinted: &amp;D &amp;T&amp;R&amp;P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F2.CostAllocation</vt:lpstr>
      <vt:lpstr>F3.RevenueAllocation</vt:lpstr>
      <vt:lpstr>F4.RateDesign</vt:lpstr>
      <vt:lpstr>F2.CostAllocation!Print_Area</vt:lpstr>
      <vt:lpstr>F3.RevenueAllocation!Print_Area</vt:lpstr>
      <vt:lpstr>F4.RateDesign!Print_Area</vt:lpstr>
      <vt:lpstr>F2.CostAllocation!Print_Titles</vt:lpstr>
      <vt:lpstr>F3.RevenueAllocation!Print_Titles</vt:lpstr>
      <vt:lpstr>F4.RateDesign!Print_Titles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Wally Curry</cp:lastModifiedBy>
  <dcterms:created xsi:type="dcterms:W3CDTF">2012-09-28T15:02:56Z</dcterms:created>
  <dcterms:modified xsi:type="dcterms:W3CDTF">2012-11-22T17:45:36Z</dcterms:modified>
</cp:coreProperties>
</file>