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00" windowWidth="24240" windowHeight="12405" firstSheet="1" activeTab="8"/>
  </bookViews>
  <sheets>
    <sheet name="Cover Sheet" sheetId="1" r:id="rId1"/>
    <sheet name="Existing Rates &amp; Forecast Vols" sheetId="2" r:id="rId2"/>
    <sheet name="Existing F_V Ratios" sheetId="3" r:id="rId3"/>
    <sheet name="R|C Ratio" sheetId="4" r:id="rId4"/>
    <sheet name="Target R|C Ratios" sheetId="5" r:id="rId5"/>
    <sheet name="F_V Analysis" sheetId="6" r:id="rId6"/>
    <sheet name="Floor_Ceiling Review" sheetId="7" r:id="rId7"/>
    <sheet name="Target MSC Change" sheetId="8" r:id="rId8"/>
    <sheet name="2013 R|C Ratio Adj." sheetId="9" r:id="rId9"/>
    <sheet name="2013 Rate Design" sheetId="10" r:id="rId10"/>
    <sheet name="2013 Area Rate Design" sheetId="11" r:id="rId11"/>
    <sheet name="2013 Reconciliation" sheetId="12" r:id="rId12"/>
    <sheet name="2014 R|C Ratio Adj." sheetId="13" r:id="rId13"/>
    <sheet name="2014 Rate Design" sheetId="14" r:id="rId14"/>
    <sheet name="2014 Area Rate Design" sheetId="15" r:id="rId15"/>
    <sheet name="2014 Reconciliation" sheetId="17" r:id="rId16"/>
    <sheet name="2015 R|C Ratio Adj." sheetId="18" r:id="rId17"/>
    <sheet name="2015 Rate Design" sheetId="19" r:id="rId18"/>
    <sheet name="2015 Area Rate Design" sheetId="20" r:id="rId19"/>
    <sheet name="2015 Reconciliation" sheetId="21" r:id="rId20"/>
    <sheet name="2016 R|C Ratio Adj." sheetId="22" r:id="rId21"/>
    <sheet name="2016 Rate Design" sheetId="23" r:id="rId22"/>
    <sheet name="2016 Area Rate Design" sheetId="24" r:id="rId23"/>
    <sheet name="2016 Reconciliation" sheetId="25" r:id="rId24"/>
    <sheet name="Rate Design Summary" sheetId="16" r:id="rId25"/>
  </sheets>
  <definedNames>
    <definedName name="_xlnm.Print_Area" localSheetId="10">'2013 Area Rate Design'!$A$1:$R$32</definedName>
    <definedName name="_xlnm.Print_Area" localSheetId="8">'2013 R|C Ratio Adj.'!$A$1:$I$15</definedName>
    <definedName name="_xlnm.Print_Area" localSheetId="9">'2013 Rate Design'!$A$1:$H$28</definedName>
    <definedName name="_xlnm.Print_Area" localSheetId="11">'2013 Reconciliation'!$A$1:$P$50</definedName>
    <definedName name="_xlnm.Print_Area" localSheetId="14">'2014 Area Rate Design'!$A$1:$R$32</definedName>
    <definedName name="_xlnm.Print_Area" localSheetId="12">'2014 R|C Ratio Adj.'!$A$1:$I$15</definedName>
    <definedName name="_xlnm.Print_Area" localSheetId="13">'2014 Rate Design'!$A$1:$H$30</definedName>
    <definedName name="_xlnm.Print_Area" localSheetId="15">'2014 Reconciliation'!$A$1:$P$50</definedName>
    <definedName name="_xlnm.Print_Area" localSheetId="18">'2015 Area Rate Design'!$A$1:$R$32</definedName>
    <definedName name="_xlnm.Print_Area" localSheetId="16">'2015 R|C Ratio Adj.'!$A$1:$I$15</definedName>
    <definedName name="_xlnm.Print_Area" localSheetId="17">'2015 Rate Design'!$A$1:$H$28</definedName>
    <definedName name="_xlnm.Print_Area" localSheetId="19">'2015 Reconciliation'!$A$1:$O$49</definedName>
    <definedName name="_xlnm.Print_Area" localSheetId="22">'2016 Area Rate Design'!$A$1:$R$32</definedName>
    <definedName name="_xlnm.Print_Area" localSheetId="20">'2016 R|C Ratio Adj.'!$A$1:$I$15</definedName>
    <definedName name="_xlnm.Print_Area" localSheetId="21">'2016 Rate Design'!$A$1:$H$29</definedName>
    <definedName name="_xlnm.Print_Area" localSheetId="23">'2016 Reconciliation'!$A$19:$P$50</definedName>
    <definedName name="_xlnm.Print_Area" localSheetId="0">'Cover Sheet'!$A$1:$I$43</definedName>
    <definedName name="_xlnm.Print_Area" localSheetId="2">'Existing F_V Ratios'!$A$1:$I$95</definedName>
    <definedName name="_xlnm.Print_Area" localSheetId="1">'Existing Rates &amp; Forecast Vols'!$A$1:$I$43</definedName>
    <definedName name="_xlnm.Print_Area" localSheetId="5">'F_V Analysis'!$A$1:$I$23</definedName>
    <definedName name="_xlnm.Print_Area" localSheetId="6">'Floor_Ceiling Review'!$A$1:$H$22</definedName>
    <definedName name="_xlnm.Print_Area" localSheetId="3">'R|C Ratio'!$A$1:$J$29</definedName>
    <definedName name="_xlnm.Print_Area" localSheetId="24">'Rate Design Summary'!$A$1:$S$24</definedName>
    <definedName name="_xlnm.Print_Area" localSheetId="7">'Target MSC Change'!$A$1:$L$21</definedName>
    <definedName name="_xlnm.Print_Area" localSheetId="4">'Target R|C Ratios'!$A$1:$I$54</definedName>
  </definedNames>
  <calcPr calcId="144525"/>
</workbook>
</file>

<file path=xl/calcChain.xml><?xml version="1.0" encoding="utf-8"?>
<calcChain xmlns="http://schemas.openxmlformats.org/spreadsheetml/2006/main">
  <c r="H5" i="22"/>
  <c r="H5" i="18"/>
  <c r="H5" i="13"/>
  <c r="H5" i="9"/>
  <c r="H36" i="5" l="1"/>
  <c r="H24"/>
  <c r="H9" l="1"/>
  <c r="F10" i="4"/>
  <c r="F8"/>
  <c r="F9" l="1"/>
  <c r="F12" l="1"/>
  <c r="F11"/>
  <c r="E27" i="24" l="1"/>
  <c r="E27" i="20"/>
  <c r="E27" i="15"/>
  <c r="E27" i="11"/>
  <c r="C5" i="22" l="1"/>
  <c r="L42" i="25"/>
  <c r="N42" s="1"/>
  <c r="L43"/>
  <c r="L44"/>
  <c r="N44" s="1"/>
  <c r="L45"/>
  <c r="N45" s="1"/>
  <c r="L46"/>
  <c r="N46" s="1"/>
  <c r="F30"/>
  <c r="E30"/>
  <c r="D30"/>
  <c r="F29"/>
  <c r="E29"/>
  <c r="D29"/>
  <c r="E28"/>
  <c r="D28"/>
  <c r="F27"/>
  <c r="F33" s="1"/>
  <c r="E27"/>
  <c r="D27"/>
  <c r="E26"/>
  <c r="D26"/>
  <c r="E25"/>
  <c r="D25"/>
  <c r="F14"/>
  <c r="E14"/>
  <c r="E46" s="1"/>
  <c r="D14"/>
  <c r="F13"/>
  <c r="F17" s="1"/>
  <c r="E13"/>
  <c r="D13"/>
  <c r="D45" s="1"/>
  <c r="E12"/>
  <c r="D12"/>
  <c r="F11"/>
  <c r="E11"/>
  <c r="E43" s="1"/>
  <c r="D11"/>
  <c r="E10"/>
  <c r="E42" s="1"/>
  <c r="D10"/>
  <c r="E9"/>
  <c r="E41" s="1"/>
  <c r="D9"/>
  <c r="D27" i="24"/>
  <c r="E26"/>
  <c r="D26"/>
  <c r="E23"/>
  <c r="D23"/>
  <c r="E22"/>
  <c r="D22"/>
  <c r="E19"/>
  <c r="D19"/>
  <c r="E18"/>
  <c r="D18"/>
  <c r="E15"/>
  <c r="D15"/>
  <c r="E14"/>
  <c r="D14"/>
  <c r="E11"/>
  <c r="D11"/>
  <c r="E10"/>
  <c r="D10"/>
  <c r="E7"/>
  <c r="D7"/>
  <c r="E6"/>
  <c r="D6"/>
  <c r="C6" i="23"/>
  <c r="C20" s="1"/>
  <c r="H12" i="24" s="1"/>
  <c r="C7" i="23"/>
  <c r="C8"/>
  <c r="C9"/>
  <c r="C23" s="1"/>
  <c r="H24" i="24" s="1"/>
  <c r="C10" i="23"/>
  <c r="C24" s="1"/>
  <c r="H28" i="24" s="1"/>
  <c r="D14" i="23"/>
  <c r="D10" i="22"/>
  <c r="C10"/>
  <c r="D9"/>
  <c r="C9"/>
  <c r="D8"/>
  <c r="C8"/>
  <c r="D7"/>
  <c r="C7"/>
  <c r="D6"/>
  <c r="C6"/>
  <c r="D5"/>
  <c r="E45" i="25" l="1"/>
  <c r="D43"/>
  <c r="E44"/>
  <c r="D46"/>
  <c r="E5" i="22"/>
  <c r="N43" i="25"/>
  <c r="E10" i="22"/>
  <c r="D41" i="25"/>
  <c r="C21" i="23"/>
  <c r="H16" i="24" s="1"/>
  <c r="E33" i="25"/>
  <c r="D42"/>
  <c r="F43"/>
  <c r="F46"/>
  <c r="C22" i="23"/>
  <c r="H20" i="24" s="1"/>
  <c r="E8" i="22"/>
  <c r="E6"/>
  <c r="D12"/>
  <c r="E7"/>
  <c r="G8"/>
  <c r="E9"/>
  <c r="E49" i="25"/>
  <c r="D17"/>
  <c r="E17"/>
  <c r="D33"/>
  <c r="D44"/>
  <c r="F45"/>
  <c r="F49" s="1"/>
  <c r="G7" i="22"/>
  <c r="C12"/>
  <c r="G9"/>
  <c r="G6"/>
  <c r="G10"/>
  <c r="L42" i="21"/>
  <c r="N42" s="1"/>
  <c r="L43"/>
  <c r="L44"/>
  <c r="N44" s="1"/>
  <c r="L45"/>
  <c r="N45" s="1"/>
  <c r="L46"/>
  <c r="N46" s="1"/>
  <c r="F30"/>
  <c r="E30"/>
  <c r="D30"/>
  <c r="F29"/>
  <c r="E29"/>
  <c r="D29"/>
  <c r="E28"/>
  <c r="D28"/>
  <c r="F27"/>
  <c r="F33" s="1"/>
  <c r="E27"/>
  <c r="D27"/>
  <c r="E26"/>
  <c r="D26"/>
  <c r="E25"/>
  <c r="D25"/>
  <c r="F14"/>
  <c r="E14"/>
  <c r="E46" s="1"/>
  <c r="D14"/>
  <c r="F13"/>
  <c r="F45" s="1"/>
  <c r="E13"/>
  <c r="D13"/>
  <c r="D45" s="1"/>
  <c r="E12"/>
  <c r="E44" s="1"/>
  <c r="D12"/>
  <c r="F11"/>
  <c r="E11"/>
  <c r="E43" s="1"/>
  <c r="D11"/>
  <c r="D43" s="1"/>
  <c r="E10"/>
  <c r="D10"/>
  <c r="E9"/>
  <c r="E17" s="1"/>
  <c r="D9"/>
  <c r="D27" i="20"/>
  <c r="E26"/>
  <c r="D26"/>
  <c r="E23"/>
  <c r="D23"/>
  <c r="E22"/>
  <c r="D22"/>
  <c r="E19"/>
  <c r="D19"/>
  <c r="E18"/>
  <c r="D18"/>
  <c r="E15"/>
  <c r="D15"/>
  <c r="E14"/>
  <c r="D14"/>
  <c r="E11"/>
  <c r="D11"/>
  <c r="E10"/>
  <c r="D10"/>
  <c r="E7"/>
  <c r="D7"/>
  <c r="E6"/>
  <c r="D6"/>
  <c r="C6" i="19"/>
  <c r="C7"/>
  <c r="C8"/>
  <c r="C9"/>
  <c r="C23" s="1"/>
  <c r="H24" i="20" s="1"/>
  <c r="C10" i="19"/>
  <c r="D14"/>
  <c r="D10" i="18"/>
  <c r="C10"/>
  <c r="D9"/>
  <c r="C9"/>
  <c r="D8"/>
  <c r="C8"/>
  <c r="D7"/>
  <c r="C7"/>
  <c r="D6"/>
  <c r="C6"/>
  <c r="D5"/>
  <c r="C5"/>
  <c r="L42" i="17"/>
  <c r="N42" s="1"/>
  <c r="L43"/>
  <c r="L44"/>
  <c r="N44" s="1"/>
  <c r="L45"/>
  <c r="N45" s="1"/>
  <c r="L46"/>
  <c r="N46" s="1"/>
  <c r="F30"/>
  <c r="E30"/>
  <c r="D30"/>
  <c r="F29"/>
  <c r="E29"/>
  <c r="D29"/>
  <c r="E28"/>
  <c r="D28"/>
  <c r="F27"/>
  <c r="E27"/>
  <c r="D27"/>
  <c r="E26"/>
  <c r="D26"/>
  <c r="E25"/>
  <c r="D25"/>
  <c r="F14"/>
  <c r="F46" s="1"/>
  <c r="E14"/>
  <c r="E46" s="1"/>
  <c r="D14"/>
  <c r="F13"/>
  <c r="F17" s="1"/>
  <c r="E13"/>
  <c r="E45" s="1"/>
  <c r="D13"/>
  <c r="D45" s="1"/>
  <c r="E12"/>
  <c r="D12"/>
  <c r="F11"/>
  <c r="F43" s="1"/>
  <c r="E11"/>
  <c r="E43" s="1"/>
  <c r="D11"/>
  <c r="E10"/>
  <c r="E42" s="1"/>
  <c r="D10"/>
  <c r="D42" s="1"/>
  <c r="E9"/>
  <c r="E41" s="1"/>
  <c r="D9"/>
  <c r="F23" i="16"/>
  <c r="E23"/>
  <c r="E7"/>
  <c r="D27" i="15"/>
  <c r="E26"/>
  <c r="F22" i="16" s="1"/>
  <c r="D26" i="15"/>
  <c r="E22" i="16" s="1"/>
  <c r="E23" i="15"/>
  <c r="F20" i="16" s="1"/>
  <c r="D23" i="15"/>
  <c r="E20" i="16" s="1"/>
  <c r="E22" i="15"/>
  <c r="F19" i="16" s="1"/>
  <c r="D22" i="15"/>
  <c r="E19" i="16" s="1"/>
  <c r="E19" i="15"/>
  <c r="F17" i="16" s="1"/>
  <c r="D19" i="15"/>
  <c r="E17" i="16" s="1"/>
  <c r="E18" i="15"/>
  <c r="F16" i="16" s="1"/>
  <c r="D18" i="15"/>
  <c r="E16" i="16" s="1"/>
  <c r="E15" i="15"/>
  <c r="D15"/>
  <c r="E14" i="16" s="1"/>
  <c r="E14" i="15"/>
  <c r="D14"/>
  <c r="E13" i="16" s="1"/>
  <c r="E11" i="15"/>
  <c r="F11" i="16" s="1"/>
  <c r="D11" i="15"/>
  <c r="E11" i="16" s="1"/>
  <c r="E10" i="15"/>
  <c r="F10" i="16" s="1"/>
  <c r="D10" i="15"/>
  <c r="E10" i="16" s="1"/>
  <c r="E7" i="15"/>
  <c r="F8" i="16" s="1"/>
  <c r="D7" i="15"/>
  <c r="E8" i="16" s="1"/>
  <c r="E6" i="15"/>
  <c r="F7" i="16" s="1"/>
  <c r="D6" i="15"/>
  <c r="C6" i="14"/>
  <c r="C20" s="1"/>
  <c r="H12" i="15" s="1"/>
  <c r="C7" i="14"/>
  <c r="C8"/>
  <c r="C22" s="1"/>
  <c r="H20" i="15" s="1"/>
  <c r="C9" i="14"/>
  <c r="C23" s="1"/>
  <c r="H24" i="15" s="1"/>
  <c r="C10" i="14"/>
  <c r="D14"/>
  <c r="M43" i="25" s="1"/>
  <c r="M49" s="1"/>
  <c r="D10" i="13"/>
  <c r="C10"/>
  <c r="D9"/>
  <c r="C9"/>
  <c r="D8"/>
  <c r="C8"/>
  <c r="D7"/>
  <c r="C7"/>
  <c r="D6"/>
  <c r="C6"/>
  <c r="D5"/>
  <c r="C5"/>
  <c r="F14" i="16" l="1"/>
  <c r="F13"/>
  <c r="C21" i="14"/>
  <c r="H16" i="15" s="1"/>
  <c r="G7" i="13"/>
  <c r="C21" i="19"/>
  <c r="H16" i="20" s="1"/>
  <c r="E33" i="17"/>
  <c r="D49" i="25"/>
  <c r="F33" i="17"/>
  <c r="D33" i="21"/>
  <c r="M43"/>
  <c r="M49" s="1"/>
  <c r="C24" i="14"/>
  <c r="H28" i="15" s="1"/>
  <c r="E7" i="13"/>
  <c r="D43" i="17"/>
  <c r="E44"/>
  <c r="E49" s="1"/>
  <c r="D46"/>
  <c r="M43"/>
  <c r="M49" s="1"/>
  <c r="D42" i="21"/>
  <c r="F43"/>
  <c r="F49" s="1"/>
  <c r="F46"/>
  <c r="E33"/>
  <c r="E41"/>
  <c r="N43"/>
  <c r="E12" i="22"/>
  <c r="G8" i="18"/>
  <c r="E6"/>
  <c r="E10" i="13"/>
  <c r="E10" i="18"/>
  <c r="C12"/>
  <c r="E8"/>
  <c r="E9" i="13"/>
  <c r="D12" i="18"/>
  <c r="E5"/>
  <c r="D12" i="13"/>
  <c r="G9"/>
  <c r="E6"/>
  <c r="G8"/>
  <c r="G7" i="18"/>
  <c r="E9"/>
  <c r="F17" i="21"/>
  <c r="D17"/>
  <c r="E42"/>
  <c r="E49" s="1"/>
  <c r="E45"/>
  <c r="D41"/>
  <c r="D44"/>
  <c r="D46"/>
  <c r="P22" i="20"/>
  <c r="I22"/>
  <c r="P23"/>
  <c r="I23"/>
  <c r="C22" i="19"/>
  <c r="H20" i="20" s="1"/>
  <c r="C20" i="19"/>
  <c r="H12" i="20" s="1"/>
  <c r="C24" i="19"/>
  <c r="H28" i="20" s="1"/>
  <c r="G6" i="18"/>
  <c r="G10"/>
  <c r="E7"/>
  <c r="G9"/>
  <c r="N43" i="17"/>
  <c r="D17"/>
  <c r="E17"/>
  <c r="D33"/>
  <c r="D41"/>
  <c r="D44"/>
  <c r="F45"/>
  <c r="F49" s="1"/>
  <c r="I22" i="15"/>
  <c r="P22"/>
  <c r="P23"/>
  <c r="I23"/>
  <c r="E5" i="13"/>
  <c r="G6"/>
  <c r="E8"/>
  <c r="G10"/>
  <c r="C12"/>
  <c r="L46" i="12"/>
  <c r="N46" s="1"/>
  <c r="L45"/>
  <c r="N45" s="1"/>
  <c r="L44"/>
  <c r="N44" s="1"/>
  <c r="L43"/>
  <c r="L42"/>
  <c r="N42" s="1"/>
  <c r="F30"/>
  <c r="F29"/>
  <c r="F27"/>
  <c r="E26"/>
  <c r="E27"/>
  <c r="E28"/>
  <c r="E29"/>
  <c r="E30"/>
  <c r="E25"/>
  <c r="D26"/>
  <c r="D27"/>
  <c r="D28"/>
  <c r="D29"/>
  <c r="D30"/>
  <c r="D25"/>
  <c r="F14"/>
  <c r="F13"/>
  <c r="F45" s="1"/>
  <c r="F11"/>
  <c r="E10"/>
  <c r="E11"/>
  <c r="E12"/>
  <c r="E44" s="1"/>
  <c r="E13"/>
  <c r="E14"/>
  <c r="E9"/>
  <c r="E41" s="1"/>
  <c r="D10"/>
  <c r="D42" s="1"/>
  <c r="D11"/>
  <c r="D12"/>
  <c r="D13"/>
  <c r="D45" s="1"/>
  <c r="D14"/>
  <c r="D46" s="1"/>
  <c r="D9"/>
  <c r="D43" l="1"/>
  <c r="D44"/>
  <c r="E46"/>
  <c r="E42"/>
  <c r="D41"/>
  <c r="F33"/>
  <c r="D49" i="17"/>
  <c r="E12" i="18"/>
  <c r="G29" i="21"/>
  <c r="O20" i="16"/>
  <c r="O19"/>
  <c r="G13" i="21"/>
  <c r="L20" i="16"/>
  <c r="G29" i="17"/>
  <c r="G13"/>
  <c r="L19" i="16"/>
  <c r="D49" i="21"/>
  <c r="I24" i="20"/>
  <c r="I24" i="15"/>
  <c r="E12" i="13"/>
  <c r="F43" i="12"/>
  <c r="E45"/>
  <c r="E33"/>
  <c r="F17"/>
  <c r="E17"/>
  <c r="E43"/>
  <c r="E49" s="1"/>
  <c r="D17"/>
  <c r="D33"/>
  <c r="F46"/>
  <c r="D26" i="11"/>
  <c r="D27"/>
  <c r="D23"/>
  <c r="D22"/>
  <c r="D19"/>
  <c r="D18"/>
  <c r="D11"/>
  <c r="D10"/>
  <c r="D7"/>
  <c r="D6"/>
  <c r="D15"/>
  <c r="D14"/>
  <c r="E23"/>
  <c r="E19"/>
  <c r="E15"/>
  <c r="E11"/>
  <c r="E7"/>
  <c r="E26"/>
  <c r="E22"/>
  <c r="E18"/>
  <c r="E14"/>
  <c r="E10"/>
  <c r="E6"/>
  <c r="D14" i="10"/>
  <c r="M43" i="12" s="1"/>
  <c r="M49" s="1"/>
  <c r="C6" i="10"/>
  <c r="C20" s="1"/>
  <c r="H12" i="11" s="1"/>
  <c r="C7" i="10"/>
  <c r="C21" s="1"/>
  <c r="H16" i="11" s="1"/>
  <c r="C8" i="10"/>
  <c r="C22" s="1"/>
  <c r="H20" i="11" s="1"/>
  <c r="C9" i="10"/>
  <c r="C23" s="1"/>
  <c r="H24" i="11" s="1"/>
  <c r="C10" i="10"/>
  <c r="C24" s="1"/>
  <c r="H28" i="11" s="1"/>
  <c r="D10" i="9"/>
  <c r="C10"/>
  <c r="D9"/>
  <c r="C9"/>
  <c r="D8"/>
  <c r="C8"/>
  <c r="D7"/>
  <c r="C7"/>
  <c r="D6"/>
  <c r="C6"/>
  <c r="D5"/>
  <c r="C5"/>
  <c r="D49" i="12" l="1"/>
  <c r="E6" i="9"/>
  <c r="G10"/>
  <c r="J24" i="20"/>
  <c r="N24" s="1"/>
  <c r="J24" i="15"/>
  <c r="D12" i="9"/>
  <c r="E7"/>
  <c r="E9"/>
  <c r="F49" i="12"/>
  <c r="G6" i="9"/>
  <c r="G7"/>
  <c r="E10"/>
  <c r="E8"/>
  <c r="N43" i="12"/>
  <c r="G9" i="9"/>
  <c r="E5"/>
  <c r="C12"/>
  <c r="C15" i="8"/>
  <c r="C16"/>
  <c r="C17"/>
  <c r="C18"/>
  <c r="C19"/>
  <c r="C14"/>
  <c r="D8"/>
  <c r="C7"/>
  <c r="C8"/>
  <c r="C9"/>
  <c r="C10"/>
  <c r="C11"/>
  <c r="C6"/>
  <c r="D41" i="5"/>
  <c r="C41"/>
  <c r="D40"/>
  <c r="C40"/>
  <c r="D39"/>
  <c r="C39"/>
  <c r="D38"/>
  <c r="C38"/>
  <c r="D37"/>
  <c r="C37"/>
  <c r="D36"/>
  <c r="C36"/>
  <c r="D26"/>
  <c r="C26"/>
  <c r="D25"/>
  <c r="C25"/>
  <c r="D24"/>
  <c r="C24"/>
  <c r="D23"/>
  <c r="C23"/>
  <c r="D22"/>
  <c r="C22"/>
  <c r="D21"/>
  <c r="C21"/>
  <c r="D11"/>
  <c r="D10"/>
  <c r="D9"/>
  <c r="D8"/>
  <c r="D7"/>
  <c r="D6"/>
  <c r="C11"/>
  <c r="C10"/>
  <c r="C9"/>
  <c r="C8"/>
  <c r="C7"/>
  <c r="C6"/>
  <c r="F15" i="4"/>
  <c r="C15"/>
  <c r="E27" s="1"/>
  <c r="E28" s="1"/>
  <c r="F36" i="3"/>
  <c r="D39"/>
  <c r="D52" s="1"/>
  <c r="D38"/>
  <c r="D51" s="1"/>
  <c r="D36"/>
  <c r="D35"/>
  <c r="D48" s="1"/>
  <c r="D37"/>
  <c r="D50" s="1"/>
  <c r="D34"/>
  <c r="C35"/>
  <c r="C48" s="1"/>
  <c r="F16" i="6" s="1"/>
  <c r="C36" i="3"/>
  <c r="C49" s="1"/>
  <c r="F17" i="6" s="1"/>
  <c r="C37" i="3"/>
  <c r="C50" s="1"/>
  <c r="F18" i="6" s="1"/>
  <c r="C38" i="3"/>
  <c r="E38" s="1"/>
  <c r="G38" s="1"/>
  <c r="C39"/>
  <c r="C52" s="1"/>
  <c r="F20" i="6" s="1"/>
  <c r="C34" i="3"/>
  <c r="F9"/>
  <c r="F14" s="1"/>
  <c r="D12"/>
  <c r="D11"/>
  <c r="D9"/>
  <c r="D8"/>
  <c r="D10"/>
  <c r="D23" s="1"/>
  <c r="D7"/>
  <c r="D20" s="1"/>
  <c r="C8"/>
  <c r="C9"/>
  <c r="C10"/>
  <c r="E10" s="1"/>
  <c r="C11"/>
  <c r="C12"/>
  <c r="C7"/>
  <c r="C20" s="1"/>
  <c r="D15" i="6" s="1"/>
  <c r="H40" i="2"/>
  <c r="H39"/>
  <c r="H37"/>
  <c r="G40"/>
  <c r="G39"/>
  <c r="G38"/>
  <c r="G37"/>
  <c r="G36"/>
  <c r="G35"/>
  <c r="F36"/>
  <c r="F37"/>
  <c r="F38"/>
  <c r="F39"/>
  <c r="G24" i="15" s="1"/>
  <c r="F40" i="2"/>
  <c r="F35"/>
  <c r="E8" i="8" l="1"/>
  <c r="I8" s="1"/>
  <c r="G24" i="20"/>
  <c r="F14" i="11"/>
  <c r="F14" i="24"/>
  <c r="G14" s="1"/>
  <c r="F14" i="20"/>
  <c r="G14" s="1"/>
  <c r="C13" i="16"/>
  <c r="F14" i="15"/>
  <c r="G14" s="1"/>
  <c r="K24" i="20"/>
  <c r="N24" i="15"/>
  <c r="K24"/>
  <c r="M22" s="1"/>
  <c r="E12" i="9"/>
  <c r="E8" i="3"/>
  <c r="G10"/>
  <c r="E7"/>
  <c r="D62"/>
  <c r="D75" s="1"/>
  <c r="E8" i="5"/>
  <c r="D16" i="8"/>
  <c r="G8" i="3"/>
  <c r="C63"/>
  <c r="C76" s="1"/>
  <c r="J8" i="8"/>
  <c r="D66" i="3"/>
  <c r="D79" s="1"/>
  <c r="G8" i="8"/>
  <c r="E6" i="5"/>
  <c r="H8" i="8"/>
  <c r="C22" i="3"/>
  <c r="D17" i="6" s="1"/>
  <c r="E7" i="5"/>
  <c r="E11"/>
  <c r="E24"/>
  <c r="E26"/>
  <c r="E39"/>
  <c r="E10"/>
  <c r="E9"/>
  <c r="E25"/>
  <c r="E38"/>
  <c r="C43"/>
  <c r="G7"/>
  <c r="E23"/>
  <c r="E41"/>
  <c r="D28"/>
  <c r="C28"/>
  <c r="D43"/>
  <c r="E40"/>
  <c r="E20" i="3"/>
  <c r="F20" s="1"/>
  <c r="D5" i="6" s="1"/>
  <c r="D64" i="3"/>
  <c r="D77" s="1"/>
  <c r="C61"/>
  <c r="C74" s="1"/>
  <c r="D49"/>
  <c r="E49" s="1"/>
  <c r="F49" s="1"/>
  <c r="F7" i="6" s="1"/>
  <c r="D25" i="3"/>
  <c r="C23"/>
  <c r="D18" i="6" s="1"/>
  <c r="D21" i="3"/>
  <c r="D41"/>
  <c r="G39" i="5"/>
  <c r="D50" s="1"/>
  <c r="G37"/>
  <c r="G40"/>
  <c r="E36"/>
  <c r="G38"/>
  <c r="G41"/>
  <c r="E37"/>
  <c r="G22"/>
  <c r="G25"/>
  <c r="E21"/>
  <c r="G23"/>
  <c r="G26"/>
  <c r="E22"/>
  <c r="G11"/>
  <c r="G10"/>
  <c r="G8"/>
  <c r="D13"/>
  <c r="C13"/>
  <c r="C51" i="3"/>
  <c r="F19" i="6" s="1"/>
  <c r="C25" i="3"/>
  <c r="D20" i="6" s="1"/>
  <c r="C66" i="3"/>
  <c r="C21"/>
  <c r="D16" i="6" s="1"/>
  <c r="C62" i="3"/>
  <c r="D47"/>
  <c r="F63"/>
  <c r="F68" s="1"/>
  <c r="C65"/>
  <c r="E11"/>
  <c r="C14"/>
  <c r="D22"/>
  <c r="D63"/>
  <c r="E12"/>
  <c r="F41"/>
  <c r="D61"/>
  <c r="D74" s="1"/>
  <c r="D65"/>
  <c r="D78" s="1"/>
  <c r="E9"/>
  <c r="C24"/>
  <c r="D19" i="6" s="1"/>
  <c r="E52" i="3"/>
  <c r="G52" s="1"/>
  <c r="E48"/>
  <c r="F48" s="1"/>
  <c r="F6" i="6" s="1"/>
  <c r="E50" i="3"/>
  <c r="F50" s="1"/>
  <c r="F8" i="6" s="1"/>
  <c r="E37" i="3"/>
  <c r="G37" s="1"/>
  <c r="C64"/>
  <c r="D24"/>
  <c r="C41"/>
  <c r="E34"/>
  <c r="E36"/>
  <c r="G36" s="1"/>
  <c r="C47"/>
  <c r="F15" i="6" s="1"/>
  <c r="D14" i="3"/>
  <c r="E39"/>
  <c r="G39" s="1"/>
  <c r="E35"/>
  <c r="G35" s="1"/>
  <c r="K8" i="8" l="1"/>
  <c r="G14" i="11"/>
  <c r="P14" s="1"/>
  <c r="I14" i="15"/>
  <c r="P14"/>
  <c r="I14" i="20"/>
  <c r="P14"/>
  <c r="F15" i="24"/>
  <c r="G15" s="1"/>
  <c r="F15" i="20"/>
  <c r="G15" s="1"/>
  <c r="F15" i="15"/>
  <c r="G15" s="1"/>
  <c r="P14" i="24"/>
  <c r="I14"/>
  <c r="D54" i="3"/>
  <c r="M22" i="20"/>
  <c r="N22" s="1"/>
  <c r="N23" s="1"/>
  <c r="G9" i="3"/>
  <c r="E16" i="8"/>
  <c r="F15" i="11"/>
  <c r="G15" s="1"/>
  <c r="C68" i="3"/>
  <c r="D76"/>
  <c r="E76" s="1"/>
  <c r="G12"/>
  <c r="G14" s="1"/>
  <c r="H12" s="1"/>
  <c r="G7"/>
  <c r="E13" i="5"/>
  <c r="D27" i="3"/>
  <c r="E22"/>
  <c r="F22" s="1"/>
  <c r="D7" i="6" s="1"/>
  <c r="C54" i="3"/>
  <c r="F52"/>
  <c r="F10" i="6" s="1"/>
  <c r="E23" i="3"/>
  <c r="F23" s="1"/>
  <c r="D8" i="6" s="1"/>
  <c r="G48" i="3"/>
  <c r="G20"/>
  <c r="E43" i="5"/>
  <c r="E28"/>
  <c r="C78" i="3"/>
  <c r="E65"/>
  <c r="G65" s="1"/>
  <c r="G50"/>
  <c r="C79"/>
  <c r="E66"/>
  <c r="G66" s="1"/>
  <c r="E63"/>
  <c r="G63" s="1"/>
  <c r="E47"/>
  <c r="F47" s="1"/>
  <c r="F5" i="6" s="1"/>
  <c r="E25" i="3"/>
  <c r="G25" s="1"/>
  <c r="C77"/>
  <c r="E64"/>
  <c r="E24"/>
  <c r="G24" s="1"/>
  <c r="E61"/>
  <c r="C89" s="1"/>
  <c r="D89" s="1"/>
  <c r="C27"/>
  <c r="C75"/>
  <c r="E62"/>
  <c r="E51"/>
  <c r="G51" s="1"/>
  <c r="G23"/>
  <c r="D68"/>
  <c r="E41"/>
  <c r="G34"/>
  <c r="E74"/>
  <c r="E14"/>
  <c r="G11"/>
  <c r="E21"/>
  <c r="G21" s="1"/>
  <c r="G49"/>
  <c r="G11" i="12" l="1"/>
  <c r="I13" i="16"/>
  <c r="I14" i="11"/>
  <c r="Q22" i="20"/>
  <c r="I13" i="21" s="1"/>
  <c r="J13" s="1"/>
  <c r="P15" i="24"/>
  <c r="I15"/>
  <c r="I16" s="1"/>
  <c r="I15" i="20"/>
  <c r="I16" s="1"/>
  <c r="P15"/>
  <c r="G11" i="21"/>
  <c r="O13" i="16"/>
  <c r="I15" i="15"/>
  <c r="I16" s="1"/>
  <c r="P15"/>
  <c r="C94" i="3"/>
  <c r="R13" i="16"/>
  <c r="G11" i="25"/>
  <c r="G11" i="17"/>
  <c r="L13" i="16"/>
  <c r="C91" i="3"/>
  <c r="D91" s="1"/>
  <c r="M23" i="20"/>
  <c r="Q23" s="1"/>
  <c r="F5" i="9"/>
  <c r="F5" i="22"/>
  <c r="F5" i="18"/>
  <c r="F5" i="13"/>
  <c r="Q22" i="15"/>
  <c r="N22"/>
  <c r="N23" s="1"/>
  <c r="H26" i="11"/>
  <c r="H27" s="1"/>
  <c r="D81" i="3"/>
  <c r="D94"/>
  <c r="G64"/>
  <c r="C92"/>
  <c r="K16" i="8"/>
  <c r="H16"/>
  <c r="G16"/>
  <c r="I16"/>
  <c r="J16"/>
  <c r="C93" i="3"/>
  <c r="H14" i="11"/>
  <c r="G62" i="3"/>
  <c r="C90"/>
  <c r="I15" i="11"/>
  <c r="I16" s="1"/>
  <c r="P15"/>
  <c r="G22" i="3"/>
  <c r="F25"/>
  <c r="D10" i="6" s="1"/>
  <c r="F24" i="3"/>
  <c r="D9" i="6" s="1"/>
  <c r="F21" i="5"/>
  <c r="F36"/>
  <c r="F6"/>
  <c r="G8" i="4"/>
  <c r="H9" i="3"/>
  <c r="G47"/>
  <c r="G76"/>
  <c r="G74"/>
  <c r="F21"/>
  <c r="D6" i="6" s="1"/>
  <c r="G61" i="3"/>
  <c r="E68"/>
  <c r="F2" s="1"/>
  <c r="E77"/>
  <c r="G41"/>
  <c r="E75"/>
  <c r="F75" s="1"/>
  <c r="C81"/>
  <c r="E27"/>
  <c r="E78"/>
  <c r="H10"/>
  <c r="H7"/>
  <c r="H8"/>
  <c r="H11"/>
  <c r="F74"/>
  <c r="H5" i="6" s="1"/>
  <c r="F51" i="3"/>
  <c r="F9" i="6" s="1"/>
  <c r="F76" i="3"/>
  <c r="E54"/>
  <c r="E79"/>
  <c r="F29" l="1"/>
  <c r="N19" i="16"/>
  <c r="G16" i="24"/>
  <c r="J16"/>
  <c r="J16" i="20"/>
  <c r="G16"/>
  <c r="D6" i="23"/>
  <c r="D6" i="14"/>
  <c r="D6" i="19"/>
  <c r="E7" i="10"/>
  <c r="G7" s="1"/>
  <c r="E7" i="23"/>
  <c r="E7" i="14"/>
  <c r="E7" i="19"/>
  <c r="G27" i="12"/>
  <c r="I14" i="16"/>
  <c r="H18" i="24"/>
  <c r="H19" s="1"/>
  <c r="H18" i="15"/>
  <c r="H19" s="1"/>
  <c r="H18" i="20"/>
  <c r="H19" s="1"/>
  <c r="D7" i="23"/>
  <c r="D7" i="19"/>
  <c r="D7" i="14"/>
  <c r="H10" i="24"/>
  <c r="H11" s="1"/>
  <c r="H10" i="15"/>
  <c r="H11" s="1"/>
  <c r="H10" i="20"/>
  <c r="H11" s="1"/>
  <c r="H22" i="24"/>
  <c r="H23" s="1"/>
  <c r="H22" i="15"/>
  <c r="H22" i="20"/>
  <c r="H14" i="24"/>
  <c r="H14" i="15"/>
  <c r="H14" i="20"/>
  <c r="H26" i="24"/>
  <c r="H27" s="1"/>
  <c r="H26" i="20"/>
  <c r="H27" s="1"/>
  <c r="H26" i="15"/>
  <c r="H27" s="1"/>
  <c r="G27" i="25"/>
  <c r="R14" i="16"/>
  <c r="G16" i="15"/>
  <c r="J16"/>
  <c r="L14" i="16"/>
  <c r="G27" i="17"/>
  <c r="G27" i="21"/>
  <c r="O14" i="16"/>
  <c r="I29" i="21"/>
  <c r="J29" s="1"/>
  <c r="J45" s="1"/>
  <c r="O45" s="1"/>
  <c r="N20" i="16"/>
  <c r="M23" i="15"/>
  <c r="Q23" s="1"/>
  <c r="F7" i="9"/>
  <c r="F7" i="22"/>
  <c r="F7" i="18"/>
  <c r="F7" i="13"/>
  <c r="I13" i="17"/>
  <c r="J13" s="1"/>
  <c r="K19" i="16"/>
  <c r="D93" i="3"/>
  <c r="H22" i="11"/>
  <c r="H23" s="1"/>
  <c r="J16"/>
  <c r="G16"/>
  <c r="D90" i="3"/>
  <c r="H10" i="11"/>
  <c r="H11" s="1"/>
  <c r="H15"/>
  <c r="J15" s="1"/>
  <c r="K15" s="1"/>
  <c r="J14"/>
  <c r="K14" s="1"/>
  <c r="D92" i="3"/>
  <c r="H18" i="11"/>
  <c r="H19" s="1"/>
  <c r="G68" i="3"/>
  <c r="H62" s="1"/>
  <c r="H6" i="6"/>
  <c r="H16" s="1"/>
  <c r="F7" i="7" s="1"/>
  <c r="D7" i="8" s="1"/>
  <c r="D6" i="10"/>
  <c r="H7" i="6"/>
  <c r="H17" s="1"/>
  <c r="F8" i="7" s="1"/>
  <c r="G8" s="1"/>
  <c r="D7" i="10"/>
  <c r="G79" i="3"/>
  <c r="E81"/>
  <c r="G81" s="1"/>
  <c r="G78"/>
  <c r="G77"/>
  <c r="F78"/>
  <c r="G75"/>
  <c r="F79"/>
  <c r="G10" i="4"/>
  <c r="F23" i="5"/>
  <c r="F8"/>
  <c r="F38"/>
  <c r="H14" i="3"/>
  <c r="G54"/>
  <c r="F54"/>
  <c r="F27"/>
  <c r="G27"/>
  <c r="H38"/>
  <c r="H35"/>
  <c r="H36"/>
  <c r="H37"/>
  <c r="H39"/>
  <c r="F81"/>
  <c r="H34"/>
  <c r="F77"/>
  <c r="E21" i="10" l="1"/>
  <c r="G21" s="1"/>
  <c r="D9" i="19"/>
  <c r="D9" i="23"/>
  <c r="D9" i="14"/>
  <c r="E9" i="10"/>
  <c r="E23" s="1"/>
  <c r="G23" s="1"/>
  <c r="E9" i="23"/>
  <c r="E9" i="19"/>
  <c r="E9" i="14"/>
  <c r="H15" i="24"/>
  <c r="J15" s="1"/>
  <c r="K15" s="1"/>
  <c r="J14"/>
  <c r="K14" s="1"/>
  <c r="F7" i="19"/>
  <c r="D21"/>
  <c r="F21" s="1"/>
  <c r="E21" i="14"/>
  <c r="G21" s="1"/>
  <c r="G7"/>
  <c r="D20"/>
  <c r="F20" s="1"/>
  <c r="F6"/>
  <c r="K16" i="24"/>
  <c r="N16"/>
  <c r="D8" i="23"/>
  <c r="D8" i="19"/>
  <c r="D8" i="14"/>
  <c r="E6" i="10"/>
  <c r="G6" s="1"/>
  <c r="E6" i="23"/>
  <c r="E6" i="14"/>
  <c r="E6" i="19"/>
  <c r="E10" i="10"/>
  <c r="E24" s="1"/>
  <c r="G24" s="1"/>
  <c r="E10" i="23"/>
  <c r="E10" i="19"/>
  <c r="E10" i="14"/>
  <c r="H15" i="15"/>
  <c r="J15" s="1"/>
  <c r="K15" s="1"/>
  <c r="J14"/>
  <c r="K14" s="1"/>
  <c r="F6" i="19"/>
  <c r="D20"/>
  <c r="F20" s="1"/>
  <c r="D10" i="23"/>
  <c r="D10" i="14"/>
  <c r="D10" i="19"/>
  <c r="H23" i="20"/>
  <c r="J23" s="1"/>
  <c r="K23" s="1"/>
  <c r="L23" s="1"/>
  <c r="J22"/>
  <c r="K22" s="1"/>
  <c r="L22" s="1"/>
  <c r="D21" i="23"/>
  <c r="F21" s="1"/>
  <c r="F7"/>
  <c r="E21"/>
  <c r="G21" s="1"/>
  <c r="G7"/>
  <c r="F6"/>
  <c r="D20"/>
  <c r="F20" s="1"/>
  <c r="H63" i="3"/>
  <c r="H66"/>
  <c r="H68" s="1"/>
  <c r="H64"/>
  <c r="D21" i="14"/>
  <c r="F21" s="1"/>
  <c r="F7"/>
  <c r="G7" i="19"/>
  <c r="E21"/>
  <c r="G21" s="1"/>
  <c r="K16" i="20"/>
  <c r="N16"/>
  <c r="E8" i="10"/>
  <c r="E22" s="1"/>
  <c r="G22" s="1"/>
  <c r="E8" i="23"/>
  <c r="E8" i="14"/>
  <c r="E8" i="19"/>
  <c r="N16" i="15"/>
  <c r="K16"/>
  <c r="H15" i="20"/>
  <c r="J15" s="1"/>
  <c r="K15" s="1"/>
  <c r="J14"/>
  <c r="K14" s="1"/>
  <c r="H23" i="15"/>
  <c r="J23" s="1"/>
  <c r="K23" s="1"/>
  <c r="L23" s="1"/>
  <c r="J22"/>
  <c r="K22" s="1"/>
  <c r="L22" s="1"/>
  <c r="H61" i="3"/>
  <c r="H65"/>
  <c r="I29" i="17"/>
  <c r="J29" s="1"/>
  <c r="J45" s="1"/>
  <c r="K20" i="16"/>
  <c r="F10" i="11"/>
  <c r="G10" s="1"/>
  <c r="I10" s="1"/>
  <c r="J10" s="1"/>
  <c r="K10" s="1"/>
  <c r="F10" i="24"/>
  <c r="G10" s="1"/>
  <c r="C10" i="16"/>
  <c r="F10" i="15"/>
  <c r="G10" s="1"/>
  <c r="F10" i="20"/>
  <c r="G10" s="1"/>
  <c r="F6" i="9"/>
  <c r="F6" i="22"/>
  <c r="F6" i="18"/>
  <c r="F6" i="13"/>
  <c r="F10" i="9"/>
  <c r="F10" i="22"/>
  <c r="F10" i="18"/>
  <c r="F10" i="13"/>
  <c r="F9" i="9"/>
  <c r="F9" i="22"/>
  <c r="F9" i="13"/>
  <c r="F9" i="18"/>
  <c r="F8" i="9"/>
  <c r="F8" i="22"/>
  <c r="F8" i="13"/>
  <c r="F8" i="18"/>
  <c r="K16" i="11"/>
  <c r="N16"/>
  <c r="G7" i="7"/>
  <c r="H10" i="6"/>
  <c r="H20" s="1"/>
  <c r="F11" i="7" s="1"/>
  <c r="D11" i="8" s="1"/>
  <c r="D10" i="10"/>
  <c r="H9" i="6"/>
  <c r="H19" s="1"/>
  <c r="F10" i="7" s="1"/>
  <c r="G10" s="1"/>
  <c r="D9" i="10"/>
  <c r="F7"/>
  <c r="D21"/>
  <c r="F21" s="1"/>
  <c r="D20"/>
  <c r="F20" s="1"/>
  <c r="F6"/>
  <c r="H8" i="6"/>
  <c r="D8" i="10"/>
  <c r="E7" i="8"/>
  <c r="D15"/>
  <c r="G9" i="4"/>
  <c r="F37" i="5"/>
  <c r="F7"/>
  <c r="F22"/>
  <c r="E15" i="4"/>
  <c r="G12"/>
  <c r="F10" i="5"/>
  <c r="F40"/>
  <c r="F25"/>
  <c r="G13" i="4"/>
  <c r="F11" i="5"/>
  <c r="F26"/>
  <c r="F41"/>
  <c r="F24"/>
  <c r="G11" i="4"/>
  <c r="C50" i="5" s="1"/>
  <c r="E50" s="1"/>
  <c r="F50" s="1"/>
  <c r="C53" s="1"/>
  <c r="D53" s="1"/>
  <c r="E53" s="1"/>
  <c r="F53" s="1"/>
  <c r="F39"/>
  <c r="F9"/>
  <c r="H41" i="3"/>
  <c r="F12" i="9" l="1"/>
  <c r="H12" s="1"/>
  <c r="L41" i="12" s="1"/>
  <c r="G9" i="10"/>
  <c r="M15" i="20"/>
  <c r="M14"/>
  <c r="G8" i="10"/>
  <c r="E20"/>
  <c r="G20" s="1"/>
  <c r="P10" i="11"/>
  <c r="I10" i="16" s="1"/>
  <c r="D24" i="23"/>
  <c r="F24" s="1"/>
  <c r="F10"/>
  <c r="E23"/>
  <c r="G23" s="1"/>
  <c r="G9"/>
  <c r="L15" i="15"/>
  <c r="M15" s="1"/>
  <c r="L14"/>
  <c r="E22" i="23"/>
  <c r="G22" s="1"/>
  <c r="G8"/>
  <c r="F10" i="14"/>
  <c r="D24"/>
  <c r="F24" s="1"/>
  <c r="G10" i="23"/>
  <c r="E24"/>
  <c r="G24" s="1"/>
  <c r="G6"/>
  <c r="E20"/>
  <c r="G20" s="1"/>
  <c r="D22"/>
  <c r="F22" s="1"/>
  <c r="F8"/>
  <c r="E23" i="19"/>
  <c r="G23" s="1"/>
  <c r="G9"/>
  <c r="D23" i="23"/>
  <c r="F23" s="1"/>
  <c r="F9"/>
  <c r="E22" i="14"/>
  <c r="G22" s="1"/>
  <c r="G8"/>
  <c r="L14" i="20"/>
  <c r="L15"/>
  <c r="F10" i="19"/>
  <c r="D24"/>
  <c r="F24" s="1"/>
  <c r="E24"/>
  <c r="G24" s="1"/>
  <c r="G10"/>
  <c r="E20" i="14"/>
  <c r="G20" s="1"/>
  <c r="G6"/>
  <c r="D22" i="19"/>
  <c r="F22" s="1"/>
  <c r="F8"/>
  <c r="E23" i="14"/>
  <c r="G23" s="1"/>
  <c r="G9"/>
  <c r="F9"/>
  <c r="D23"/>
  <c r="F23" s="1"/>
  <c r="G10" i="10"/>
  <c r="D23" i="19"/>
  <c r="F23" s="1"/>
  <c r="F9"/>
  <c r="E22"/>
  <c r="G22" s="1"/>
  <c r="G8"/>
  <c r="E24" i="14"/>
  <c r="G24" s="1"/>
  <c r="G10"/>
  <c r="E20" i="19"/>
  <c r="G20" s="1"/>
  <c r="G6"/>
  <c r="D22" i="14"/>
  <c r="F22" s="1"/>
  <c r="F8"/>
  <c r="M15" i="24"/>
  <c r="L14"/>
  <c r="L15"/>
  <c r="F11"/>
  <c r="G11" s="1"/>
  <c r="F11" i="20"/>
  <c r="G11" s="1"/>
  <c r="F11" i="15"/>
  <c r="G11" s="1"/>
  <c r="I10"/>
  <c r="P10"/>
  <c r="P10" i="24"/>
  <c r="I10"/>
  <c r="P10" i="20"/>
  <c r="I10"/>
  <c r="F26" i="11"/>
  <c r="F26" i="24"/>
  <c r="G26" s="1"/>
  <c r="C22" i="16"/>
  <c r="F26" i="15"/>
  <c r="G26" s="1"/>
  <c r="F26" i="20"/>
  <c r="F12" i="22"/>
  <c r="H12" s="1"/>
  <c r="F12" i="18"/>
  <c r="H12" s="1"/>
  <c r="F12" i="13"/>
  <c r="H12" s="1"/>
  <c r="O45" i="17"/>
  <c r="D10" i="8"/>
  <c r="E10" s="1"/>
  <c r="I26" i="11"/>
  <c r="J26" s="1"/>
  <c r="K26" s="1"/>
  <c r="P26"/>
  <c r="L15"/>
  <c r="M15" s="1"/>
  <c r="L14"/>
  <c r="G11" i="7"/>
  <c r="E15" i="8"/>
  <c r="I15" s="1"/>
  <c r="F11" i="11"/>
  <c r="G11" s="1"/>
  <c r="F10" i="10"/>
  <c r="D24"/>
  <c r="F24" s="1"/>
  <c r="G8" i="9"/>
  <c r="F8" i="10"/>
  <c r="D22"/>
  <c r="F22" s="1"/>
  <c r="D23"/>
  <c r="F23" s="1"/>
  <c r="F9"/>
  <c r="J7" i="8"/>
  <c r="G7"/>
  <c r="I7"/>
  <c r="H7"/>
  <c r="K7"/>
  <c r="D19"/>
  <c r="E11"/>
  <c r="F43" i="5"/>
  <c r="H43" s="1"/>
  <c r="F28"/>
  <c r="H28" s="1"/>
  <c r="F13"/>
  <c r="H13" s="1"/>
  <c r="G10" i="12" l="1"/>
  <c r="G6" i="5"/>
  <c r="C45"/>
  <c r="C14" i="18"/>
  <c r="C14" i="22"/>
  <c r="Q15" i="15"/>
  <c r="N15"/>
  <c r="N14" s="1"/>
  <c r="M14" s="1"/>
  <c r="Q14" s="1"/>
  <c r="C30" i="5"/>
  <c r="Q15" i="24"/>
  <c r="N15"/>
  <c r="N14" s="1"/>
  <c r="M14" s="1"/>
  <c r="Q14" s="1"/>
  <c r="Q15" i="20"/>
  <c r="N15"/>
  <c r="N14" s="1"/>
  <c r="Q14" s="1"/>
  <c r="F22" i="11"/>
  <c r="I22" s="1"/>
  <c r="J22" s="1"/>
  <c r="K22" s="1"/>
  <c r="F22" i="24"/>
  <c r="G22" s="1"/>
  <c r="C19" i="16"/>
  <c r="F22" i="15"/>
  <c r="F22" i="20"/>
  <c r="J10" i="15"/>
  <c r="K10" s="1"/>
  <c r="J10" i="20"/>
  <c r="K10" s="1"/>
  <c r="J10" i="24"/>
  <c r="K10" s="1"/>
  <c r="I11" i="15"/>
  <c r="J11" s="1"/>
  <c r="K11" s="1"/>
  <c r="P11"/>
  <c r="G10" i="21"/>
  <c r="O10" i="16"/>
  <c r="R10"/>
  <c r="G10" i="25"/>
  <c r="P11" i="20"/>
  <c r="I11"/>
  <c r="J11" s="1"/>
  <c r="K11" s="1"/>
  <c r="G10" i="17"/>
  <c r="L10" i="16"/>
  <c r="I11" i="24"/>
  <c r="J11" s="1"/>
  <c r="K11" s="1"/>
  <c r="P11"/>
  <c r="G26" i="20"/>
  <c r="P26" i="15"/>
  <c r="I26"/>
  <c r="F27" i="24"/>
  <c r="G27" s="1"/>
  <c r="F27" i="15"/>
  <c r="G27" s="1"/>
  <c r="F27" i="20"/>
  <c r="I26" i="24"/>
  <c r="P26"/>
  <c r="L41" i="25"/>
  <c r="N41" s="1"/>
  <c r="L41" i="17"/>
  <c r="C5" i="14"/>
  <c r="C14" i="13"/>
  <c r="G5"/>
  <c r="G14" i="12"/>
  <c r="I22" i="16"/>
  <c r="P22" i="11"/>
  <c r="K15" i="8"/>
  <c r="D18"/>
  <c r="E18" s="1"/>
  <c r="Q15" i="11"/>
  <c r="N15"/>
  <c r="N14" s="1"/>
  <c r="M14" s="1"/>
  <c r="Q14" s="1"/>
  <c r="G15" i="8"/>
  <c r="I11" i="11"/>
  <c r="I12" s="1"/>
  <c r="P11"/>
  <c r="N41" i="12"/>
  <c r="L49"/>
  <c r="N49" s="1"/>
  <c r="F23" i="11"/>
  <c r="E19" i="8"/>
  <c r="G19" s="1"/>
  <c r="F27" i="11"/>
  <c r="H15" i="8"/>
  <c r="J15"/>
  <c r="C14" i="9"/>
  <c r="C5" i="10"/>
  <c r="G5" i="9"/>
  <c r="G10" i="8"/>
  <c r="K10"/>
  <c r="I10"/>
  <c r="H10"/>
  <c r="J10"/>
  <c r="J11"/>
  <c r="K11"/>
  <c r="I11"/>
  <c r="H11"/>
  <c r="G11"/>
  <c r="G24" i="5"/>
  <c r="H18" i="6"/>
  <c r="F9" i="7" s="1"/>
  <c r="G9" i="5"/>
  <c r="C15"/>
  <c r="G36" l="1"/>
  <c r="G5" i="18"/>
  <c r="G5" i="22"/>
  <c r="C5" i="23"/>
  <c r="D5" s="1"/>
  <c r="D12" s="1"/>
  <c r="L41" i="21"/>
  <c r="N41" s="1"/>
  <c r="C5" i="19"/>
  <c r="C19" s="1"/>
  <c r="C26" s="1"/>
  <c r="I27" i="25"/>
  <c r="J27" s="1"/>
  <c r="Q14" i="16"/>
  <c r="I11" i="17"/>
  <c r="J11" s="1"/>
  <c r="K13" i="16"/>
  <c r="N14"/>
  <c r="I27" i="21"/>
  <c r="J27" s="1"/>
  <c r="I27" i="17"/>
  <c r="J27" s="1"/>
  <c r="K14" i="16"/>
  <c r="I11" i="25"/>
  <c r="J11" s="1"/>
  <c r="Q13" i="16"/>
  <c r="I11" i="21"/>
  <c r="J11" s="1"/>
  <c r="N13" i="16"/>
  <c r="G21" i="5"/>
  <c r="H15" i="6"/>
  <c r="F6" i="7" s="1"/>
  <c r="I27" i="12"/>
  <c r="J27" s="1"/>
  <c r="H14" i="16"/>
  <c r="I11" i="12"/>
  <c r="J11" s="1"/>
  <c r="H13" i="16"/>
  <c r="K18" i="8"/>
  <c r="H18"/>
  <c r="J18"/>
  <c r="F23" i="24"/>
  <c r="G23" s="1"/>
  <c r="F23" i="20"/>
  <c r="F23" i="15"/>
  <c r="P22" i="24"/>
  <c r="I22"/>
  <c r="I12" i="20"/>
  <c r="G12" s="1"/>
  <c r="I12" i="24"/>
  <c r="G12" s="1"/>
  <c r="J11" i="11"/>
  <c r="K11" s="1"/>
  <c r="G26" i="17"/>
  <c r="L11" i="16"/>
  <c r="R11"/>
  <c r="G26" i="25"/>
  <c r="G26" i="12"/>
  <c r="I11" i="16"/>
  <c r="G26" i="21"/>
  <c r="O11" i="16"/>
  <c r="I12" i="15"/>
  <c r="I19" i="8"/>
  <c r="L22" i="16"/>
  <c r="G14" i="17"/>
  <c r="G27" i="20"/>
  <c r="I27" i="15"/>
  <c r="J27" s="1"/>
  <c r="K27" s="1"/>
  <c r="P27"/>
  <c r="I26" i="20"/>
  <c r="P26"/>
  <c r="R22" i="16"/>
  <c r="G14" i="25"/>
  <c r="P27" i="24"/>
  <c r="I27"/>
  <c r="J27" s="1"/>
  <c r="K27" s="1"/>
  <c r="J26"/>
  <c r="K26" s="1"/>
  <c r="J26" i="15"/>
  <c r="K26" s="1"/>
  <c r="L49" i="25"/>
  <c r="N49" s="1"/>
  <c r="C19" i="14"/>
  <c r="D5"/>
  <c r="C12"/>
  <c r="E5"/>
  <c r="L49" i="17"/>
  <c r="N49" s="1"/>
  <c r="N41"/>
  <c r="G13" i="12"/>
  <c r="I19" i="16"/>
  <c r="I18" i="8"/>
  <c r="G18"/>
  <c r="I27" i="11"/>
  <c r="J27" s="1"/>
  <c r="K27" s="1"/>
  <c r="P27"/>
  <c r="I23"/>
  <c r="J23" s="1"/>
  <c r="K23" s="1"/>
  <c r="P23"/>
  <c r="K19" i="8"/>
  <c r="H19"/>
  <c r="J12" i="11"/>
  <c r="G12"/>
  <c r="J19" i="8"/>
  <c r="C12" i="10"/>
  <c r="E5"/>
  <c r="D5"/>
  <c r="C19"/>
  <c r="G9" i="7"/>
  <c r="D9" i="8"/>
  <c r="D5" i="19" l="1"/>
  <c r="F5" s="1"/>
  <c r="E5" i="23"/>
  <c r="G5" s="1"/>
  <c r="F5"/>
  <c r="H8" i="20"/>
  <c r="H30" s="1"/>
  <c r="C19" i="23"/>
  <c r="H8" i="24" s="1"/>
  <c r="H30" s="1"/>
  <c r="L49" i="21"/>
  <c r="N49" s="1"/>
  <c r="D19" i="23"/>
  <c r="D26" s="1"/>
  <c r="E5" i="19"/>
  <c r="E19" s="1"/>
  <c r="E26" s="1"/>
  <c r="C12" i="23"/>
  <c r="C12" i="19"/>
  <c r="J43" i="12"/>
  <c r="O43" s="1"/>
  <c r="J43" i="25"/>
  <c r="O43" s="1"/>
  <c r="J43" i="17"/>
  <c r="O43" s="1"/>
  <c r="J12" i="24"/>
  <c r="K12" s="1"/>
  <c r="J12" i="20"/>
  <c r="K12" s="1"/>
  <c r="G6" i="7"/>
  <c r="D6" i="8"/>
  <c r="J43" i="21"/>
  <c r="O43" s="1"/>
  <c r="J22" i="24"/>
  <c r="K22" s="1"/>
  <c r="I23"/>
  <c r="J23" s="1"/>
  <c r="K23" s="1"/>
  <c r="P23"/>
  <c r="G13" i="25"/>
  <c r="R19" i="16"/>
  <c r="J12" i="15"/>
  <c r="G12"/>
  <c r="I28" i="24"/>
  <c r="G28" s="1"/>
  <c r="I28" i="15"/>
  <c r="J28" s="1"/>
  <c r="G30" i="25"/>
  <c r="R23" i="16"/>
  <c r="J26" i="20"/>
  <c r="K26" s="1"/>
  <c r="L23" i="16"/>
  <c r="G30" i="17"/>
  <c r="O22" i="16"/>
  <c r="G14" i="21"/>
  <c r="P27" i="20"/>
  <c r="I27"/>
  <c r="J27" s="1"/>
  <c r="K27" s="1"/>
  <c r="G5" i="14"/>
  <c r="E19"/>
  <c r="E12"/>
  <c r="G18" i="11"/>
  <c r="P18" s="1"/>
  <c r="G18" i="24"/>
  <c r="G18" i="15"/>
  <c r="G18" i="20"/>
  <c r="D12" i="14"/>
  <c r="F5"/>
  <c r="D19"/>
  <c r="H8" i="15"/>
  <c r="C26" i="14"/>
  <c r="G30" i="12"/>
  <c r="I23" i="16"/>
  <c r="G29" i="12"/>
  <c r="I20" i="16"/>
  <c r="I28" i="11"/>
  <c r="G28" s="1"/>
  <c r="I24"/>
  <c r="J24" s="1"/>
  <c r="K12"/>
  <c r="N12"/>
  <c r="H8"/>
  <c r="C26" i="10"/>
  <c r="G5"/>
  <c r="E19"/>
  <c r="E12"/>
  <c r="F5"/>
  <c r="D12"/>
  <c r="D19"/>
  <c r="E9" i="8"/>
  <c r="D17"/>
  <c r="E12" i="23" l="1"/>
  <c r="D19" i="19"/>
  <c r="D26" s="1"/>
  <c r="H6" i="24"/>
  <c r="H7" s="1"/>
  <c r="D12" i="19"/>
  <c r="G19"/>
  <c r="H6" i="20"/>
  <c r="H7" s="1"/>
  <c r="F19" i="23"/>
  <c r="E19"/>
  <c r="E26" s="1"/>
  <c r="C26"/>
  <c r="G5" i="19"/>
  <c r="E12"/>
  <c r="J28" i="24"/>
  <c r="N28" s="1"/>
  <c r="N12" i="20"/>
  <c r="N12" i="24"/>
  <c r="F6" i="15"/>
  <c r="G6" s="1"/>
  <c r="D14" i="8"/>
  <c r="E6"/>
  <c r="F6" i="20"/>
  <c r="G6" s="1"/>
  <c r="F6" i="24"/>
  <c r="G6" s="1"/>
  <c r="F6" i="11"/>
  <c r="G6" s="1"/>
  <c r="C7" i="16"/>
  <c r="R20"/>
  <c r="G29" i="25"/>
  <c r="I24" i="24"/>
  <c r="L11" i="20"/>
  <c r="M11" s="1"/>
  <c r="L10"/>
  <c r="K12" i="15"/>
  <c r="N12"/>
  <c r="M11" i="24"/>
  <c r="L11"/>
  <c r="L10"/>
  <c r="G28" i="15"/>
  <c r="K28"/>
  <c r="N28"/>
  <c r="K28" i="24"/>
  <c r="O23" i="16"/>
  <c r="G30" i="21"/>
  <c r="I28" i="20"/>
  <c r="C28" i="19"/>
  <c r="I18" i="11"/>
  <c r="J18" s="1"/>
  <c r="K18" s="1"/>
  <c r="G12" i="12"/>
  <c r="I16" i="16"/>
  <c r="P18" i="20"/>
  <c r="I18"/>
  <c r="G19" i="24"/>
  <c r="G19" i="20"/>
  <c r="G19" i="15"/>
  <c r="H30"/>
  <c r="H32" s="1"/>
  <c r="H6"/>
  <c r="H32" i="24"/>
  <c r="D26" i="14"/>
  <c r="F19"/>
  <c r="I18" i="15"/>
  <c r="P18"/>
  <c r="H32" i="20"/>
  <c r="E26" i="14"/>
  <c r="G19"/>
  <c r="I18" i="24"/>
  <c r="P18"/>
  <c r="J28" i="11"/>
  <c r="K28" s="1"/>
  <c r="M27" s="1"/>
  <c r="G24"/>
  <c r="L10"/>
  <c r="L11"/>
  <c r="M11" s="1"/>
  <c r="K24"/>
  <c r="M22" s="1"/>
  <c r="N24"/>
  <c r="H6"/>
  <c r="F19" i="10"/>
  <c r="D26"/>
  <c r="G19"/>
  <c r="E26"/>
  <c r="H30" i="11"/>
  <c r="H32" s="1"/>
  <c r="E17" i="8"/>
  <c r="I17" s="1"/>
  <c r="G19" i="11"/>
  <c r="H9" i="8"/>
  <c r="G9"/>
  <c r="K9"/>
  <c r="J9"/>
  <c r="I9"/>
  <c r="F19" i="19" l="1"/>
  <c r="G19" i="23"/>
  <c r="C28"/>
  <c r="F7" i="15"/>
  <c r="G7" s="1"/>
  <c r="F7" i="24"/>
  <c r="G7" s="1"/>
  <c r="F7" i="11"/>
  <c r="G7" s="1"/>
  <c r="E14" i="8"/>
  <c r="F7" i="20"/>
  <c r="G7" s="1"/>
  <c r="I6" i="24"/>
  <c r="J6" s="1"/>
  <c r="K6" s="1"/>
  <c r="P6"/>
  <c r="I6" i="15"/>
  <c r="J6" s="1"/>
  <c r="K6" s="1"/>
  <c r="P6"/>
  <c r="P6" i="11"/>
  <c r="I6"/>
  <c r="J6" s="1"/>
  <c r="K6" s="1"/>
  <c r="J6" i="8"/>
  <c r="I6"/>
  <c r="H6"/>
  <c r="G6"/>
  <c r="K6"/>
  <c r="P6" i="20"/>
  <c r="I6"/>
  <c r="J6" s="1"/>
  <c r="K6" s="1"/>
  <c r="Q27" i="11"/>
  <c r="N27"/>
  <c r="G24" i="24"/>
  <c r="J24"/>
  <c r="L10" i="15"/>
  <c r="L11"/>
  <c r="M11" s="1"/>
  <c r="N11" i="24"/>
  <c r="N10" s="1"/>
  <c r="M10" s="1"/>
  <c r="Q10" s="1"/>
  <c r="Q11"/>
  <c r="Q11" i="20"/>
  <c r="N11"/>
  <c r="N10" s="1"/>
  <c r="M10" s="1"/>
  <c r="Q10" s="1"/>
  <c r="M27" i="24"/>
  <c r="L26"/>
  <c r="L27"/>
  <c r="M27" i="15"/>
  <c r="L26"/>
  <c r="L27"/>
  <c r="G28" i="20"/>
  <c r="J28"/>
  <c r="G17" i="8"/>
  <c r="K17"/>
  <c r="J17"/>
  <c r="H17"/>
  <c r="C28" i="14"/>
  <c r="J18" i="24"/>
  <c r="K18" s="1"/>
  <c r="J18" i="20"/>
  <c r="K18" s="1"/>
  <c r="G12" i="17"/>
  <c r="L16" i="16"/>
  <c r="P19" i="15"/>
  <c r="I19"/>
  <c r="J19" s="1"/>
  <c r="K19" s="1"/>
  <c r="G12" i="21"/>
  <c r="O16" i="16"/>
  <c r="P19" i="24"/>
  <c r="I19"/>
  <c r="J19" s="1"/>
  <c r="K19" s="1"/>
  <c r="R16" i="16"/>
  <c r="G12" i="25"/>
  <c r="J18" i="15"/>
  <c r="K18" s="1"/>
  <c r="H7"/>
  <c r="P19" i="20"/>
  <c r="I19"/>
  <c r="J19" s="1"/>
  <c r="K19" s="1"/>
  <c r="N28" i="11"/>
  <c r="C28" i="10"/>
  <c r="I19" i="11"/>
  <c r="J19" s="1"/>
  <c r="K19" s="1"/>
  <c r="P19"/>
  <c r="N11"/>
  <c r="N10" s="1"/>
  <c r="M10" s="1"/>
  <c r="Q10" s="1"/>
  <c r="Q11"/>
  <c r="L26"/>
  <c r="L27"/>
  <c r="L22"/>
  <c r="L23"/>
  <c r="H7"/>
  <c r="I7" i="16" l="1"/>
  <c r="G9" i="12"/>
  <c r="G9" i="21"/>
  <c r="O7" i="16"/>
  <c r="G9" i="17"/>
  <c r="L7" i="16"/>
  <c r="I7" i="20"/>
  <c r="P7"/>
  <c r="I7" i="15"/>
  <c r="I8" s="1"/>
  <c r="P7"/>
  <c r="I7" i="24"/>
  <c r="P7"/>
  <c r="R7" i="16"/>
  <c r="G9" i="25"/>
  <c r="I7" i="11"/>
  <c r="I8" s="1"/>
  <c r="P7"/>
  <c r="G14" i="8"/>
  <c r="H14"/>
  <c r="J14"/>
  <c r="I14"/>
  <c r="K14"/>
  <c r="N26" i="11"/>
  <c r="M26" s="1"/>
  <c r="Q26" s="1"/>
  <c r="I30" i="12"/>
  <c r="J30" s="1"/>
  <c r="H23" i="16"/>
  <c r="K24" i="24"/>
  <c r="N24"/>
  <c r="N10" i="16"/>
  <c r="H10" i="21"/>
  <c r="J10" s="1"/>
  <c r="N11" i="15"/>
  <c r="N10" s="1"/>
  <c r="M10" s="1"/>
  <c r="Q10" s="1"/>
  <c r="Q11"/>
  <c r="N11" i="16"/>
  <c r="H26" i="21"/>
  <c r="J26" s="1"/>
  <c r="H26" i="12"/>
  <c r="J26" s="1"/>
  <c r="H11" i="16"/>
  <c r="Q11"/>
  <c r="H26" i="25"/>
  <c r="J26" s="1"/>
  <c r="H10" i="12"/>
  <c r="J10" s="1"/>
  <c r="J42" s="1"/>
  <c r="O42" s="1"/>
  <c r="H10" i="16"/>
  <c r="H10" i="25"/>
  <c r="J10" s="1"/>
  <c r="Q10" i="16"/>
  <c r="Q27" i="24"/>
  <c r="N27"/>
  <c r="N26" s="1"/>
  <c r="M26" s="1"/>
  <c r="Q26" s="1"/>
  <c r="K28" i="20"/>
  <c r="N28"/>
  <c r="Q27" i="15"/>
  <c r="N27"/>
  <c r="N26" s="1"/>
  <c r="M26" s="1"/>
  <c r="Q26" s="1"/>
  <c r="I20" i="24"/>
  <c r="G20" s="1"/>
  <c r="G28" i="12"/>
  <c r="I17" i="16"/>
  <c r="I20" i="15"/>
  <c r="G28" i="25"/>
  <c r="R17" i="16"/>
  <c r="G28" i="17"/>
  <c r="L17" i="16"/>
  <c r="I20" i="20"/>
  <c r="G28" i="21"/>
  <c r="O17" i="16"/>
  <c r="N22" i="11"/>
  <c r="Q22"/>
  <c r="I20"/>
  <c r="J20" s="1"/>
  <c r="J7" i="15" l="1"/>
  <c r="K7" s="1"/>
  <c r="G8" i="11"/>
  <c r="J8"/>
  <c r="I8" i="24"/>
  <c r="J7"/>
  <c r="K7" s="1"/>
  <c r="G8" i="15"/>
  <c r="J8"/>
  <c r="G25" i="12"/>
  <c r="I8" i="16"/>
  <c r="G25" i="25"/>
  <c r="R8" i="16"/>
  <c r="L8"/>
  <c r="G25" i="17"/>
  <c r="I8" i="20"/>
  <c r="J7"/>
  <c r="K7" s="1"/>
  <c r="G25" i="21"/>
  <c r="O8" i="16"/>
  <c r="J7" i="11"/>
  <c r="K7" s="1"/>
  <c r="I14" i="12"/>
  <c r="J14" s="1"/>
  <c r="J46" s="1"/>
  <c r="O46" s="1"/>
  <c r="H22" i="16"/>
  <c r="M22" i="24"/>
  <c r="L23"/>
  <c r="L22"/>
  <c r="J42" i="21"/>
  <c r="O42" s="1"/>
  <c r="J42" i="25"/>
  <c r="O42" s="1"/>
  <c r="H26" i="17"/>
  <c r="J26" s="1"/>
  <c r="K11" i="16"/>
  <c r="H10" i="17"/>
  <c r="J10" s="1"/>
  <c r="K10" i="16"/>
  <c r="M27" i="20"/>
  <c r="L26"/>
  <c r="L27"/>
  <c r="I14" i="17"/>
  <c r="J14" s="1"/>
  <c r="K22" i="16"/>
  <c r="I14" i="25"/>
  <c r="J14" s="1"/>
  <c r="Q22" i="16"/>
  <c r="I30" i="17"/>
  <c r="J30" s="1"/>
  <c r="K23" i="16"/>
  <c r="Q23"/>
  <c r="I30" i="25"/>
  <c r="J30" s="1"/>
  <c r="J20" i="24"/>
  <c r="K20" s="1"/>
  <c r="G20" i="11"/>
  <c r="J20" i="20"/>
  <c r="G20"/>
  <c r="J20" i="15"/>
  <c r="G20"/>
  <c r="N23" i="11"/>
  <c r="M23" s="1"/>
  <c r="Q23" s="1"/>
  <c r="H20" i="16" s="1"/>
  <c r="I13" i="12"/>
  <c r="J13" s="1"/>
  <c r="H19" i="16"/>
  <c r="K20" i="11"/>
  <c r="N20"/>
  <c r="K8" l="1"/>
  <c r="N8"/>
  <c r="G8" i="24"/>
  <c r="J8"/>
  <c r="G8" i="20"/>
  <c r="J8"/>
  <c r="N8" i="15"/>
  <c r="K8"/>
  <c r="N22" i="24"/>
  <c r="N23" s="1"/>
  <c r="M23" s="1"/>
  <c r="Q23" s="1"/>
  <c r="Q22"/>
  <c r="J42" i="17"/>
  <c r="O42" s="1"/>
  <c r="J46" i="25"/>
  <c r="O46" s="1"/>
  <c r="J46" i="17"/>
  <c r="O46" s="1"/>
  <c r="Q27" i="20"/>
  <c r="N27"/>
  <c r="N26" s="1"/>
  <c r="M26" s="1"/>
  <c r="Q26" s="1"/>
  <c r="N20" i="24"/>
  <c r="K20" i="15"/>
  <c r="N20"/>
  <c r="M19" i="24"/>
  <c r="L18"/>
  <c r="L19"/>
  <c r="K20" i="20"/>
  <c r="N20"/>
  <c r="I29" i="12"/>
  <c r="J29" s="1"/>
  <c r="J45" s="1"/>
  <c r="O45" s="1"/>
  <c r="L18" i="11"/>
  <c r="L19"/>
  <c r="M19" s="1"/>
  <c r="N8" i="20" l="1"/>
  <c r="K8"/>
  <c r="L7" i="11"/>
  <c r="L6"/>
  <c r="M6" s="1"/>
  <c r="L7" i="15"/>
  <c r="L6"/>
  <c r="M6" s="1"/>
  <c r="K8" i="24"/>
  <c r="N8"/>
  <c r="Q19" i="16"/>
  <c r="I13" i="25"/>
  <c r="J13" s="1"/>
  <c r="I29"/>
  <c r="J29" s="1"/>
  <c r="Q20" i="16"/>
  <c r="I30" i="21"/>
  <c r="J30" s="1"/>
  <c r="N23" i="16"/>
  <c r="I14" i="21"/>
  <c r="J14" s="1"/>
  <c r="N22" i="16"/>
  <c r="L19" i="20"/>
  <c r="M19" s="1"/>
  <c r="L18"/>
  <c r="N19" i="24"/>
  <c r="N18" s="1"/>
  <c r="M18" s="1"/>
  <c r="Q18" s="1"/>
  <c r="Q19"/>
  <c r="L18" i="15"/>
  <c r="L19"/>
  <c r="M19" s="1"/>
  <c r="Q19" i="11"/>
  <c r="N19"/>
  <c r="N18" s="1"/>
  <c r="M18" s="1"/>
  <c r="Q18" s="1"/>
  <c r="N6" i="15" l="1"/>
  <c r="N7" s="1"/>
  <c r="M7" s="1"/>
  <c r="Q7" s="1"/>
  <c r="Q6"/>
  <c r="L6" i="20"/>
  <c r="M6" s="1"/>
  <c r="L7"/>
  <c r="L6" i="24"/>
  <c r="L7"/>
  <c r="M6"/>
  <c r="Q6" i="11"/>
  <c r="N6"/>
  <c r="N7" s="1"/>
  <c r="M7" s="1"/>
  <c r="Q7" s="1"/>
  <c r="J45" i="25"/>
  <c r="O45" s="1"/>
  <c r="J46" i="21"/>
  <c r="O46" s="1"/>
  <c r="H12" i="12"/>
  <c r="J12" s="1"/>
  <c r="H16" i="16"/>
  <c r="H28" i="12"/>
  <c r="J28" s="1"/>
  <c r="H17" i="16"/>
  <c r="Q19" i="15"/>
  <c r="N19"/>
  <c r="N18" s="1"/>
  <c r="M18" s="1"/>
  <c r="Q18" s="1"/>
  <c r="H28" i="25"/>
  <c r="J28" s="1"/>
  <c r="Q17" i="16"/>
  <c r="H12" i="25"/>
  <c r="J12" s="1"/>
  <c r="Q16" i="16"/>
  <c r="Q19" i="20"/>
  <c r="N19"/>
  <c r="N18" s="1"/>
  <c r="M18" s="1"/>
  <c r="Q18" s="1"/>
  <c r="H8" i="16" l="1"/>
  <c r="H25" i="12"/>
  <c r="J25" s="1"/>
  <c r="J33" s="1"/>
  <c r="K8" i="16"/>
  <c r="H25" i="17"/>
  <c r="J25" s="1"/>
  <c r="K7" i="16"/>
  <c r="H9" i="17"/>
  <c r="J9" s="1"/>
  <c r="N6" i="24"/>
  <c r="N7" s="1"/>
  <c r="M7" s="1"/>
  <c r="Q7" s="1"/>
  <c r="Q6"/>
  <c r="N6" i="20"/>
  <c r="N7" s="1"/>
  <c r="M7" s="1"/>
  <c r="Q7" s="1"/>
  <c r="Q6"/>
  <c r="H7" i="16"/>
  <c r="H9" i="12"/>
  <c r="J9" s="1"/>
  <c r="J17" s="1"/>
  <c r="J44"/>
  <c r="O44" s="1"/>
  <c r="H12" i="17"/>
  <c r="J12" s="1"/>
  <c r="K16" i="16"/>
  <c r="N17"/>
  <c r="H28" i="21"/>
  <c r="J28" s="1"/>
  <c r="N16" i="16"/>
  <c r="H12" i="21"/>
  <c r="J12" s="1"/>
  <c r="J44" i="25"/>
  <c r="H28" i="17"/>
  <c r="J28" s="1"/>
  <c r="K17" i="16"/>
  <c r="J17" i="17" l="1"/>
  <c r="J41"/>
  <c r="O41" s="1"/>
  <c r="J41" i="12"/>
  <c r="Q8" i="16"/>
  <c r="H25" i="25"/>
  <c r="J25" s="1"/>
  <c r="J33" s="1"/>
  <c r="Q7" i="16"/>
  <c r="H9" i="25"/>
  <c r="J9" s="1"/>
  <c r="H25" i="21"/>
  <c r="J25" s="1"/>
  <c r="J33" s="1"/>
  <c r="N8" i="16"/>
  <c r="N7"/>
  <c r="H9" i="21"/>
  <c r="J9" s="1"/>
  <c r="J44" i="17"/>
  <c r="J33"/>
  <c r="O44" i="25"/>
  <c r="J44" i="21"/>
  <c r="J41" l="1"/>
  <c r="O41" s="1"/>
  <c r="O41" i="12"/>
  <c r="J49"/>
  <c r="O49" s="1"/>
  <c r="J17" i="21"/>
  <c r="J41" i="25"/>
  <c r="J17"/>
  <c r="O44" i="21"/>
  <c r="O44" i="17"/>
  <c r="J49"/>
  <c r="O49" s="1"/>
  <c r="J49" i="21" l="1"/>
  <c r="O49" s="1"/>
  <c r="O41" i="25"/>
  <c r="J49"/>
  <c r="O49" s="1"/>
</calcChain>
</file>

<file path=xl/sharedStrings.xml><?xml version="1.0" encoding="utf-8"?>
<sst xmlns="http://schemas.openxmlformats.org/spreadsheetml/2006/main" count="1045" uniqueCount="189">
  <si>
    <t>Fort Erie / Gananoque</t>
  </si>
  <si>
    <t>Existing Distribution Rates and Forecasted Loads &amp; Volumes</t>
  </si>
  <si>
    <t>Fixed Charge</t>
  </si>
  <si>
    <t>Volumetric Charge</t>
  </si>
  <si>
    <t>UOM</t>
  </si>
  <si>
    <t>Average Customer (Connection)Count</t>
  </si>
  <si>
    <t>Forecast kWh</t>
  </si>
  <si>
    <t>Forecast kW</t>
  </si>
  <si>
    <t>Residential</t>
  </si>
  <si>
    <t>kWh</t>
  </si>
  <si>
    <t>GS Less Than 50 kW</t>
  </si>
  <si>
    <t>GS 50 to 4,999 kW</t>
  </si>
  <si>
    <t>kW</t>
  </si>
  <si>
    <t>USL</t>
  </si>
  <si>
    <t>Sentinel Lighting</t>
  </si>
  <si>
    <t>Street Lighting</t>
  </si>
  <si>
    <t>Transformer Allowance</t>
  </si>
  <si>
    <t>Port Colborne</t>
  </si>
  <si>
    <t>Harmonized</t>
  </si>
  <si>
    <t>N/A</t>
  </si>
  <si>
    <t>Revenue from Existing Rates at Forecasted Loads and Volumes</t>
  </si>
  <si>
    <t>Customer Class</t>
  </si>
  <si>
    <t xml:space="preserve">Fixed Component </t>
  </si>
  <si>
    <t>Variable Component</t>
  </si>
  <si>
    <t>Distribution Revenue from Rates</t>
  </si>
  <si>
    <t>Net Class Revenue</t>
  </si>
  <si>
    <t>Revenue Share per Class</t>
  </si>
  <si>
    <t>Total</t>
  </si>
  <si>
    <t>Fixed and Variable Proportions at Existing Rates</t>
  </si>
  <si>
    <t>$</t>
  </si>
  <si>
    <t>%</t>
  </si>
  <si>
    <t>Fixed Component</t>
  </si>
  <si>
    <t>Notes:</t>
  </si>
  <si>
    <t>1. Exclusive of transformer ownership credit</t>
  </si>
  <si>
    <t>2. Revenue from Existing rates is the sum of Fort Erie / EOP plus Port Colborne</t>
  </si>
  <si>
    <t>as Determined in the Cost Allocation Study</t>
  </si>
  <si>
    <t>Allocation of Revenue Requirment including Net Income</t>
  </si>
  <si>
    <t>Deficiency Factor</t>
  </si>
  <si>
    <t>Distribution Revenue at Status Quo Rates</t>
  </si>
  <si>
    <t>Misc. Revenue</t>
  </si>
  <si>
    <t>Revenue to Cost Ratio</t>
  </si>
  <si>
    <t>Board's 2011 Policy Range</t>
  </si>
  <si>
    <t>85% - 115%</t>
  </si>
  <si>
    <t>80% - 120%</t>
  </si>
  <si>
    <t>70% - 120%</t>
  </si>
  <si>
    <t>There are two customer classes, the Unmetered Scattered Load and Sentinel Lighting, outside the Board's 2011 Policy Range.  The process to bring the revenue to cost ratios of the customer classes within the bounds of the Board's Policy is:</t>
  </si>
  <si>
    <t>Test Year Revenue to Cost Ratios</t>
  </si>
  <si>
    <t>2. Lower the highest customer class toward its upper boundary of 120% by first shifting cost to the lowest customer class, Sentinel Lighting.  Once the Sentinel Lighting customer class reaches the second lowest customer class, Residential, then continue to raise these two in unison until the USL customer class reaches its upper boundary.</t>
  </si>
  <si>
    <t>Allocation of Revenue Requirement including Net Income</t>
  </si>
  <si>
    <t>1. Raise the lower customer class, the Sentinel Lighting ,to the lower boundary of 80% and the beneficiary of the move will be the highest customer class,  USL.</t>
  </si>
  <si>
    <t>Setting Target Revenue to Cost Ratios</t>
  </si>
  <si>
    <t>Taget Revenue to Cost Ratio</t>
  </si>
  <si>
    <t>Adjusted Distribution Revenue</t>
  </si>
  <si>
    <t>Balanced?</t>
  </si>
  <si>
    <t>Step #1</t>
  </si>
  <si>
    <t>Allocation of Distribution  Revenue Requirment including Net Income</t>
  </si>
  <si>
    <t>Step #2</t>
  </si>
  <si>
    <t>Step #3</t>
  </si>
  <si>
    <t>The results shown in Step # 3 are the "Target Revenue to Cost Ratios" in accordance with the Board's 2011 Policy Range.</t>
  </si>
  <si>
    <t>Existing Fixed Component Percentage</t>
  </si>
  <si>
    <t>Fort Erie &amp; Gananoque</t>
  </si>
  <si>
    <t>Harmonized with targeted R|C Ratio</t>
  </si>
  <si>
    <t xml:space="preserve">Corresponding Monthly Fixed Charge </t>
  </si>
  <si>
    <t>Customer Unit Cost per Month Avoided Cost</t>
  </si>
  <si>
    <t>Customer Unit Cost per Month Min. System with PLCC Adj.</t>
  </si>
  <si>
    <t>Rate Design at Existing F/V Split</t>
  </si>
  <si>
    <t>Is Rate Design Within Bounds?</t>
  </si>
  <si>
    <t>Floor</t>
  </si>
  <si>
    <t>Ceiling</t>
  </si>
  <si>
    <t>Test of Harmonized Monthly Service Charge</t>
  </si>
  <si>
    <t>4. For the remaining customer classes, CNPI will target the design rates shown above as the final harmonized monthly service charge.</t>
  </si>
  <si>
    <t>1. Two customer classes, GS 50 to 4,999 kW and USL, have monthly service charges exceeding the recommended ceiling.</t>
  </si>
  <si>
    <t>Existing MSC 2012</t>
  </si>
  <si>
    <t>Target MSC</t>
  </si>
  <si>
    <t>Spread</t>
  </si>
  <si>
    <t>Over One Year</t>
  </si>
  <si>
    <t>Over Two Years</t>
  </si>
  <si>
    <t>Over Three Years</t>
  </si>
  <si>
    <t>Over Four Years</t>
  </si>
  <si>
    <t>Over Five Years</t>
  </si>
  <si>
    <t xml:space="preserve">Current R|C </t>
  </si>
  <si>
    <t>Target R|C</t>
  </si>
  <si>
    <t>25% of Spread</t>
  </si>
  <si>
    <t>2013 Target Revenue to Cost Ratios</t>
  </si>
  <si>
    <t>Targets</t>
  </si>
  <si>
    <t>Determination of 2013 Base Distribution Rates</t>
  </si>
  <si>
    <t>Revenue Requirement from Rates</t>
  </si>
  <si>
    <t>Fixed Component at Existing F/V Split</t>
  </si>
  <si>
    <t>Variable Component at Existing F/V Split</t>
  </si>
  <si>
    <t>Transformer Allowance Addback</t>
  </si>
  <si>
    <t>(Allocated to GS &gt; 50 to 4,999 kW)</t>
  </si>
  <si>
    <t xml:space="preserve"> 2013 Distribution Rates with Transformer Allowance Addback</t>
  </si>
  <si>
    <t>Revenue Requirement from Rates with Addback</t>
  </si>
  <si>
    <t>In Balance?</t>
  </si>
  <si>
    <t>Residential - FE/EOP</t>
  </si>
  <si>
    <t>Residential - Port Colborne</t>
  </si>
  <si>
    <t>GS Less Than 50 kW - FE/EOP</t>
  </si>
  <si>
    <t>GS Less Than 50 kW - Port Colborne</t>
  </si>
  <si>
    <t>GS 50 to 4,999 kW - FE/EOP</t>
  </si>
  <si>
    <t>USL - FE/EOP</t>
  </si>
  <si>
    <t>Sentinel Lighting - FE/EOP</t>
  </si>
  <si>
    <t>Street Lighting - FE/EOP</t>
  </si>
  <si>
    <t>USL - Port Colborne</t>
  </si>
  <si>
    <t>Sentinel Lighting -  Port Colborne</t>
  </si>
  <si>
    <t>Street Lighting -  Port Colborne</t>
  </si>
  <si>
    <t>Total Residential</t>
  </si>
  <si>
    <t>Total GS Less Than 50 kW</t>
  </si>
  <si>
    <t>Total GS 50 to 4,999 kW</t>
  </si>
  <si>
    <t>GS 50 to 4,999 kW - Port Colborne</t>
  </si>
  <si>
    <t>Total USL</t>
  </si>
  <si>
    <t>Total Sentinel Lighting</t>
  </si>
  <si>
    <t>Total Street Lighting</t>
  </si>
  <si>
    <t>Existing MSC</t>
  </si>
  <si>
    <t>2013 MSC</t>
  </si>
  <si>
    <t>Percentage of Total</t>
  </si>
  <si>
    <t>2013 Class Revenue Requirement</t>
  </si>
  <si>
    <t>Revenue from MSC</t>
  </si>
  <si>
    <t>Revenue from Variable Charge</t>
  </si>
  <si>
    <t>Fort Erie EOP</t>
  </si>
  <si>
    <t>Existing Variable Charge</t>
  </si>
  <si>
    <t>Calculated Variable Charge</t>
  </si>
  <si>
    <t>Spread from Total VSC</t>
  </si>
  <si>
    <t>Adjusted Variable Revenue</t>
  </si>
  <si>
    <t>Final 2013 Rates</t>
  </si>
  <si>
    <t>2013 VSC</t>
  </si>
  <si>
    <t>Rate Class</t>
  </si>
  <si>
    <t>Customers/ Connections</t>
  </si>
  <si>
    <t>Test Year Consumption</t>
  </si>
  <si>
    <t>Proposed Rates</t>
  </si>
  <si>
    <t>Revenues at Proposed Rates</t>
  </si>
  <si>
    <t>Service Revenue Requirement</t>
  </si>
  <si>
    <t>Transformer Allowance Credit</t>
  </si>
  <si>
    <t>Difference</t>
  </si>
  <si>
    <t>Average for 2013</t>
  </si>
  <si>
    <t>Monthly Service Charge</t>
  </si>
  <si>
    <t>Volumetric</t>
  </si>
  <si>
    <t>Customers</t>
  </si>
  <si>
    <t>Connections</t>
  </si>
  <si>
    <t>Revenue Reconciliation</t>
  </si>
  <si>
    <t>Fort Erie / EOP</t>
  </si>
  <si>
    <t>2014 Target Revenue to Cost Ratios</t>
  </si>
  <si>
    <t>2014 Class Revenue Requirement</t>
  </si>
  <si>
    <t>Determination of 2014 Rates</t>
  </si>
  <si>
    <t>Determination of 2013 Rates</t>
  </si>
  <si>
    <t>2014 MSC</t>
  </si>
  <si>
    <t>Final 2014 Rates</t>
  </si>
  <si>
    <t>2014 VSC</t>
  </si>
  <si>
    <t>Adjusted Variable Charge 50%</t>
  </si>
  <si>
    <t>Existing</t>
  </si>
  <si>
    <t>VSC</t>
  </si>
  <si>
    <t>MSC</t>
  </si>
  <si>
    <t>2015 Target Revenue to Cost Ratios</t>
  </si>
  <si>
    <t>Determination of 2014 Base Distribution Rates</t>
  </si>
  <si>
    <t xml:space="preserve"> 2014 Distribution Rates with Transformer Allowance Addback</t>
  </si>
  <si>
    <t>Determination of 2015 Base Distribution Rates</t>
  </si>
  <si>
    <t xml:space="preserve"> 2015 Distribution Rates with Transformer Allowance Addback</t>
  </si>
  <si>
    <t>Determination of 2015 Rates</t>
  </si>
  <si>
    <t>2015 Class Revenue Requirement</t>
  </si>
  <si>
    <t>Adjusted Variable Charge 75%</t>
  </si>
  <si>
    <t>2015 MSC</t>
  </si>
  <si>
    <t>Final 2015 Rates</t>
  </si>
  <si>
    <t>Rate Design Model</t>
  </si>
  <si>
    <t>Adjusted Variable Charge 100%</t>
  </si>
  <si>
    <t>2015 VSC</t>
  </si>
  <si>
    <t>2016 MSC</t>
  </si>
  <si>
    <t>2016 VSC</t>
  </si>
  <si>
    <t>2016 Class Revenue Requirement</t>
  </si>
  <si>
    <t>Determination of 2016 Rates</t>
  </si>
  <si>
    <t>2013 Electricity Distribution Rate Application</t>
  </si>
  <si>
    <t>EB - 2012 - 0112</t>
  </si>
  <si>
    <t>Final 2016 Rates</t>
  </si>
  <si>
    <t>Application Revenue Requirement</t>
  </si>
  <si>
    <t>Changes resulting from the Settlement Agreement</t>
  </si>
  <si>
    <t>2016 Target Revenue to Cost Ratios</t>
  </si>
  <si>
    <t>Annual Changes in Monthly Service Charge to Achieve Targets</t>
  </si>
  <si>
    <t>Total with transformer addback</t>
  </si>
  <si>
    <t xml:space="preserve">Adjusted Variable Charge </t>
  </si>
  <si>
    <t>CNPI</t>
  </si>
  <si>
    <t>Residential - PC</t>
  </si>
  <si>
    <t>GS Less Than 50 kW - PC</t>
  </si>
  <si>
    <t>GS 50 to 4,999 kW - PC</t>
  </si>
  <si>
    <t>USL - PC</t>
  </si>
  <si>
    <t>Sentinel Lighting - PC</t>
  </si>
  <si>
    <t>Street Lighting -  PC</t>
  </si>
  <si>
    <t>Draft Rate Order</t>
  </si>
  <si>
    <t>3. To move the USL customer class from 261.19% to 120% in the four years of the regulatory cycle we would target movement of 35.30 percentage points per annum.</t>
  </si>
  <si>
    <t>2. For the GS 50 to 4,999 kW customer class, CNPI will target the ceiling amount of $145.28 as the final harmonized monthly service charge.</t>
  </si>
  <si>
    <t>3. For the USL customer class, CNPI currently bills these accounts on a per customer basis. CNPI will target 50% of the design rate ($63.31) which is $31.66 per month as the final harmonized monthly service charge.</t>
  </si>
  <si>
    <t>November 26, 2012</t>
  </si>
</sst>
</file>

<file path=xl/styles.xml><?xml version="1.0" encoding="utf-8"?>
<styleSheet xmlns="http://schemas.openxmlformats.org/spreadsheetml/2006/main">
  <numFmts count="13">
    <numFmt numFmtId="44" formatCode="_-&quot;$&quot;* #,##0.00_-;\-&quot;$&quot;* #,##0.00_-;_-&quot;$&quot;* &quot;-&quot;??_-;_-@_-"/>
    <numFmt numFmtId="43" formatCode="_-* #,##0.00_-;\-* #,##0.00_-;_-* &quot;-&quot;??_-;_-@_-"/>
    <numFmt numFmtId="164" formatCode="_(&quot;$&quot;* #,##0.0000_);_(&quot;$&quot;* \(#,##0.0000\);_(&quot;$&quot;* &quot;-&quot;??_);_(@_)"/>
    <numFmt numFmtId="165" formatCode="_(* #,##0_);_(* \(#,##0\);_(* &quot;-&quot;??_);_(@_)"/>
    <numFmt numFmtId="166" formatCode="_(&quot;$&quot;* #,##0.00_);_(&quot;$&quot;* \(#,##0.00\);_(&quot;$&quot;* &quot;-&quot;??_);_(@_)"/>
    <numFmt numFmtId="167" formatCode="0.0%"/>
    <numFmt numFmtId="168" formatCode="_(&quot;$&quot;* #,##0_);_(&quot;$&quot;* \(#,##0\);_(&quot;$&quot;* &quot;-&quot;??_);_(@_)"/>
    <numFmt numFmtId="169" formatCode="_(* #,##0.00000_);_(* \(#,##0.00000\);_(* &quot;-&quot;??_);_(@_)"/>
    <numFmt numFmtId="170" formatCode="_(* #,##0.00_);_(* \(#,##0.00\);_(* &quot;-&quot;??_);_(@_)"/>
    <numFmt numFmtId="171" formatCode="_-* #,##0_-;\-* #,##0_-;_-* &quot;-&quot;??_-;_-@_-"/>
    <numFmt numFmtId="172" formatCode="_-* #,##0.0000_-;\-* #,##0.0000_-;_-* &quot;-&quot;??_-;_-@_-"/>
    <numFmt numFmtId="173" formatCode="_-&quot;$&quot;* #,##0.0000_-;\-&quot;$&quot;* #,##0.0000_-;_-&quot;$&quot;* &quot;-&quot;??_-;_-@_-"/>
    <numFmt numFmtId="174" formatCode="_-&quot;$&quot;* #,##0_-;\-&quot;$&quot;* #,##0_-;_-&quot;$&quot;* &quot;-&quot;??_-;_-@_-"/>
  </numFmts>
  <fonts count="13">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b/>
      <sz val="11"/>
      <color theme="1"/>
      <name val="Calibri"/>
      <family val="2"/>
      <scheme val="minor"/>
    </font>
    <font>
      <b/>
      <sz val="14"/>
      <name val="Arial"/>
      <family val="2"/>
    </font>
    <font>
      <b/>
      <sz val="10"/>
      <name val="Arial"/>
      <family val="2"/>
    </font>
    <font>
      <sz val="10"/>
      <color theme="1"/>
      <name val="Arial"/>
      <family val="2"/>
    </font>
    <font>
      <sz val="10"/>
      <name val="Arial"/>
      <family val="2"/>
    </font>
    <font>
      <b/>
      <sz val="16"/>
      <name val="Arial"/>
      <family val="2"/>
    </font>
    <font>
      <sz val="10"/>
      <color theme="1"/>
      <name val="Calibri"/>
      <family val="2"/>
      <scheme val="minor"/>
    </font>
    <font>
      <b/>
      <sz val="10"/>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8"/>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99"/>
        <bgColor indexed="64"/>
      </patternFill>
    </fill>
    <fill>
      <patternFill patternType="solid">
        <fgColor rgb="FF92D050"/>
        <bgColor indexed="64"/>
      </patternFill>
    </fill>
    <fill>
      <patternFill patternType="solid">
        <fgColor theme="6" tint="0.3999755851924192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3" fillId="0" borderId="0" xfId="0" applyFont="1" applyAlignment="1">
      <alignment horizontal="center" wrapText="1"/>
    </xf>
    <xf numFmtId="0" fontId="3" fillId="0" borderId="0" xfId="0" applyFont="1" applyAlignment="1">
      <alignment horizontal="center"/>
    </xf>
    <xf numFmtId="0" fontId="3" fillId="0" borderId="0" xfId="0" applyFont="1"/>
    <xf numFmtId="44" fontId="3" fillId="0" borderId="0" xfId="2" applyFont="1"/>
    <xf numFmtId="164" fontId="3" fillId="0" borderId="0" xfId="2" applyNumberFormat="1" applyFont="1"/>
    <xf numFmtId="165" fontId="3" fillId="0" borderId="0" xfId="1" applyNumberFormat="1" applyFont="1" applyAlignment="1">
      <alignment horizontal="center"/>
    </xf>
    <xf numFmtId="44" fontId="3" fillId="0" borderId="4" xfId="2" applyFont="1" applyBorder="1"/>
    <xf numFmtId="164" fontId="3" fillId="0" borderId="0" xfId="2" applyNumberFormat="1" applyFont="1" applyBorder="1"/>
    <xf numFmtId="0" fontId="3" fillId="0" borderId="0" xfId="0" applyFont="1" applyBorder="1" applyAlignment="1">
      <alignment horizontal="center"/>
    </xf>
    <xf numFmtId="165" fontId="3" fillId="0" borderId="0" xfId="1" applyNumberFormat="1" applyFont="1" applyBorder="1" applyAlignment="1">
      <alignment horizontal="center"/>
    </xf>
    <xf numFmtId="0" fontId="3" fillId="0" borderId="5" xfId="0" applyFont="1" applyBorder="1"/>
    <xf numFmtId="44" fontId="3" fillId="0" borderId="6" xfId="2" applyFont="1" applyBorder="1"/>
    <xf numFmtId="0" fontId="3" fillId="0" borderId="7" xfId="0" applyFont="1" applyBorder="1" applyAlignment="1">
      <alignment horizontal="center" wrapText="1"/>
    </xf>
    <xf numFmtId="165" fontId="3" fillId="0" borderId="7" xfId="1" applyNumberFormat="1" applyFont="1" applyBorder="1" applyAlignment="1">
      <alignment horizontal="center"/>
    </xf>
    <xf numFmtId="0" fontId="3" fillId="0" borderId="8" xfId="0" applyFont="1" applyBorder="1" applyAlignment="1">
      <alignment horizontal="center" wrapText="1"/>
    </xf>
    <xf numFmtId="166" fontId="3" fillId="0" borderId="7" xfId="2" applyNumberFormat="1" applyFont="1" applyBorder="1"/>
    <xf numFmtId="164" fontId="3" fillId="0" borderId="7" xfId="2" applyNumberFormat="1" applyFont="1" applyBorder="1"/>
    <xf numFmtId="165" fontId="3" fillId="0" borderId="8" xfId="1" applyNumberFormat="1" applyFont="1" applyBorder="1" applyAlignment="1">
      <alignment horizontal="center"/>
    </xf>
    <xf numFmtId="0" fontId="3" fillId="0" borderId="6" xfId="0" applyFont="1" applyBorder="1"/>
    <xf numFmtId="0" fontId="3" fillId="0" borderId="4" xfId="0" applyFont="1" applyBorder="1"/>
    <xf numFmtId="0" fontId="3" fillId="0" borderId="0" xfId="0" applyFont="1" applyBorder="1"/>
    <xf numFmtId="0" fontId="3" fillId="0" borderId="9" xfId="0" applyFont="1" applyBorder="1"/>
    <xf numFmtId="0" fontId="3" fillId="0" borderId="10" xfId="0" applyFont="1" applyBorder="1"/>
    <xf numFmtId="166" fontId="3" fillId="0" borderId="10" xfId="2" applyNumberFormat="1" applyFont="1" applyBorder="1"/>
    <xf numFmtId="0" fontId="3" fillId="0" borderId="10" xfId="0" applyFont="1" applyBorder="1" applyAlignment="1">
      <alignment horizontal="center"/>
    </xf>
    <xf numFmtId="165" fontId="3" fillId="0" borderId="11" xfId="1" applyNumberFormat="1" applyFont="1" applyBorder="1" applyAlignment="1">
      <alignment horizontal="center"/>
    </xf>
    <xf numFmtId="166" fontId="3" fillId="0" borderId="0" xfId="2" applyNumberFormat="1" applyFont="1"/>
    <xf numFmtId="166" fontId="3" fillId="0" borderId="4" xfId="2" applyNumberFormat="1" applyFont="1" applyBorder="1"/>
    <xf numFmtId="166" fontId="3" fillId="0" borderId="6" xfId="2" applyNumberFormat="1" applyFont="1" applyBorder="1"/>
    <xf numFmtId="166" fontId="3" fillId="0" borderId="7" xfId="2" applyNumberFormat="1" applyFont="1" applyBorder="1" applyAlignment="1">
      <alignment horizontal="center"/>
    </xf>
    <xf numFmtId="0" fontId="3" fillId="0" borderId="6" xfId="0" applyFont="1" applyBorder="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65" fontId="3" fillId="0" borderId="7" xfId="0" applyNumberFormat="1" applyFont="1" applyBorder="1"/>
    <xf numFmtId="0" fontId="3" fillId="0" borderId="7" xfId="0" applyFont="1" applyBorder="1"/>
    <xf numFmtId="167" fontId="3" fillId="0" borderId="8" xfId="3" applyNumberFormat="1" applyFont="1" applyBorder="1" applyAlignment="1">
      <alignment horizontal="center"/>
    </xf>
    <xf numFmtId="168" fontId="3" fillId="0" borderId="10" xfId="2" applyNumberFormat="1" applyFont="1" applyBorder="1" applyAlignment="1">
      <alignment horizontal="center"/>
    </xf>
    <xf numFmtId="9" fontId="3" fillId="0" borderId="10" xfId="3" applyFont="1" applyBorder="1" applyAlignment="1">
      <alignment horizontal="center"/>
    </xf>
    <xf numFmtId="168" fontId="3" fillId="0" borderId="0" xfId="2" applyNumberFormat="1" applyFont="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167" fontId="3" fillId="0" borderId="7" xfId="3" applyNumberFormat="1" applyFont="1" applyBorder="1" applyAlignment="1">
      <alignment horizontal="center"/>
    </xf>
    <xf numFmtId="165" fontId="3" fillId="0" borderId="0" xfId="0" applyNumberFormat="1" applyFont="1" applyBorder="1"/>
    <xf numFmtId="167" fontId="3" fillId="0" borderId="10" xfId="3" applyNumberFormat="1" applyFont="1" applyBorder="1" applyAlignment="1">
      <alignment horizontal="center"/>
    </xf>
    <xf numFmtId="167" fontId="3" fillId="0" borderId="11" xfId="3" applyNumberFormat="1" applyFont="1" applyBorder="1" applyAlignment="1">
      <alignment horizontal="center"/>
    </xf>
    <xf numFmtId="167" fontId="3" fillId="0" borderId="11" xfId="0" applyNumberFormat="1" applyFont="1" applyBorder="1"/>
    <xf numFmtId="0" fontId="3"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169" fontId="3" fillId="3" borderId="7" xfId="0" applyNumberFormat="1" applyFont="1" applyFill="1" applyBorder="1"/>
    <xf numFmtId="10" fontId="3" fillId="0" borderId="7" xfId="3" applyNumberFormat="1" applyFont="1" applyBorder="1"/>
    <xf numFmtId="10" fontId="3" fillId="2" borderId="7" xfId="3" applyNumberFormat="1" applyFont="1" applyFill="1" applyBorder="1"/>
    <xf numFmtId="10" fontId="3" fillId="4" borderId="7" xfId="3" applyNumberFormat="1" applyFont="1" applyFill="1" applyBorder="1"/>
    <xf numFmtId="0" fontId="3" fillId="2" borderId="7" xfId="0" applyFont="1" applyFill="1" applyBorder="1"/>
    <xf numFmtId="0" fontId="3" fillId="0" borderId="8" xfId="0" applyFont="1" applyBorder="1"/>
    <xf numFmtId="168" fontId="3" fillId="0" borderId="10" xfId="2" applyNumberFormat="1" applyFont="1" applyBorder="1"/>
    <xf numFmtId="0" fontId="3" fillId="2" borderId="10" xfId="0" applyFont="1" applyFill="1" applyBorder="1"/>
    <xf numFmtId="0" fontId="3" fillId="0" borderId="11" xfId="0" applyFont="1" applyBorder="1"/>
    <xf numFmtId="0" fontId="2" fillId="0" borderId="0" xfId="0" applyFont="1" applyAlignment="1">
      <alignment horizontal="left" wrapText="1"/>
    </xf>
    <xf numFmtId="10" fontId="3" fillId="0" borderId="7" xfId="3" applyNumberFormat="1" applyFont="1" applyFill="1" applyBorder="1"/>
    <xf numFmtId="165" fontId="3" fillId="0" borderId="8" xfId="0" applyNumberFormat="1" applyFont="1" applyBorder="1"/>
    <xf numFmtId="168" fontId="3" fillId="0" borderId="11" xfId="0" applyNumberFormat="1" applyFont="1" applyBorder="1"/>
    <xf numFmtId="0" fontId="2" fillId="0" borderId="0" xfId="0" applyFont="1"/>
    <xf numFmtId="0" fontId="2" fillId="0" borderId="0" xfId="0" applyFont="1" applyAlignment="1">
      <alignment horizontal="center"/>
    </xf>
    <xf numFmtId="10" fontId="3" fillId="5" borderId="7" xfId="3" applyNumberFormat="1" applyFont="1" applyFill="1" applyBorder="1"/>
    <xf numFmtId="0" fontId="4" fillId="0" borderId="0" xfId="0" applyFont="1"/>
    <xf numFmtId="0" fontId="3" fillId="0" borderId="0" xfId="0" applyFont="1" applyAlignment="1">
      <alignment horizontal="center"/>
    </xf>
    <xf numFmtId="0" fontId="3" fillId="0" borderId="0" xfId="0" applyFont="1" applyAlignment="1">
      <alignment wrapText="1"/>
    </xf>
    <xf numFmtId="0" fontId="3" fillId="0" borderId="6" xfId="0" applyFont="1" applyBorder="1" applyAlignment="1">
      <alignment horizontal="center" vertical="center" wrapText="1"/>
    </xf>
    <xf numFmtId="170" fontId="3" fillId="0" borderId="8" xfId="0" applyNumberFormat="1" applyFont="1" applyBorder="1" applyAlignment="1">
      <alignment horizontal="center"/>
    </xf>
    <xf numFmtId="170" fontId="3" fillId="0" borderId="11" xfId="0" applyNumberFormat="1" applyFont="1" applyBorder="1" applyAlignment="1">
      <alignment horizontal="center"/>
    </xf>
    <xf numFmtId="44" fontId="3" fillId="0" borderId="7" xfId="2" applyFont="1" applyBorder="1" applyAlignment="1">
      <alignment horizontal="center"/>
    </xf>
    <xf numFmtId="44" fontId="3" fillId="0" borderId="7" xfId="2" applyFont="1" applyBorder="1"/>
    <xf numFmtId="0" fontId="3" fillId="0" borderId="0" xfId="0" applyFont="1" applyBorder="1" applyAlignment="1">
      <alignment horizontal="center" wrapText="1"/>
    </xf>
    <xf numFmtId="44" fontId="3" fillId="0" borderId="10" xfId="2" applyFont="1" applyBorder="1" applyAlignment="1">
      <alignment horizontal="center"/>
    </xf>
    <xf numFmtId="44" fontId="3" fillId="0" borderId="10" xfId="2" applyFont="1" applyBorder="1"/>
    <xf numFmtId="0" fontId="3" fillId="0" borderId="21" xfId="0" applyFont="1" applyBorder="1"/>
    <xf numFmtId="0" fontId="3" fillId="0" borderId="22" xfId="0" applyFont="1" applyBorder="1"/>
    <xf numFmtId="0" fontId="3" fillId="0" borderId="22" xfId="0" applyFont="1" applyBorder="1" applyAlignment="1">
      <alignment horizontal="center" wrapText="1"/>
    </xf>
    <xf numFmtId="0" fontId="3" fillId="0" borderId="23" xfId="0" applyFont="1" applyBorder="1" applyAlignment="1">
      <alignment horizontal="center" wrapText="1"/>
    </xf>
    <xf numFmtId="166" fontId="3" fillId="5" borderId="7" xfId="2" applyNumberFormat="1" applyFont="1" applyFill="1" applyBorder="1"/>
    <xf numFmtId="170" fontId="3" fillId="5" borderId="8" xfId="0" applyNumberFormat="1" applyFont="1" applyFill="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43" fontId="3" fillId="0" borderId="0" xfId="1" applyFont="1"/>
    <xf numFmtId="10" fontId="3" fillId="0" borderId="0" xfId="0" applyNumberFormat="1" applyFont="1" applyAlignment="1">
      <alignment horizontal="center"/>
    </xf>
    <xf numFmtId="168" fontId="3" fillId="0" borderId="0" xfId="2" applyNumberFormat="1" applyFont="1"/>
    <xf numFmtId="166" fontId="3" fillId="6" borderId="7" xfId="2" applyNumberFormat="1" applyFont="1" applyFill="1" applyBorder="1"/>
    <xf numFmtId="164" fontId="3" fillId="6" borderId="8" xfId="2" applyNumberFormat="1" applyFont="1" applyFill="1" applyBorder="1"/>
    <xf numFmtId="167" fontId="3" fillId="0" borderId="0" xfId="3" applyNumberFormat="1" applyFont="1"/>
    <xf numFmtId="171" fontId="3" fillId="0" borderId="0" xfId="1" applyNumberFormat="1" applyFont="1"/>
    <xf numFmtId="171" fontId="3" fillId="0" borderId="0" xfId="0" applyNumberFormat="1" applyFont="1"/>
    <xf numFmtId="43" fontId="3" fillId="0" borderId="0" xfId="0" applyNumberFormat="1" applyFont="1"/>
    <xf numFmtId="172" fontId="3" fillId="0" borderId="0" xfId="1" applyNumberFormat="1" applyFont="1"/>
    <xf numFmtId="167" fontId="0" fillId="0" borderId="0" xfId="3" applyNumberFormat="1" applyFont="1" applyAlignment="1">
      <alignment horizontal="center"/>
    </xf>
    <xf numFmtId="167" fontId="0" fillId="0" borderId="0" xfId="0" applyNumberFormat="1" applyAlignment="1">
      <alignment horizontal="center"/>
    </xf>
    <xf numFmtId="44" fontId="3" fillId="7" borderId="0" xfId="2" applyFont="1" applyFill="1"/>
    <xf numFmtId="171" fontId="3" fillId="7" borderId="0" xfId="1" applyNumberFormat="1" applyFont="1" applyFill="1"/>
    <xf numFmtId="171" fontId="3" fillId="7" borderId="0" xfId="0" applyNumberFormat="1" applyFont="1" applyFill="1"/>
    <xf numFmtId="172" fontId="3" fillId="7" borderId="0" xfId="1" applyNumberFormat="1" applyFont="1" applyFill="1"/>
    <xf numFmtId="43" fontId="3" fillId="7" borderId="0" xfId="0" applyNumberFormat="1" applyFont="1" applyFill="1"/>
    <xf numFmtId="172" fontId="3" fillId="0" borderId="0" xfId="1" applyNumberFormat="1" applyFont="1" applyFill="1"/>
    <xf numFmtId="0" fontId="3" fillId="0" borderId="0" xfId="0" applyFont="1" applyFill="1"/>
    <xf numFmtId="43" fontId="3" fillId="0" borderId="0" xfId="0" applyNumberFormat="1" applyFont="1" applyFill="1"/>
    <xf numFmtId="171" fontId="3" fillId="0" borderId="0" xfId="0" applyNumberFormat="1" applyFont="1" applyFill="1"/>
    <xf numFmtId="0" fontId="7" fillId="0" borderId="15"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8" borderId="27" xfId="0" applyFont="1" applyFill="1" applyBorder="1"/>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8" borderId="31" xfId="0" applyFont="1" applyFill="1" applyBorder="1"/>
    <xf numFmtId="0" fontId="0" fillId="0" borderId="32" xfId="0" applyBorder="1"/>
    <xf numFmtId="0" fontId="0" fillId="0" borderId="20" xfId="0" applyBorder="1"/>
    <xf numFmtId="0" fontId="0" fillId="0" borderId="33" xfId="0" applyBorder="1" applyAlignment="1">
      <alignment horizontal="center"/>
    </xf>
    <xf numFmtId="0" fontId="0" fillId="0" borderId="33" xfId="0" applyBorder="1"/>
    <xf numFmtId="0" fontId="0" fillId="8" borderId="32" xfId="0" applyFill="1" applyBorder="1"/>
    <xf numFmtId="0" fontId="0" fillId="0" borderId="31" xfId="0" applyBorder="1"/>
    <xf numFmtId="0" fontId="0" fillId="0" borderId="5" xfId="0" applyBorder="1"/>
    <xf numFmtId="0" fontId="0" fillId="8" borderId="31" xfId="0" applyFill="1" applyBorder="1"/>
    <xf numFmtId="0" fontId="8" fillId="0" borderId="31" xfId="0" applyFont="1" applyFill="1" applyBorder="1"/>
    <xf numFmtId="171" fontId="9" fillId="0" borderId="31" xfId="1" applyNumberFormat="1" applyFont="1" applyBorder="1"/>
    <xf numFmtId="171" fontId="9" fillId="0" borderId="31" xfId="1" applyNumberFormat="1" applyFont="1" applyFill="1" applyBorder="1"/>
    <xf numFmtId="171" fontId="9" fillId="0" borderId="5" xfId="1" applyNumberFormat="1" applyFont="1" applyFill="1" applyBorder="1"/>
    <xf numFmtId="44" fontId="9" fillId="0" borderId="31" xfId="2" applyNumberFormat="1" applyFont="1" applyFill="1" applyBorder="1"/>
    <xf numFmtId="173" fontId="9" fillId="0" borderId="31" xfId="2" applyNumberFormat="1" applyFont="1" applyFill="1" applyBorder="1"/>
    <xf numFmtId="44" fontId="9" fillId="0" borderId="31" xfId="2" applyNumberFormat="1" applyFont="1" applyBorder="1"/>
    <xf numFmtId="174" fontId="9" fillId="0" borderId="31" xfId="2" applyNumberFormat="1" applyFont="1" applyFill="1" applyBorder="1"/>
    <xf numFmtId="174" fontId="9" fillId="0" borderId="31" xfId="2" applyNumberFormat="1" applyFont="1" applyBorder="1"/>
    <xf numFmtId="174" fontId="9" fillId="0" borderId="5" xfId="2" applyNumberFormat="1" applyFont="1" applyBorder="1"/>
    <xf numFmtId="0" fontId="0" fillId="0" borderId="31" xfId="0" applyFill="1" applyBorder="1"/>
    <xf numFmtId="43" fontId="9" fillId="0" borderId="31" xfId="1" applyNumberFormat="1" applyFont="1" applyBorder="1"/>
    <xf numFmtId="44" fontId="9" fillId="0" borderId="34" xfId="2" applyNumberFormat="1" applyFont="1" applyBorder="1"/>
    <xf numFmtId="174" fontId="9" fillId="0" borderId="34" xfId="2" applyNumberFormat="1" applyFont="1" applyBorder="1"/>
    <xf numFmtId="0" fontId="0" fillId="0" borderId="5" xfId="0" applyFill="1" applyBorder="1"/>
    <xf numFmtId="44" fontId="0" fillId="0" borderId="31" xfId="0" applyNumberFormat="1" applyBorder="1"/>
    <xf numFmtId="0" fontId="0" fillId="0" borderId="35" xfId="0" applyBorder="1"/>
    <xf numFmtId="0" fontId="7" fillId="0" borderId="29" xfId="0" applyFont="1" applyBorder="1"/>
    <xf numFmtId="0" fontId="0" fillId="0" borderId="29" xfId="0" applyBorder="1"/>
    <xf numFmtId="171" fontId="8" fillId="0" borderId="29" xfId="0" applyNumberFormat="1" applyFont="1" applyBorder="1"/>
    <xf numFmtId="0" fontId="8" fillId="0" borderId="29" xfId="0" applyFont="1" applyBorder="1"/>
    <xf numFmtId="44" fontId="8" fillId="0" borderId="29" xfId="0" applyNumberFormat="1" applyFont="1" applyBorder="1"/>
    <xf numFmtId="0" fontId="8" fillId="8" borderId="29" xfId="0" applyFont="1" applyFill="1" applyBorder="1"/>
    <xf numFmtId="174" fontId="8" fillId="0" borderId="29" xfId="0" applyNumberFormat="1" applyFont="1" applyBorder="1"/>
    <xf numFmtId="174" fontId="0" fillId="0" borderId="30" xfId="0" applyNumberFormat="1" applyBorder="1"/>
    <xf numFmtId="0" fontId="5" fillId="0" borderId="0" xfId="0" applyFont="1"/>
    <xf numFmtId="0" fontId="7" fillId="8" borderId="15" xfId="0" applyFont="1" applyFill="1" applyBorder="1"/>
    <xf numFmtId="0" fontId="7" fillId="8" borderId="4" xfId="0" applyFont="1" applyFill="1" applyBorder="1"/>
    <xf numFmtId="0" fontId="0" fillId="8" borderId="18" xfId="0" applyFill="1" applyBorder="1"/>
    <xf numFmtId="0" fontId="0" fillId="8" borderId="4" xfId="0" applyFill="1" applyBorder="1"/>
    <xf numFmtId="0" fontId="8" fillId="8" borderId="28" xfId="0" applyFont="1" applyFill="1" applyBorder="1"/>
    <xf numFmtId="0" fontId="0" fillId="0" borderId="0" xfId="0" applyBorder="1"/>
    <xf numFmtId="174" fontId="9" fillId="0" borderId="0" xfId="2" applyNumberFormat="1" applyFont="1" applyFill="1" applyBorder="1"/>
    <xf numFmtId="174" fontId="9" fillId="0" borderId="0" xfId="2" applyNumberFormat="1" applyFont="1" applyBorder="1"/>
    <xf numFmtId="174" fontId="8" fillId="0" borderId="0" xfId="0" applyNumberFormat="1" applyFont="1" applyBorder="1"/>
    <xf numFmtId="174" fontId="0" fillId="0" borderId="0" xfId="0" applyNumberFormat="1" applyBorder="1"/>
    <xf numFmtId="0" fontId="3" fillId="0" borderId="6" xfId="0" applyFont="1" applyBorder="1" applyAlignment="1">
      <alignment horizontal="center" vertical="center" wrapText="1"/>
    </xf>
    <xf numFmtId="0" fontId="2" fillId="0" borderId="0" xfId="0" applyFont="1" applyAlignment="1">
      <alignment horizontal="center"/>
    </xf>
    <xf numFmtId="0" fontId="7" fillId="0" borderId="29" xfId="0" applyFont="1" applyFill="1" applyBorder="1" applyAlignment="1">
      <alignment horizontal="center" vertical="center" wrapText="1"/>
    </xf>
    <xf numFmtId="44" fontId="3" fillId="0" borderId="0" xfId="2" applyFont="1" applyFill="1"/>
    <xf numFmtId="171" fontId="3" fillId="0" borderId="0" xfId="1" applyNumberFormat="1" applyFont="1" applyFill="1"/>
    <xf numFmtId="44" fontId="3" fillId="10" borderId="0" xfId="2" applyFont="1" applyFill="1"/>
    <xf numFmtId="0" fontId="3" fillId="10" borderId="0" xfId="0" applyFont="1" applyFill="1"/>
    <xf numFmtId="0" fontId="3" fillId="11" borderId="0" xfId="0" applyFont="1" applyFill="1" applyAlignment="1">
      <alignment horizontal="center" wrapText="1"/>
    </xf>
    <xf numFmtId="0" fontId="3" fillId="11" borderId="0" xfId="0" applyFont="1" applyFill="1"/>
    <xf numFmtId="44" fontId="3" fillId="11" borderId="0" xfId="0" applyNumberFormat="1" applyFont="1" applyFill="1"/>
    <xf numFmtId="172" fontId="3" fillId="11" borderId="0" xfId="0" applyNumberFormat="1" applyFont="1" applyFill="1"/>
    <xf numFmtId="10" fontId="3" fillId="9" borderId="7" xfId="3" applyNumberFormat="1" applyFont="1" applyFill="1" applyBorder="1"/>
    <xf numFmtId="0" fontId="10" fillId="0" borderId="0" xfId="0" applyFont="1"/>
    <xf numFmtId="172" fontId="3" fillId="13" borderId="0" xfId="1" applyNumberFormat="1" applyFont="1" applyFill="1"/>
    <xf numFmtId="44" fontId="3" fillId="13" borderId="0" xfId="2" applyFont="1" applyFill="1"/>
    <xf numFmtId="44" fontId="3" fillId="12" borderId="0" xfId="2" applyFont="1" applyFill="1"/>
    <xf numFmtId="44" fontId="3" fillId="11" borderId="8" xfId="2" applyFont="1" applyFill="1" applyBorder="1" applyAlignment="1">
      <alignment horizontal="center"/>
    </xf>
    <xf numFmtId="44" fontId="3" fillId="11" borderId="11" xfId="2" applyFont="1" applyFill="1" applyBorder="1" applyAlignment="1">
      <alignment horizontal="center"/>
    </xf>
    <xf numFmtId="174" fontId="0" fillId="0" borderId="0" xfId="2" applyNumberFormat="1" applyFont="1" applyBorder="1"/>
    <xf numFmtId="0" fontId="10" fillId="0" borderId="0" xfId="0" quotePrefix="1" applyFont="1"/>
    <xf numFmtId="0" fontId="11" fillId="0" borderId="0" xfId="0" applyFont="1"/>
    <xf numFmtId="0" fontId="12" fillId="0" borderId="0" xfId="0" applyFont="1"/>
    <xf numFmtId="0" fontId="8" fillId="0" borderId="0" xfId="0" applyFont="1"/>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43" fontId="8" fillId="5" borderId="0" xfId="0" applyNumberFormat="1" applyFont="1" applyFill="1"/>
    <xf numFmtId="172" fontId="8" fillId="0" borderId="0" xfId="1" applyNumberFormat="1" applyFont="1"/>
    <xf numFmtId="43" fontId="8" fillId="0" borderId="0" xfId="1" applyNumberFormat="1" applyFont="1"/>
    <xf numFmtId="44" fontId="3" fillId="0" borderId="0" xfId="0" applyNumberFormat="1" applyFont="1"/>
    <xf numFmtId="44" fontId="2" fillId="0" borderId="1" xfId="2" applyFont="1" applyBorder="1" applyAlignment="1">
      <alignment horizontal="center"/>
    </xf>
    <xf numFmtId="44" fontId="2" fillId="0" borderId="2" xfId="2" applyFont="1" applyBorder="1" applyAlignment="1">
      <alignment horizontal="center"/>
    </xf>
    <xf numFmtId="44" fontId="2" fillId="0" borderId="3" xfId="2" applyFont="1" applyBorder="1" applyAlignment="1">
      <alignment horizontal="center"/>
    </xf>
    <xf numFmtId="166" fontId="2" fillId="0" borderId="1" xfId="2" applyNumberFormat="1" applyFont="1" applyBorder="1" applyAlignment="1">
      <alignment horizontal="center"/>
    </xf>
    <xf numFmtId="166" fontId="2" fillId="0" borderId="2" xfId="2" applyNumberFormat="1" applyFont="1" applyBorder="1" applyAlignment="1">
      <alignment horizontal="center"/>
    </xf>
    <xf numFmtId="166" fontId="2" fillId="0" borderId="3" xfId="2" applyNumberFormat="1" applyFont="1" applyBorder="1" applyAlignment="1">
      <alignment horizontal="center"/>
    </xf>
    <xf numFmtId="0" fontId="2" fillId="0" borderId="0" xfId="0" applyFont="1" applyAlignment="1">
      <alignment horizontal="left"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6" xfId="0" applyFont="1" applyBorder="1" applyAlignment="1">
      <alignment horizontal="center" vertical="center"/>
    </xf>
    <xf numFmtId="0" fontId="0" fillId="0" borderId="0" xfId="0" applyBorder="1" applyAlignment="1">
      <alignment horizontal="center"/>
    </xf>
    <xf numFmtId="0" fontId="0" fillId="0" borderId="0" xfId="0" applyAlignment="1">
      <alignment horizontal="left" wrapText="1"/>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wrapText="1"/>
    </xf>
    <xf numFmtId="0" fontId="3" fillId="0" borderId="6" xfId="0" applyFont="1" applyBorder="1" applyAlignment="1">
      <alignment horizontal="center" vertical="center" wrapText="1"/>
    </xf>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right"/>
    </xf>
    <xf numFmtId="0" fontId="2" fillId="0" borderId="0" xfId="0" applyFont="1" applyAlignment="1">
      <alignment horizontal="center"/>
    </xf>
    <xf numFmtId="0" fontId="3" fillId="11" borderId="0" xfId="0" applyFont="1" applyFill="1" applyAlignment="1">
      <alignment horizontal="center"/>
    </xf>
    <xf numFmtId="0" fontId="7" fillId="0" borderId="27"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25" xfId="0" applyFont="1" applyFill="1" applyBorder="1" applyAlignment="1">
      <alignment horizontal="center" vertical="center"/>
    </xf>
    <xf numFmtId="0" fontId="6" fillId="0" borderId="0" xfId="0" applyFont="1" applyAlignment="1">
      <alignment horizontal="center"/>
    </xf>
    <xf numFmtId="0" fontId="8"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438150</xdr:colOff>
      <xdr:row>13</xdr:row>
      <xdr:rowOff>180975</xdr:rowOff>
    </xdr:to>
    <xdr:pic>
      <xdr:nvPicPr>
        <xdr:cNvPr id="3" name="Picture 1" descr="CNP FORTIS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609600" y="1524000"/>
          <a:ext cx="4095750" cy="1133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22:B28"/>
  <sheetViews>
    <sheetView view="pageBreakPreview" zoomScale="60" zoomScaleNormal="100" workbookViewId="0">
      <selection activeCell="K22" sqref="K22"/>
    </sheetView>
  </sheetViews>
  <sheetFormatPr defaultRowHeight="15"/>
  <sheetData>
    <row r="22" spans="2:2" ht="20.25">
      <c r="B22" s="172"/>
    </row>
    <row r="23" spans="2:2" ht="20.25">
      <c r="B23" s="172" t="s">
        <v>161</v>
      </c>
    </row>
    <row r="24" spans="2:2" ht="20.25">
      <c r="B24" s="172" t="s">
        <v>168</v>
      </c>
    </row>
    <row r="25" spans="2:2" ht="20.25">
      <c r="B25" s="172" t="s">
        <v>169</v>
      </c>
    </row>
    <row r="27" spans="2:2" ht="20.25">
      <c r="B27" s="172" t="s">
        <v>184</v>
      </c>
    </row>
    <row r="28" spans="2:2" ht="20.25">
      <c r="B28" s="179" t="s">
        <v>188</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B1:G28"/>
  <sheetViews>
    <sheetView workbookViewId="0">
      <selection sqref="A1:H28"/>
    </sheetView>
  </sheetViews>
  <sheetFormatPr defaultRowHeight="14.25"/>
  <cols>
    <col min="1" max="1" width="2.7109375" style="3" customWidth="1"/>
    <col min="2" max="2" width="21.85546875" style="3" customWidth="1"/>
    <col min="3" max="3" width="14" style="3" bestFit="1" customWidth="1"/>
    <col min="4" max="7" width="14.42578125" style="3" bestFit="1" customWidth="1"/>
    <col min="8" max="16384" width="9.140625" style="3"/>
  </cols>
  <sheetData>
    <row r="1" spans="2:7" ht="15" thickBot="1"/>
    <row r="2" spans="2:7" ht="15">
      <c r="B2" s="197" t="s">
        <v>85</v>
      </c>
      <c r="C2" s="198"/>
      <c r="D2" s="198"/>
      <c r="E2" s="198"/>
      <c r="F2" s="198"/>
      <c r="G2" s="199"/>
    </row>
    <row r="3" spans="2:7">
      <c r="B3" s="20"/>
      <c r="C3" s="21"/>
      <c r="D3" s="21"/>
      <c r="E3" s="21"/>
      <c r="F3" s="21"/>
      <c r="G3" s="11"/>
    </row>
    <row r="4" spans="2:7" ht="57">
      <c r="B4" s="71" t="s">
        <v>21</v>
      </c>
      <c r="C4" s="32" t="s">
        <v>86</v>
      </c>
      <c r="D4" s="32" t="s">
        <v>87</v>
      </c>
      <c r="E4" s="32" t="s">
        <v>88</v>
      </c>
      <c r="F4" s="32" t="s">
        <v>31</v>
      </c>
      <c r="G4" s="33" t="s">
        <v>23</v>
      </c>
    </row>
    <row r="5" spans="2:7">
      <c r="B5" s="19" t="s">
        <v>8</v>
      </c>
      <c r="C5" s="34">
        <f>'2013 R|C Ratio Adj.'!H5</f>
        <v>9931420.7660000008</v>
      </c>
      <c r="D5" s="34">
        <f>C5*'Existing F_V Ratios'!F74</f>
        <v>5933758.3978423392</v>
      </c>
      <c r="E5" s="34">
        <f>C5*'Existing F_V Ratios'!G74</f>
        <v>3997662.3681576615</v>
      </c>
      <c r="F5" s="90">
        <f>D5/'Existing Rates &amp; Forecast Vols'!F35/12</f>
        <v>19.2487004744</v>
      </c>
      <c r="G5" s="91">
        <f>E5/'Existing Rates &amp; Forecast Vols'!G35</f>
        <v>1.9192957965838899E-2</v>
      </c>
    </row>
    <row r="6" spans="2:7">
      <c r="B6" s="19" t="s">
        <v>10</v>
      </c>
      <c r="C6" s="34">
        <f>'2013 R|C Ratio Adj.'!H6</f>
        <v>2426082</v>
      </c>
      <c r="D6" s="34">
        <f>C6*'Existing F_V Ratios'!F75</f>
        <v>821240.14081728505</v>
      </c>
      <c r="E6" s="34">
        <f>C6*'Existing F_V Ratios'!G75</f>
        <v>1604841.8591827147</v>
      </c>
      <c r="F6" s="90">
        <f>D6/'Existing Rates &amp; Forecast Vols'!F36/12</f>
        <v>27.14663958803666</v>
      </c>
      <c r="G6" s="91">
        <f>E6/'Existing Rates &amp; Forecast Vols'!G36</f>
        <v>2.2149619415240383E-2</v>
      </c>
    </row>
    <row r="7" spans="2:7">
      <c r="B7" s="19" t="s">
        <v>11</v>
      </c>
      <c r="C7" s="34">
        <f>'2013 R|C Ratio Adj.'!H7</f>
        <v>4608377</v>
      </c>
      <c r="D7" s="34">
        <f>C7*'Existing F_V Ratios'!F76</f>
        <v>851881.81848249643</v>
      </c>
      <c r="E7" s="34">
        <f>C7*'Existing F_V Ratios'!G76</f>
        <v>3756495.1815175032</v>
      </c>
      <c r="F7" s="90">
        <f>D7/'Existing Rates &amp; Forecast Vols'!F37/12</f>
        <v>311.36031377284229</v>
      </c>
      <c r="G7" s="91">
        <f>E7/'Existing Rates &amp; Forecast Vols'!H37</f>
        <v>5.4334392803775469</v>
      </c>
    </row>
    <row r="8" spans="2:7">
      <c r="B8" s="19" t="s">
        <v>13</v>
      </c>
      <c r="C8" s="34">
        <f>'2013 R|C Ratio Adj.'!H8</f>
        <v>80218.390600000013</v>
      </c>
      <c r="D8" s="34">
        <f>C8*'Existing F_V Ratios'!F77</f>
        <v>28334.02636700555</v>
      </c>
      <c r="E8" s="34">
        <f>C8*'Existing F_V Ratios'!G77</f>
        <v>51884.364232994463</v>
      </c>
      <c r="F8" s="90">
        <f>D8/'Existing Rates &amp; Forecast Vols'!F38/12</f>
        <v>60.542791382490492</v>
      </c>
      <c r="G8" s="91">
        <f>E8/'Existing Rates &amp; Forecast Vols'!G38</f>
        <v>3.3957313614045199E-2</v>
      </c>
    </row>
    <row r="9" spans="2:7">
      <c r="B9" s="19" t="s">
        <v>14</v>
      </c>
      <c r="C9" s="34">
        <f>'2013 R|C Ratio Adj.'!H9</f>
        <v>69350.843399999998</v>
      </c>
      <c r="D9" s="34">
        <f>C9*'Existing F_V Ratios'!F78</f>
        <v>56412.883542080839</v>
      </c>
      <c r="E9" s="34">
        <f>C9*'Existing F_V Ratios'!G78</f>
        <v>12937.959857919162</v>
      </c>
      <c r="F9" s="90">
        <f>D9/'Existing Rates &amp; Forecast Vols'!F39/12</f>
        <v>4.8918560130142943</v>
      </c>
      <c r="G9" s="91">
        <f>E9/'Existing Rates &amp; Forecast Vols'!H39</f>
        <v>5.5432561516363164</v>
      </c>
    </row>
    <row r="10" spans="2:7">
      <c r="B10" s="19" t="s">
        <v>15</v>
      </c>
      <c r="C10" s="34">
        <f>'2013 R|C Ratio Adj.'!H10</f>
        <v>447549</v>
      </c>
      <c r="D10" s="34">
        <f>C10*'Existing F_V Ratios'!F79</f>
        <v>325286.86445771181</v>
      </c>
      <c r="E10" s="34">
        <f>C10*'Existing F_V Ratios'!G79</f>
        <v>122262.13554228815</v>
      </c>
      <c r="F10" s="90">
        <f>D10/'Existing Rates &amp; Forecast Vols'!F40/12</f>
        <v>4.7589955591308497</v>
      </c>
      <c r="G10" s="91">
        <f>E10/'Existing Rates &amp; Forecast Vols'!H40</f>
        <v>10.370865683458151</v>
      </c>
    </row>
    <row r="11" spans="2:7">
      <c r="B11" s="20"/>
      <c r="C11" s="21"/>
      <c r="D11" s="21"/>
      <c r="E11" s="21"/>
      <c r="F11" s="21"/>
      <c r="G11" s="11"/>
    </row>
    <row r="12" spans="2:7" ht="15" thickBot="1">
      <c r="B12" s="22" t="s">
        <v>27</v>
      </c>
      <c r="C12" s="58">
        <f>SUM(C5:C10)</f>
        <v>17562998.000000004</v>
      </c>
      <c r="D12" s="58">
        <f>SUM(D5:D10)</f>
        <v>8016914.1315089194</v>
      </c>
      <c r="E12" s="58">
        <f>SUM(E5:E10)</f>
        <v>9546083.8684910797</v>
      </c>
      <c r="F12" s="23"/>
      <c r="G12" s="60"/>
    </row>
    <row r="14" spans="2:7">
      <c r="B14" s="3" t="s">
        <v>89</v>
      </c>
      <c r="D14" s="89">
        <f>'Existing Rates &amp; Forecast Vols'!D42*'Existing Rates &amp; Forecast Vols'!H42</f>
        <v>232633.8</v>
      </c>
      <c r="E14" s="3" t="s">
        <v>90</v>
      </c>
    </row>
    <row r="15" spans="2:7" ht="15" thickBot="1">
      <c r="D15" s="89"/>
    </row>
    <row r="16" spans="2:7" ht="15">
      <c r="B16" s="197" t="s">
        <v>91</v>
      </c>
      <c r="C16" s="198"/>
      <c r="D16" s="198"/>
      <c r="E16" s="198"/>
      <c r="F16" s="198"/>
      <c r="G16" s="199"/>
    </row>
    <row r="17" spans="2:7">
      <c r="B17" s="20"/>
      <c r="C17" s="21"/>
      <c r="D17" s="21"/>
      <c r="E17" s="21"/>
      <c r="F17" s="21"/>
      <c r="G17" s="11"/>
    </row>
    <row r="18" spans="2:7" ht="57">
      <c r="B18" s="71" t="s">
        <v>21</v>
      </c>
      <c r="C18" s="32" t="s">
        <v>92</v>
      </c>
      <c r="D18" s="32" t="s">
        <v>87</v>
      </c>
      <c r="E18" s="32" t="s">
        <v>88</v>
      </c>
      <c r="F18" s="32" t="s">
        <v>31</v>
      </c>
      <c r="G18" s="33" t="s">
        <v>23</v>
      </c>
    </row>
    <row r="19" spans="2:7">
      <c r="B19" s="19" t="s">
        <v>8</v>
      </c>
      <c r="C19" s="34">
        <f>C5</f>
        <v>9931420.7660000008</v>
      </c>
      <c r="D19" s="34">
        <f>D5</f>
        <v>5933758.3978423392</v>
      </c>
      <c r="E19" s="34">
        <f>E5</f>
        <v>3997662.3681576615</v>
      </c>
      <c r="F19" s="90">
        <f>D19/'Existing Rates &amp; Forecast Vols'!F35/12</f>
        <v>19.2487004744</v>
      </c>
      <c r="G19" s="91">
        <f>E19/'Existing Rates &amp; Forecast Vols'!G35</f>
        <v>1.9192957965838899E-2</v>
      </c>
    </row>
    <row r="20" spans="2:7">
      <c r="B20" s="19" t="s">
        <v>10</v>
      </c>
      <c r="C20" s="34">
        <f t="shared" ref="C20:E24" si="0">C6</f>
        <v>2426082</v>
      </c>
      <c r="D20" s="34">
        <f t="shared" si="0"/>
        <v>821240.14081728505</v>
      </c>
      <c r="E20" s="34">
        <f t="shared" si="0"/>
        <v>1604841.8591827147</v>
      </c>
      <c r="F20" s="90">
        <f>D20/'Existing Rates &amp; Forecast Vols'!F36/12</f>
        <v>27.14663958803666</v>
      </c>
      <c r="G20" s="91">
        <f>E20/'Existing Rates &amp; Forecast Vols'!G36</f>
        <v>2.2149619415240383E-2</v>
      </c>
    </row>
    <row r="21" spans="2:7">
      <c r="B21" s="19" t="s">
        <v>11</v>
      </c>
      <c r="C21" s="34">
        <f>C7+D14</f>
        <v>4841010.8</v>
      </c>
      <c r="D21" s="34">
        <f t="shared" si="0"/>
        <v>851881.81848249643</v>
      </c>
      <c r="E21" s="34">
        <f>E7+D14</f>
        <v>3989128.981517503</v>
      </c>
      <c r="F21" s="90">
        <f>D21/'Existing Rates &amp; Forecast Vols'!F37/12</f>
        <v>311.36031377284229</v>
      </c>
      <c r="G21" s="91">
        <f>E21/'Existing Rates &amp; Forecast Vols'!H37</f>
        <v>5.7699235737908765</v>
      </c>
    </row>
    <row r="22" spans="2:7">
      <c r="B22" s="19" t="s">
        <v>13</v>
      </c>
      <c r="C22" s="34">
        <f t="shared" si="0"/>
        <v>80218.390600000013</v>
      </c>
      <c r="D22" s="34">
        <f t="shared" si="0"/>
        <v>28334.02636700555</v>
      </c>
      <c r="E22" s="34">
        <f t="shared" si="0"/>
        <v>51884.364232994463</v>
      </c>
      <c r="F22" s="90">
        <f>D22/'Existing Rates &amp; Forecast Vols'!F38/12</f>
        <v>60.542791382490492</v>
      </c>
      <c r="G22" s="91">
        <f>E22/'Existing Rates &amp; Forecast Vols'!G38</f>
        <v>3.3957313614045199E-2</v>
      </c>
    </row>
    <row r="23" spans="2:7">
      <c r="B23" s="19" t="s">
        <v>14</v>
      </c>
      <c r="C23" s="34">
        <f t="shared" si="0"/>
        <v>69350.843399999998</v>
      </c>
      <c r="D23" s="34">
        <f t="shared" si="0"/>
        <v>56412.883542080839</v>
      </c>
      <c r="E23" s="34">
        <f t="shared" si="0"/>
        <v>12937.959857919162</v>
      </c>
      <c r="F23" s="90">
        <f>D23/'Existing Rates &amp; Forecast Vols'!F39/12</f>
        <v>4.8918560130142943</v>
      </c>
      <c r="G23" s="91">
        <f>E23/'Existing Rates &amp; Forecast Vols'!H39</f>
        <v>5.5432561516363164</v>
      </c>
    </row>
    <row r="24" spans="2:7">
      <c r="B24" s="19" t="s">
        <v>15</v>
      </c>
      <c r="C24" s="34">
        <f t="shared" si="0"/>
        <v>447549</v>
      </c>
      <c r="D24" s="34">
        <f t="shared" si="0"/>
        <v>325286.86445771181</v>
      </c>
      <c r="E24" s="34">
        <f t="shared" si="0"/>
        <v>122262.13554228815</v>
      </c>
      <c r="F24" s="90">
        <f>D24/'Existing Rates &amp; Forecast Vols'!F40/12</f>
        <v>4.7589955591308497</v>
      </c>
      <c r="G24" s="91">
        <f>E24/'Existing Rates &amp; Forecast Vols'!H40</f>
        <v>10.370865683458151</v>
      </c>
    </row>
    <row r="25" spans="2:7">
      <c r="B25" s="20"/>
      <c r="C25" s="21"/>
      <c r="D25" s="21"/>
      <c r="E25" s="21"/>
      <c r="F25" s="21"/>
      <c r="G25" s="11"/>
    </row>
    <row r="26" spans="2:7" ht="15" thickBot="1">
      <c r="B26" s="22" t="s">
        <v>27</v>
      </c>
      <c r="C26" s="58">
        <f>SUM(C19:C24)</f>
        <v>17795631.800000001</v>
      </c>
      <c r="D26" s="58">
        <f>SUM(D19:D24)</f>
        <v>8016914.1315089194</v>
      </c>
      <c r="E26" s="58">
        <f>SUM(E19:E24)</f>
        <v>9778717.6684910804</v>
      </c>
      <c r="F26" s="23"/>
      <c r="G26" s="60"/>
    </row>
    <row r="28" spans="2:7" ht="15">
      <c r="B28" s="65" t="s">
        <v>93</v>
      </c>
      <c r="C28" s="66" t="str">
        <f>IF(C26-(D26+E26)&lt;1,"YES","NO")</f>
        <v>YES</v>
      </c>
    </row>
  </sheetData>
  <mergeCells count="2">
    <mergeCell ref="B2:G2"/>
    <mergeCell ref="B16:G16"/>
  </mergeCells>
  <pageMargins left="0.7" right="0.7" top="0.75" bottom="0.75" header="0.3" footer="0.3"/>
  <pageSetup scale="86"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B3:Q32"/>
  <sheetViews>
    <sheetView view="pageBreakPreview" zoomScale="60" zoomScaleNormal="100" workbookViewId="0">
      <selection sqref="A1:R32"/>
    </sheetView>
  </sheetViews>
  <sheetFormatPr defaultRowHeight="14.25"/>
  <cols>
    <col min="1" max="1" width="2.7109375" style="3" customWidth="1"/>
    <col min="2" max="2" width="36.5703125" style="3" bestFit="1" customWidth="1"/>
    <col min="3" max="3" width="1.7109375" style="3" customWidth="1"/>
    <col min="4" max="4" width="10" style="3" bestFit="1" customWidth="1"/>
    <col min="5" max="5" width="10.85546875" style="3" bestFit="1" customWidth="1"/>
    <col min="6" max="6" width="9.85546875" style="3" customWidth="1"/>
    <col min="7" max="7" width="10.85546875" style="3" bestFit="1" customWidth="1"/>
    <col min="8" max="8" width="14.7109375" style="3" customWidth="1"/>
    <col min="9" max="9" width="12.140625" style="3" customWidth="1"/>
    <col min="10" max="10" width="12.28515625" style="3" bestFit="1" customWidth="1"/>
    <col min="11" max="13" width="11.140625" style="3" customWidth="1"/>
    <col min="14" max="14" width="14.7109375" style="3" bestFit="1" customWidth="1"/>
    <col min="15" max="15" width="2.7109375" style="3" customWidth="1"/>
    <col min="16" max="16" width="10.85546875" style="3" bestFit="1" customWidth="1"/>
    <col min="17" max="17" width="10" style="3" bestFit="1" customWidth="1"/>
    <col min="18" max="16384" width="9.140625" style="3"/>
  </cols>
  <sheetData>
    <row r="3" spans="2:17" ht="15">
      <c r="D3" s="225" t="s">
        <v>143</v>
      </c>
      <c r="E3" s="225"/>
      <c r="F3" s="225"/>
      <c r="G3" s="225"/>
      <c r="H3" s="225"/>
      <c r="I3" s="225"/>
      <c r="J3" s="225"/>
      <c r="K3" s="225"/>
      <c r="L3" s="225"/>
      <c r="M3" s="225"/>
      <c r="N3" s="225"/>
      <c r="P3" s="226" t="s">
        <v>123</v>
      </c>
      <c r="Q3" s="226"/>
    </row>
    <row r="4" spans="2:17" ht="57">
      <c r="D4" s="1" t="s">
        <v>119</v>
      </c>
      <c r="E4" s="1" t="s">
        <v>112</v>
      </c>
      <c r="F4" s="1" t="s">
        <v>73</v>
      </c>
      <c r="G4" s="1" t="s">
        <v>113</v>
      </c>
      <c r="H4" s="1" t="s">
        <v>115</v>
      </c>
      <c r="I4" s="1" t="s">
        <v>116</v>
      </c>
      <c r="J4" s="1" t="s">
        <v>117</v>
      </c>
      <c r="K4" s="1" t="s">
        <v>120</v>
      </c>
      <c r="L4" s="1" t="s">
        <v>121</v>
      </c>
      <c r="M4" s="1" t="s">
        <v>176</v>
      </c>
      <c r="N4" s="1" t="s">
        <v>122</v>
      </c>
      <c r="P4" s="167" t="s">
        <v>113</v>
      </c>
      <c r="Q4" s="167" t="s">
        <v>124</v>
      </c>
    </row>
    <row r="5" spans="2:17" ht="15">
      <c r="B5" s="65" t="s">
        <v>21</v>
      </c>
      <c r="P5" s="168"/>
      <c r="Q5" s="168"/>
    </row>
    <row r="6" spans="2:17">
      <c r="B6" s="3" t="s">
        <v>94</v>
      </c>
      <c r="D6" s="96">
        <f>'Existing Rates &amp; Forecast Vols'!D7</f>
        <v>1.52E-2</v>
      </c>
      <c r="E6" s="4">
        <f>'Existing Rates &amp; Forecast Vols'!C7</f>
        <v>18.170000000000002</v>
      </c>
      <c r="F6" s="165">
        <f>'Target MSC Change'!D6</f>
        <v>19.241640204446238</v>
      </c>
      <c r="G6" s="4">
        <f>E6+((F6-E6)/4)</f>
        <v>18.437910051111562</v>
      </c>
      <c r="H6" s="93">
        <f>H8*'Existing F_V Ratios'!C89</f>
        <v>6674629.5407946836</v>
      </c>
      <c r="I6" s="93">
        <f>G6*'Existing Rates &amp; Forecast Vols'!F7*12</f>
        <v>3880147.5427961214</v>
      </c>
      <c r="J6" s="94">
        <f>H6-I6</f>
        <v>2794481.9979985622</v>
      </c>
      <c r="K6" s="96">
        <f>J6/'Existing Rates &amp; Forecast Vols'!G7</f>
        <v>1.9389153686808443E-2</v>
      </c>
      <c r="L6" s="96">
        <f>K8-K6</f>
        <v>1.9196131253667453E-3</v>
      </c>
      <c r="M6" s="96">
        <f>K6+(0.25*L6)</f>
        <v>1.9869056968150129E-2</v>
      </c>
      <c r="N6" s="101">
        <f>M6*'Existing Rates &amp; Forecast Vols'!G7</f>
        <v>2863648.5589610552</v>
      </c>
      <c r="P6" s="169">
        <f>G6</f>
        <v>18.437910051111562</v>
      </c>
      <c r="Q6" s="170">
        <f>M6</f>
        <v>1.9869056968150129E-2</v>
      </c>
    </row>
    <row r="7" spans="2:17">
      <c r="B7" s="3" t="s">
        <v>95</v>
      </c>
      <c r="D7" s="96">
        <f>'Existing Rates &amp; Forecast Vols'!D21</f>
        <v>2.1999999999999999E-2</v>
      </c>
      <c r="E7" s="4">
        <f>'Existing Rates &amp; Forecast Vols'!C21</f>
        <v>15.57</v>
      </c>
      <c r="F7" s="165">
        <f>'Target MSC Change'!D14</f>
        <v>19.241640204446238</v>
      </c>
      <c r="G7" s="4">
        <f>E7+((F7-E7)/4)</f>
        <v>16.487910051111559</v>
      </c>
      <c r="H7" s="94">
        <f>H8-H6</f>
        <v>3256791.2252053171</v>
      </c>
      <c r="I7" s="93">
        <f>G7*'Existing Rates &amp; Forecast Vols'!F21*12</f>
        <v>1612913.3128399374</v>
      </c>
      <c r="J7" s="94">
        <f>H7-I7</f>
        <v>1643877.9123653797</v>
      </c>
      <c r="K7" s="96">
        <f>J7/'Existing Rates &amp; Forecast Vols'!G21</f>
        <v>2.5620766636899481E-2</v>
      </c>
      <c r="L7" s="96">
        <f>K8-K7</f>
        <v>-4.3119998247242927E-3</v>
      </c>
      <c r="M7" s="96">
        <f>N7/'Existing Rates &amp; Forecast Vols'!G21</f>
        <v>2.4542766680718413E-2</v>
      </c>
      <c r="N7" s="94">
        <f>N8-N6</f>
        <v>1574711.3514028871</v>
      </c>
      <c r="P7" s="169">
        <f>G7</f>
        <v>16.487910051111559</v>
      </c>
      <c r="Q7" s="170">
        <f>M7</f>
        <v>2.4542766680718413E-2</v>
      </c>
    </row>
    <row r="8" spans="2:17">
      <c r="B8" s="3" t="s">
        <v>105</v>
      </c>
      <c r="F8" s="166"/>
      <c r="G8" s="99">
        <f>I8/'Existing Rates &amp; Forecast Vols'!F35/12</f>
        <v>17.819108229320133</v>
      </c>
      <c r="H8" s="100">
        <f>'2013 Rate Design'!C19</f>
        <v>9931420.7660000008</v>
      </c>
      <c r="I8" s="101">
        <f>I6+I7</f>
        <v>5493060.8556360584</v>
      </c>
      <c r="J8" s="101">
        <f>H8-I8</f>
        <v>4438359.9103639424</v>
      </c>
      <c r="K8" s="102">
        <f>J8/'Existing Rates &amp; Forecast Vols'!G35</f>
        <v>2.1308766812175188E-2</v>
      </c>
      <c r="L8" s="104"/>
      <c r="N8" s="94">
        <f>J8</f>
        <v>4438359.9103639424</v>
      </c>
      <c r="P8" s="168"/>
      <c r="Q8" s="168"/>
    </row>
    <row r="9" spans="2:17">
      <c r="F9" s="166"/>
      <c r="G9" s="4"/>
      <c r="H9" s="87"/>
      <c r="L9" s="105"/>
      <c r="P9" s="168"/>
      <c r="Q9" s="168"/>
    </row>
    <row r="10" spans="2:17">
      <c r="B10" s="3" t="s">
        <v>96</v>
      </c>
      <c r="D10" s="96">
        <f>'Existing Rates &amp; Forecast Vols'!D8</f>
        <v>2.2599999999999999E-2</v>
      </c>
      <c r="E10" s="4">
        <f>'Existing Rates &amp; Forecast Vols'!C8</f>
        <v>20.98</v>
      </c>
      <c r="F10" s="165">
        <f>'Target MSC Change'!D7</f>
        <v>27.14663958803666</v>
      </c>
      <c r="G10" s="4">
        <f>E10+((F10-E10)/4)</f>
        <v>22.521659897009165</v>
      </c>
      <c r="H10" s="93">
        <f>H12*'Existing F_V Ratios'!C90</f>
        <v>1681965.3383249969</v>
      </c>
      <c r="I10" s="93">
        <f>G10*'Existing Rates &amp; Forecast Vols'!F8*12</f>
        <v>441334.44734179159</v>
      </c>
      <c r="J10" s="94">
        <f>H10-I10</f>
        <v>1240630.8909832053</v>
      </c>
      <c r="K10" s="96">
        <f>J10/'Existing Rates &amp; Forecast Vols'!G8</f>
        <v>2.5372963998329535E-2</v>
      </c>
      <c r="L10" s="96">
        <f>K12-K10</f>
        <v>-2.3853831018713842E-3</v>
      </c>
      <c r="M10" s="96">
        <f>N10/'Existing Rates &amp; Forecast Vols'!G8</f>
        <v>2.4776618222861688E-2</v>
      </c>
      <c r="N10" s="107">
        <f>N12-N11</f>
        <v>1211472.0985456542</v>
      </c>
      <c r="P10" s="169">
        <f>G10</f>
        <v>22.521659897009165</v>
      </c>
      <c r="Q10" s="170">
        <f>M10</f>
        <v>2.4776618222861688E-2</v>
      </c>
    </row>
    <row r="11" spans="2:17">
      <c r="B11" s="3" t="s">
        <v>97</v>
      </c>
      <c r="D11" s="96">
        <f>'Existing Rates &amp; Forecast Vols'!D22</f>
        <v>1.4500000000000001E-2</v>
      </c>
      <c r="E11" s="4">
        <f>'Existing Rates &amp; Forecast Vols'!C22</f>
        <v>30.89</v>
      </c>
      <c r="F11" s="165">
        <f>'Target MSC Change'!D15</f>
        <v>27.14663958803666</v>
      </c>
      <c r="G11" s="4">
        <f>E11+((F11-E11)/4)</f>
        <v>29.954159897009166</v>
      </c>
      <c r="H11" s="94">
        <f>H12-H10</f>
        <v>744116.66167500312</v>
      </c>
      <c r="I11" s="93">
        <f>G11*'Existing Rates &amp; Forecast Vols'!F22*12</f>
        <v>319191.52786252968</v>
      </c>
      <c r="J11" s="94">
        <f>H11-I11</f>
        <v>424925.13381247345</v>
      </c>
      <c r="K11" s="96">
        <f>J11/'Existing Rates &amp; Forecast Vols'!G22</f>
        <v>1.8036774158285487E-2</v>
      </c>
      <c r="L11" s="96">
        <f>K12-K11</f>
        <v>4.9508067381726639E-3</v>
      </c>
      <c r="M11" s="96">
        <f>K11+(0.25*L11)</f>
        <v>1.9274475842828653E-2</v>
      </c>
      <c r="N11" s="101">
        <f>M11*'Existing Rates &amp; Forecast Vols'!G22</f>
        <v>454083.92625002435</v>
      </c>
      <c r="P11" s="169">
        <f>G11</f>
        <v>29.954159897009166</v>
      </c>
      <c r="Q11" s="170">
        <f>M11</f>
        <v>1.9274475842828653E-2</v>
      </c>
    </row>
    <row r="12" spans="2:17">
      <c r="B12" s="3" t="s">
        <v>106</v>
      </c>
      <c r="F12" s="166"/>
      <c r="G12" s="99">
        <f>I12/'Existing Rates &amp; Forecast Vols'!F36/12</f>
        <v>25.139692423784254</v>
      </c>
      <c r="H12" s="100">
        <f>'2013 Rate Design'!C20</f>
        <v>2426082</v>
      </c>
      <c r="I12" s="101">
        <f>I10+I11</f>
        <v>760525.97520432132</v>
      </c>
      <c r="J12" s="101">
        <f>H12-I12</f>
        <v>1665556.0247956787</v>
      </c>
      <c r="K12" s="102">
        <f>J12/'Existing Rates &amp; Forecast Vols'!G36</f>
        <v>2.2987580896458151E-2</v>
      </c>
      <c r="L12" s="104"/>
      <c r="N12" s="94">
        <f>J12</f>
        <v>1665556.0247956787</v>
      </c>
      <c r="P12" s="168"/>
      <c r="Q12" s="168"/>
    </row>
    <row r="13" spans="2:17">
      <c r="F13" s="166"/>
      <c r="G13" s="4"/>
      <c r="L13" s="105"/>
      <c r="P13" s="168"/>
      <c r="Q13" s="168"/>
    </row>
    <row r="14" spans="2:17">
      <c r="B14" s="3" t="s">
        <v>98</v>
      </c>
      <c r="D14" s="3">
        <f>'Existing Rates &amp; Forecast Vols'!D9</f>
        <v>7.2561</v>
      </c>
      <c r="E14" s="4">
        <f>'Existing Rates &amp; Forecast Vols'!C9</f>
        <v>133.68</v>
      </c>
      <c r="F14" s="165">
        <f>'Target MSC Change'!D8</f>
        <v>145.84</v>
      </c>
      <c r="G14" s="4">
        <f>E14+((F14-E14)/3)</f>
        <v>137.73333333333335</v>
      </c>
      <c r="H14" s="93">
        <f>H16*'Existing F_V Ratios'!C91</f>
        <v>3304232.6669710851</v>
      </c>
      <c r="I14" s="94">
        <f>G14*'Existing Rates &amp; Forecast Vols'!F9*12</f>
        <v>246267.20000000004</v>
      </c>
      <c r="J14" s="94">
        <f>H14-I14</f>
        <v>3057965.4669710849</v>
      </c>
      <c r="K14" s="96">
        <f>J14/'Existing Rates &amp; Forecast Vols'!H9</f>
        <v>8.0535932572677655</v>
      </c>
      <c r="L14" s="96">
        <f>K16-K14</f>
        <v>-1.9843544459869111</v>
      </c>
      <c r="M14" s="96">
        <f>N14/'Existing Rates &amp; Forecast Vols'!H9</f>
        <v>7.3987562900920842</v>
      </c>
      <c r="N14" s="94">
        <f>N16-N15</f>
        <v>2809322.5608605444</v>
      </c>
      <c r="P14" s="169">
        <f>G14</f>
        <v>137.73333333333335</v>
      </c>
      <c r="Q14" s="170">
        <f>M14</f>
        <v>7.3987562900920842</v>
      </c>
    </row>
    <row r="15" spans="2:17">
      <c r="B15" s="3" t="s">
        <v>108</v>
      </c>
      <c r="D15" s="3">
        <f>'Existing Rates &amp; Forecast Vols'!D23</f>
        <v>2.7711999999999999</v>
      </c>
      <c r="E15" s="4">
        <f>'Existing Rates &amp; Forecast Vols'!C23</f>
        <v>557.9</v>
      </c>
      <c r="F15" s="165">
        <f>'Target MSC Change'!D16</f>
        <v>145.84</v>
      </c>
      <c r="G15" s="4">
        <f>E15+((F15-E15)/3)</f>
        <v>420.54666666666662</v>
      </c>
      <c r="H15" s="94">
        <f>H16-H14</f>
        <v>1536778.1330289147</v>
      </c>
      <c r="I15" s="94">
        <f>G15*'Existing Rates &amp; Forecast Vols'!F23*12</f>
        <v>398678.23999999993</v>
      </c>
      <c r="J15" s="94">
        <f>H15-I15</f>
        <v>1138099.8930289147</v>
      </c>
      <c r="K15" s="96">
        <f>J15/'Existing Rates &amp; Forecast Vols'!H23</f>
        <v>3.6516886551828724</v>
      </c>
      <c r="L15" s="96">
        <f>K16-K15</f>
        <v>2.417550156097982</v>
      </c>
      <c r="M15" s="96">
        <f>K15+(0.33*L15)</f>
        <v>4.4494802066952062</v>
      </c>
      <c r="N15" s="101">
        <f>M15*'Existing Rates &amp; Forecast Vols'!H23</f>
        <v>1386742.7991394547</v>
      </c>
      <c r="P15" s="169">
        <f>G15</f>
        <v>420.54666666666662</v>
      </c>
      <c r="Q15" s="170">
        <f>M15</f>
        <v>4.4494802066952062</v>
      </c>
    </row>
    <row r="16" spans="2:17">
      <c r="B16" s="3" t="s">
        <v>107</v>
      </c>
      <c r="F16" s="166"/>
      <c r="G16" s="99">
        <f>I16/'Existing Rates &amp; Forecast Vols'!F37/12</f>
        <v>235.72567251461987</v>
      </c>
      <c r="H16" s="100">
        <f>'2013 Rate Design'!C21</f>
        <v>4841010.8</v>
      </c>
      <c r="I16" s="101">
        <f>I14+I15</f>
        <v>644945.43999999994</v>
      </c>
      <c r="J16" s="101">
        <f>H16-I16</f>
        <v>4196065.3599999994</v>
      </c>
      <c r="K16" s="102">
        <f>J16/'Existing Rates &amp; Forecast Vols'!H37</f>
        <v>6.0692388112808544</v>
      </c>
      <c r="L16" s="104"/>
      <c r="N16" s="94">
        <f>J16</f>
        <v>4196065.3599999994</v>
      </c>
      <c r="P16" s="168"/>
      <c r="Q16" s="168"/>
    </row>
    <row r="17" spans="2:17">
      <c r="F17" s="166"/>
      <c r="G17" s="4"/>
      <c r="L17" s="105"/>
      <c r="P17" s="168"/>
      <c r="Q17" s="168"/>
    </row>
    <row r="18" spans="2:17">
      <c r="B18" s="3" t="s">
        <v>99</v>
      </c>
      <c r="D18" s="96">
        <f>'Existing Rates &amp; Forecast Vols'!D10</f>
        <v>4.1300000000000003E-2</v>
      </c>
      <c r="E18" s="4">
        <f>'Existing Rates &amp; Forecast Vols'!C10</f>
        <v>70.069999999999993</v>
      </c>
      <c r="F18" s="165">
        <v>31.65</v>
      </c>
      <c r="G18" s="4">
        <f>E18+((F18-E18)/4)</f>
        <v>60.464999999999996</v>
      </c>
      <c r="H18" s="93">
        <f>H20*'Existing F_V Ratios'!C92</f>
        <v>57341.53522556102</v>
      </c>
      <c r="I18" s="93">
        <f>G18*'Existing Rates &amp; Forecast Vols'!F10*12</f>
        <v>18139.5</v>
      </c>
      <c r="J18" s="94">
        <f>H18-I18</f>
        <v>39202.03522556102</v>
      </c>
      <c r="K18" s="96">
        <f>J18/'Existing Rates &amp; Forecast Vols'!G10</f>
        <v>4.143479033769823E-2</v>
      </c>
      <c r="L18" s="96">
        <f>K20-K18</f>
        <v>-5.9330028855325775E-3</v>
      </c>
      <c r="M18" s="96">
        <f>N18/'Existing Rates &amp; Forecast Vols'!G10</f>
        <v>3.9951539616315077E-2</v>
      </c>
      <c r="N18" s="94">
        <f>N20-N19</f>
        <v>37798.710952550326</v>
      </c>
      <c r="P18" s="169">
        <f>G18</f>
        <v>60.464999999999996</v>
      </c>
      <c r="Q18" s="170">
        <f>M18</f>
        <v>3.9951539616315077E-2</v>
      </c>
    </row>
    <row r="19" spans="2:17">
      <c r="B19" s="3" t="s">
        <v>102</v>
      </c>
      <c r="D19" s="96">
        <f>'Existing Rates &amp; Forecast Vols'!D24</f>
        <v>2.63E-2</v>
      </c>
      <c r="E19" s="4">
        <f>'Existing Rates &amp; Forecast Vols'!C24</f>
        <v>51.63</v>
      </c>
      <c r="F19" s="165">
        <v>31.65</v>
      </c>
      <c r="G19" s="4">
        <f>E19+((F19-E19)/4)</f>
        <v>46.635000000000005</v>
      </c>
      <c r="H19" s="94">
        <f>H20-H18</f>
        <v>22876.855374438994</v>
      </c>
      <c r="I19" s="93">
        <f>G19*'Existing Rates &amp; Forecast Vols'!F24*12</f>
        <v>7834.6800000000012</v>
      </c>
      <c r="J19" s="94">
        <f>H19-I19</f>
        <v>15042.175374438993</v>
      </c>
      <c r="K19" s="96">
        <f>J19/'Existing Rates &amp; Forecast Vols'!G24</f>
        <v>2.5853880313224983E-2</v>
      </c>
      <c r="L19" s="96">
        <f>K20-K19</f>
        <v>9.6479071389406687E-3</v>
      </c>
      <c r="M19" s="96">
        <f>K19+(0.25*L19)</f>
        <v>2.8265857097960152E-2</v>
      </c>
      <c r="N19" s="101">
        <f>M19*'Existing Rates &amp; Forecast Vols'!G24</f>
        <v>16445.499647449687</v>
      </c>
      <c r="P19" s="169">
        <f>G19</f>
        <v>46.635000000000005</v>
      </c>
      <c r="Q19" s="170">
        <f>M19</f>
        <v>2.8265857097960152E-2</v>
      </c>
    </row>
    <row r="20" spans="2:17">
      <c r="B20" s="3" t="s">
        <v>109</v>
      </c>
      <c r="F20" s="166"/>
      <c r="G20" s="99">
        <f>I20/'Existing Rates &amp; Forecast Vols'!F38/12</f>
        <v>55.500384615384611</v>
      </c>
      <c r="H20" s="100">
        <f>'2013 Rate Design'!C22</f>
        <v>80218.390600000013</v>
      </c>
      <c r="I20" s="101">
        <f>I18+I19</f>
        <v>25974.18</v>
      </c>
      <c r="J20" s="101">
        <f>H20-I20</f>
        <v>54244.210600000013</v>
      </c>
      <c r="K20" s="102">
        <f>J20/'Existing Rates &amp; Forecast Vols'!G38</f>
        <v>3.5501787452165652E-2</v>
      </c>
      <c r="L20" s="104"/>
      <c r="N20" s="94">
        <f>J20</f>
        <v>54244.210600000013</v>
      </c>
      <c r="P20" s="168"/>
      <c r="Q20" s="168"/>
    </row>
    <row r="21" spans="2:17">
      <c r="F21" s="166"/>
      <c r="G21" s="4"/>
      <c r="L21" s="105"/>
      <c r="P21" s="168"/>
      <c r="Q21" s="168"/>
    </row>
    <row r="22" spans="2:17">
      <c r="B22" s="3" t="s">
        <v>100</v>
      </c>
      <c r="D22" s="96">
        <f>'Existing Rates &amp; Forecast Vols'!D11</f>
        <v>4.2721999999999998</v>
      </c>
      <c r="E22" s="4">
        <f>'Existing Rates &amp; Forecast Vols'!C11</f>
        <v>3.79</v>
      </c>
      <c r="F22" s="165">
        <f>'Target MSC Change'!D10</f>
        <v>4.8901117683708524</v>
      </c>
      <c r="G22" s="4">
        <v>5</v>
      </c>
      <c r="H22" s="93">
        <f>H24*'Existing F_V Ratios'!C93</f>
        <v>66275.277855400651</v>
      </c>
      <c r="I22" s="94">
        <f>G22*'Existing Rates &amp; Forecast Vols'!F11*12</f>
        <v>55200</v>
      </c>
      <c r="J22" s="94">
        <f>H22-I22</f>
        <v>11075.277855400651</v>
      </c>
      <c r="K22" s="95">
        <f>J22/'Existing Rates &amp; Forecast Vols'!H11</f>
        <v>4.8279328053185049</v>
      </c>
      <c r="L22" s="96">
        <f>K24-K22</f>
        <v>0.1809975288717256</v>
      </c>
      <c r="M22" s="173">
        <f>K24</f>
        <v>5.0089303341902305</v>
      </c>
      <c r="N22" s="101">
        <f>M22*'Existing Rates &amp; Forecast Vols'!H11</f>
        <v>11490.486186632388</v>
      </c>
      <c r="P22" s="169">
        <f>G22</f>
        <v>5</v>
      </c>
      <c r="Q22" s="170">
        <f>M22</f>
        <v>5.0089303341902305</v>
      </c>
    </row>
    <row r="23" spans="2:17">
      <c r="B23" s="3" t="s">
        <v>103</v>
      </c>
      <c r="D23" s="96">
        <f>'Existing Rates &amp; Forecast Vols'!D25</f>
        <v>7.0224000000000002</v>
      </c>
      <c r="E23" s="4">
        <f>'Existing Rates &amp; Forecast Vols'!C25</f>
        <v>4.3</v>
      </c>
      <c r="F23" s="165">
        <f>'Target MSC Change'!D18</f>
        <v>4.8901117683708524</v>
      </c>
      <c r="G23" s="4">
        <v>5</v>
      </c>
      <c r="H23" s="94">
        <f>H24-H22</f>
        <v>3075.565544599347</v>
      </c>
      <c r="I23" s="94">
        <f>G23*'Existing Rates &amp; Forecast Vols'!F25*12</f>
        <v>2460</v>
      </c>
      <c r="J23" s="94">
        <f>H23-I23</f>
        <v>615.56554459934705</v>
      </c>
      <c r="K23" s="95">
        <f>J23/'Existing Rates &amp; Forecast Vols'!H25</f>
        <v>15.389138614983676</v>
      </c>
      <c r="L23" s="96">
        <f>K24-K23</f>
        <v>-10.380208280793445</v>
      </c>
      <c r="M23" s="173">
        <f>N23/'Existing Rates &amp; Forecast Vols'!H25</f>
        <v>5.0089303341902447</v>
      </c>
      <c r="N23" s="94">
        <f>N24-N22</f>
        <v>200.3572133676098</v>
      </c>
      <c r="P23" s="169">
        <f>G23</f>
        <v>5</v>
      </c>
      <c r="Q23" s="170">
        <f>M23</f>
        <v>5.0089303341902447</v>
      </c>
    </row>
    <row r="24" spans="2:17">
      <c r="B24" s="3" t="s">
        <v>110</v>
      </c>
      <c r="F24" s="166"/>
      <c r="G24" s="99">
        <f>I24/'Existing Rates &amp; Forecast Vols'!F39/12</f>
        <v>5</v>
      </c>
      <c r="H24" s="100">
        <f>'2013 Rate Design'!C23</f>
        <v>69350.843399999998</v>
      </c>
      <c r="I24" s="101">
        <f>I22+I23</f>
        <v>57660</v>
      </c>
      <c r="J24" s="101">
        <f>H24-I24</f>
        <v>11690.843399999998</v>
      </c>
      <c r="K24" s="102">
        <f>J24/'Existing Rates &amp; Forecast Vols'!H39</f>
        <v>5.0089303341902305</v>
      </c>
      <c r="L24" s="106"/>
      <c r="N24" s="94">
        <f>J24</f>
        <v>11690.843399999998</v>
      </c>
      <c r="P24" s="168"/>
      <c r="Q24" s="168"/>
    </row>
    <row r="25" spans="2:17">
      <c r="F25" s="166"/>
      <c r="G25" s="4"/>
      <c r="I25" s="94"/>
      <c r="L25" s="105"/>
      <c r="P25" s="168"/>
      <c r="Q25" s="168"/>
    </row>
    <row r="26" spans="2:17">
      <c r="B26" s="3" t="s">
        <v>101</v>
      </c>
      <c r="D26" s="104">
        <f>'Existing Rates &amp; Forecast Vols'!D12</f>
        <v>9.6593999999999998</v>
      </c>
      <c r="E26" s="163">
        <f>'Existing Rates &amp; Forecast Vols'!C12</f>
        <v>4.95</v>
      </c>
      <c r="F26" s="165">
        <f>'Target MSC Change'!D11</f>
        <v>4.7589955591308497</v>
      </c>
      <c r="G26" s="174">
        <v>5.53</v>
      </c>
      <c r="H26" s="164">
        <f>H28*'Existing F_V Ratios'!C94</f>
        <v>307837.07412612473</v>
      </c>
      <c r="I26" s="107">
        <f>G26*'Existing Rates &amp; Forecast Vols'!F12*12</f>
        <v>245266.56</v>
      </c>
      <c r="J26" s="107">
        <f>H26-I26</f>
        <v>62570.514126124734</v>
      </c>
      <c r="K26" s="106">
        <f>J26/'Existing Rates &amp; Forecast Vols'!H12</f>
        <v>8.1578245275260404</v>
      </c>
      <c r="L26" s="104">
        <f>K28-K26</f>
        <v>1.6515265624731121</v>
      </c>
      <c r="M26" s="104">
        <f>N26/'Existing Rates &amp; Forecast Vols'!H12</f>
        <v>9.8093510899991507</v>
      </c>
      <c r="N26" s="107">
        <f>N28-N27</f>
        <v>75237.722860293492</v>
      </c>
      <c r="P26" s="169">
        <f>G26</f>
        <v>5.53</v>
      </c>
      <c r="Q26" s="170">
        <f>M26</f>
        <v>9.8093510899991507</v>
      </c>
    </row>
    <row r="27" spans="2:17">
      <c r="B27" s="3" t="s">
        <v>104</v>
      </c>
      <c r="D27" s="104">
        <f>'Existing Rates &amp; Forecast Vols'!D26</f>
        <v>8.7698</v>
      </c>
      <c r="E27" s="163">
        <f>'Existing Rates &amp; Forecast Vols'!C26</f>
        <v>3.07</v>
      </c>
      <c r="F27" s="165">
        <f>'Target MSC Change'!D19</f>
        <v>4.7589955591308497</v>
      </c>
      <c r="G27" s="174">
        <v>3.61</v>
      </c>
      <c r="H27" s="107">
        <f>H28-H26</f>
        <v>139711.92587387527</v>
      </c>
      <c r="I27" s="107">
        <f>G27*'Existing Rates &amp; Forecast Vols'!F26*12</f>
        <v>86640</v>
      </c>
      <c r="J27" s="107">
        <f>H27-I27</f>
        <v>53071.925873875269</v>
      </c>
      <c r="K27" s="106">
        <f>J27/'Existing Rates &amp; Forecast Vols'!H26</f>
        <v>12.884662751608465</v>
      </c>
      <c r="L27" s="104">
        <f>K28-K27</f>
        <v>-3.0753116616093124</v>
      </c>
      <c r="M27" s="104">
        <f>K28</f>
        <v>9.8093510899991525</v>
      </c>
      <c r="N27" s="101">
        <f>M27*'Existing Rates &amp; Forecast Vols'!H26</f>
        <v>40404.71713970651</v>
      </c>
      <c r="P27" s="169">
        <f>G27</f>
        <v>3.61</v>
      </c>
      <c r="Q27" s="170">
        <f>M27</f>
        <v>9.8093510899991525</v>
      </c>
    </row>
    <row r="28" spans="2:17">
      <c r="B28" s="3" t="s">
        <v>111</v>
      </c>
      <c r="G28" s="103">
        <f>I28/'Existing Rates &amp; Forecast Vols'!F40/12</f>
        <v>4.855842696629213</v>
      </c>
      <c r="H28" s="100">
        <f>'2013 Rate Design'!C24</f>
        <v>447549</v>
      </c>
      <c r="I28" s="101">
        <f>I26+I27</f>
        <v>331906.56</v>
      </c>
      <c r="J28" s="101">
        <f>H28-I28</f>
        <v>115642.44</v>
      </c>
      <c r="K28" s="102">
        <f>J28/'Existing Rates &amp; Forecast Vols'!H40</f>
        <v>9.8093510899991525</v>
      </c>
      <c r="L28" s="106"/>
      <c r="N28" s="94">
        <f>J28</f>
        <v>115642.44</v>
      </c>
    </row>
    <row r="30" spans="2:17">
      <c r="B30" s="3" t="s">
        <v>175</v>
      </c>
      <c r="H30" s="94">
        <f>H8+H12+H16+H20+H24+H28</f>
        <v>17795631.800000001</v>
      </c>
    </row>
    <row r="32" spans="2:17" ht="15">
      <c r="F32" s="224" t="s">
        <v>53</v>
      </c>
      <c r="G32" s="224"/>
      <c r="H32" s="66" t="str">
        <f>IF('2013 Rate Design'!C26-'2013 Area Rate Design'!H30&lt;1,"YES","NO")</f>
        <v>YES</v>
      </c>
    </row>
  </sheetData>
  <mergeCells count="3">
    <mergeCell ref="F32:G32"/>
    <mergeCell ref="D3:N3"/>
    <mergeCell ref="P3:Q3"/>
  </mergeCells>
  <pageMargins left="0.25" right="0.25" top="0.75" bottom="0.75" header="0.3" footer="0.3"/>
  <pageSetup scale="66"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B3:O49"/>
  <sheetViews>
    <sheetView view="pageBreakPreview" zoomScale="60" zoomScaleNormal="100" workbookViewId="0">
      <selection sqref="A1:P50"/>
    </sheetView>
  </sheetViews>
  <sheetFormatPr defaultRowHeight="1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 min="16" max="16" width="4.140625" customWidth="1"/>
  </cols>
  <sheetData>
    <row r="3" spans="2:15" ht="18">
      <c r="B3" s="233" t="s">
        <v>138</v>
      </c>
      <c r="C3" s="233"/>
      <c r="D3" s="233"/>
      <c r="E3" s="233"/>
      <c r="F3" s="233"/>
      <c r="G3" s="233"/>
      <c r="H3" s="233"/>
      <c r="I3" s="233"/>
      <c r="J3" s="233"/>
      <c r="K3" s="233"/>
      <c r="L3" s="233"/>
      <c r="M3" s="233"/>
      <c r="N3" s="233"/>
      <c r="O3" s="233"/>
    </row>
    <row r="4" spans="2:15" ht="15.75" thickBot="1">
      <c r="B4" s="149" t="s">
        <v>139</v>
      </c>
    </row>
    <row r="5" spans="2:15" ht="15.75" thickBot="1">
      <c r="B5" s="108" t="s">
        <v>125</v>
      </c>
      <c r="C5" s="227" t="s">
        <v>126</v>
      </c>
      <c r="D5" s="109"/>
      <c r="E5" s="229" t="s">
        <v>127</v>
      </c>
      <c r="F5" s="230"/>
      <c r="G5" s="229" t="s">
        <v>128</v>
      </c>
      <c r="H5" s="232"/>
      <c r="I5" s="230"/>
      <c r="J5" s="227" t="s">
        <v>129</v>
      </c>
      <c r="K5" s="150"/>
      <c r="L5" s="231"/>
      <c r="M5" s="231"/>
      <c r="N5" s="231"/>
      <c r="O5" s="231"/>
    </row>
    <row r="6" spans="2:15" ht="39" thickBot="1">
      <c r="B6" s="111"/>
      <c r="C6" s="228"/>
      <c r="D6" s="112" t="s">
        <v>133</v>
      </c>
      <c r="E6" s="113" t="s">
        <v>9</v>
      </c>
      <c r="F6" s="114" t="s">
        <v>12</v>
      </c>
      <c r="G6" s="112" t="s">
        <v>134</v>
      </c>
      <c r="H6" s="229" t="s">
        <v>135</v>
      </c>
      <c r="I6" s="230"/>
      <c r="J6" s="228"/>
      <c r="K6" s="151"/>
      <c r="L6" s="231"/>
      <c r="M6" s="231"/>
      <c r="N6" s="231"/>
      <c r="O6" s="231"/>
    </row>
    <row r="7" spans="2:15">
      <c r="B7" s="116"/>
      <c r="C7" s="116"/>
      <c r="D7" s="116"/>
      <c r="E7" s="116"/>
      <c r="F7" s="117"/>
      <c r="G7" s="116"/>
      <c r="H7" s="118" t="s">
        <v>9</v>
      </c>
      <c r="I7" s="118" t="s">
        <v>12</v>
      </c>
      <c r="J7" s="119"/>
      <c r="K7" s="152"/>
      <c r="L7" s="155"/>
      <c r="M7" s="155"/>
      <c r="N7" s="155"/>
      <c r="O7" s="155"/>
    </row>
    <row r="8" spans="2:15">
      <c r="B8" s="121"/>
      <c r="C8" s="121"/>
      <c r="D8" s="121"/>
      <c r="E8" s="121"/>
      <c r="F8" s="122"/>
      <c r="G8" s="121"/>
      <c r="H8" s="121"/>
      <c r="I8" s="121"/>
      <c r="J8" s="121"/>
      <c r="K8" s="153"/>
      <c r="L8" s="155"/>
      <c r="M8" s="155"/>
      <c r="N8" s="155"/>
      <c r="O8" s="155"/>
    </row>
    <row r="9" spans="2:15">
      <c r="B9" s="124" t="s">
        <v>8</v>
      </c>
      <c r="C9" s="124" t="s">
        <v>136</v>
      </c>
      <c r="D9" s="125">
        <f>'Existing Rates &amp; Forecast Vols'!F7</f>
        <v>17537</v>
      </c>
      <c r="E9" s="126">
        <f>'Existing Rates &amp; Forecast Vols'!G7</f>
        <v>144126043</v>
      </c>
      <c r="F9" s="127"/>
      <c r="G9" s="128">
        <f>'2013 Area Rate Design'!P6</f>
        <v>18.437910051111562</v>
      </c>
      <c r="H9" s="129">
        <f>'2013 Area Rate Design'!Q6</f>
        <v>1.9869056968150129E-2</v>
      </c>
      <c r="I9" s="129"/>
      <c r="J9" s="130">
        <f t="shared" ref="J9:J14" si="0">G9*D9*12+H9*E9+I9*F9</f>
        <v>6743796.1017571762</v>
      </c>
      <c r="K9" s="153"/>
      <c r="L9" s="156"/>
      <c r="M9" s="156"/>
      <c r="N9" s="157"/>
      <c r="O9" s="157"/>
    </row>
    <row r="10" spans="2:15">
      <c r="B10" s="124" t="s">
        <v>10</v>
      </c>
      <c r="C10" s="124" t="s">
        <v>136</v>
      </c>
      <c r="D10" s="125">
        <f>'Existing Rates &amp; Forecast Vols'!F8</f>
        <v>1633</v>
      </c>
      <c r="E10" s="126">
        <f>'Existing Rates &amp; Forecast Vols'!G8</f>
        <v>48895781</v>
      </c>
      <c r="F10" s="127"/>
      <c r="G10" s="128">
        <f>'2013 Area Rate Design'!P10</f>
        <v>22.521659897009165</v>
      </c>
      <c r="H10" s="129">
        <f>'2013 Area Rate Design'!Q10</f>
        <v>2.4776618222861688E-2</v>
      </c>
      <c r="I10" s="129"/>
      <c r="J10" s="130">
        <f t="shared" si="0"/>
        <v>1652806.5458874458</v>
      </c>
      <c r="K10" s="153"/>
      <c r="L10" s="156"/>
      <c r="M10" s="156"/>
      <c r="N10" s="157"/>
      <c r="O10" s="157"/>
    </row>
    <row r="11" spans="2:15">
      <c r="B11" s="124" t="s">
        <v>11</v>
      </c>
      <c r="C11" s="124" t="s">
        <v>136</v>
      </c>
      <c r="D11" s="125">
        <f>'Existing Rates &amp; Forecast Vols'!F9</f>
        <v>149</v>
      </c>
      <c r="E11" s="126">
        <f>'Existing Rates &amp; Forecast Vols'!G9</f>
        <v>135605948</v>
      </c>
      <c r="F11" s="127">
        <f>'Existing Rates &amp; Forecast Vols'!H9</f>
        <v>379702</v>
      </c>
      <c r="G11" s="128">
        <f>'2013 Area Rate Design'!P14</f>
        <v>137.73333333333335</v>
      </c>
      <c r="H11" s="129"/>
      <c r="I11" s="129">
        <f>'2013 Area Rate Design'!Q14</f>
        <v>7.3987562900920842</v>
      </c>
      <c r="J11" s="130">
        <f t="shared" si="0"/>
        <v>3055589.7608605446</v>
      </c>
      <c r="K11" s="153"/>
      <c r="L11" s="156"/>
      <c r="M11" s="156"/>
      <c r="N11" s="157"/>
      <c r="O11" s="157"/>
    </row>
    <row r="12" spans="2:15">
      <c r="B12" s="124" t="s">
        <v>13</v>
      </c>
      <c r="C12" s="124" t="s">
        <v>136</v>
      </c>
      <c r="D12" s="125">
        <f>'Existing Rates &amp; Forecast Vols'!F10</f>
        <v>25</v>
      </c>
      <c r="E12" s="126">
        <f>'Existing Rates &amp; Forecast Vols'!G10</f>
        <v>946114</v>
      </c>
      <c r="F12" s="127"/>
      <c r="G12" s="128">
        <f>'2013 Area Rate Design'!P18</f>
        <v>60.464999999999996</v>
      </c>
      <c r="H12" s="129">
        <f>'2013 Area Rate Design'!Q18</f>
        <v>3.9951539616315077E-2</v>
      </c>
      <c r="I12" s="129"/>
      <c r="J12" s="130">
        <f t="shared" si="0"/>
        <v>55938.210952550326</v>
      </c>
      <c r="K12" s="153"/>
      <c r="L12" s="156"/>
      <c r="M12" s="156"/>
      <c r="N12" s="157"/>
      <c r="O12" s="157"/>
    </row>
    <row r="13" spans="2:15">
      <c r="B13" s="124" t="s">
        <v>14</v>
      </c>
      <c r="C13" s="124" t="s">
        <v>137</v>
      </c>
      <c r="D13" s="125">
        <f>'Existing Rates &amp; Forecast Vols'!F11</f>
        <v>920</v>
      </c>
      <c r="E13" s="126">
        <f>'Existing Rates &amp; Forecast Vols'!G11</f>
        <v>747706</v>
      </c>
      <c r="F13" s="127">
        <f>'Existing Rates &amp; Forecast Vols'!H11</f>
        <v>2294</v>
      </c>
      <c r="G13" s="128">
        <f>'2013 Area Rate Design'!P22</f>
        <v>5</v>
      </c>
      <c r="H13" s="129"/>
      <c r="I13" s="129">
        <f>'2013 Area Rate Design'!Q22</f>
        <v>5.0089303341902305</v>
      </c>
      <c r="J13" s="130">
        <f t="shared" si="0"/>
        <v>66690.486186632392</v>
      </c>
      <c r="K13" s="153"/>
      <c r="L13" s="156"/>
      <c r="M13" s="156"/>
      <c r="N13" s="157"/>
      <c r="O13" s="157"/>
    </row>
    <row r="14" spans="2:15">
      <c r="B14" s="124" t="s">
        <v>15</v>
      </c>
      <c r="C14" s="124" t="s">
        <v>137</v>
      </c>
      <c r="D14" s="125">
        <f>'Existing Rates &amp; Forecast Vols'!F12</f>
        <v>3696</v>
      </c>
      <c r="E14" s="126">
        <f>'Existing Rates &amp; Forecast Vols'!G12</f>
        <v>2687821</v>
      </c>
      <c r="F14" s="127">
        <f>'Existing Rates &amp; Forecast Vols'!H12</f>
        <v>7670</v>
      </c>
      <c r="G14" s="128">
        <f>'2013 Area Rate Design'!P26</f>
        <v>5.53</v>
      </c>
      <c r="H14" s="129"/>
      <c r="I14" s="129">
        <f>'2013 Area Rate Design'!Q26</f>
        <v>9.8093510899991507</v>
      </c>
      <c r="J14" s="130">
        <f t="shared" si="0"/>
        <v>320504.28286029352</v>
      </c>
      <c r="K14" s="153"/>
      <c r="L14" s="156"/>
      <c r="M14" s="156"/>
      <c r="N14" s="157"/>
      <c r="O14" s="157"/>
    </row>
    <row r="15" spans="2:15" ht="15.75" thickBot="1">
      <c r="B15" s="134"/>
      <c r="C15" s="134"/>
      <c r="D15" s="135"/>
      <c r="E15" s="126"/>
      <c r="F15" s="127"/>
      <c r="G15" s="128"/>
      <c r="H15" s="129"/>
      <c r="I15" s="129"/>
      <c r="J15" s="136"/>
      <c r="K15" s="153"/>
      <c r="L15" s="156"/>
      <c r="M15" s="156"/>
      <c r="N15" s="157"/>
      <c r="O15" s="157"/>
    </row>
    <row r="16" spans="2:15" ht="15.75" thickTop="1">
      <c r="B16" s="121"/>
      <c r="C16" s="121"/>
      <c r="D16" s="121"/>
      <c r="E16" s="134"/>
      <c r="F16" s="138"/>
      <c r="G16" s="134"/>
      <c r="H16" s="134"/>
      <c r="I16" s="134"/>
      <c r="J16" s="139"/>
      <c r="K16" s="153"/>
      <c r="L16" s="155"/>
      <c r="M16" s="155"/>
      <c r="N16" s="155"/>
      <c r="O16" s="155"/>
    </row>
    <row r="17" spans="2:15" ht="15.75" thickBot="1">
      <c r="B17" s="141" t="s">
        <v>27</v>
      </c>
      <c r="C17" s="142"/>
      <c r="D17" s="143">
        <f>SUM(D9:D14)</f>
        <v>23960</v>
      </c>
      <c r="E17" s="143">
        <f>SUM(E9:E14)</f>
        <v>333009413</v>
      </c>
      <c r="F17" s="143">
        <f>SUM(F9:F14)</f>
        <v>389666</v>
      </c>
      <c r="G17" s="144"/>
      <c r="H17" s="144"/>
      <c r="I17" s="144"/>
      <c r="J17" s="145">
        <f>SUM(J9:J14)</f>
        <v>11895325.388504645</v>
      </c>
      <c r="K17" s="154"/>
      <c r="L17" s="158"/>
      <c r="M17" s="158"/>
      <c r="N17" s="158"/>
      <c r="O17" s="159"/>
    </row>
    <row r="20" spans="2:15" ht="15.75" thickBot="1">
      <c r="B20" s="149" t="s">
        <v>17</v>
      </c>
    </row>
    <row r="21" spans="2:15" ht="15.75" thickBot="1">
      <c r="B21" s="108" t="s">
        <v>125</v>
      </c>
      <c r="C21" s="227" t="s">
        <v>126</v>
      </c>
      <c r="D21" s="109"/>
      <c r="E21" s="229" t="s">
        <v>127</v>
      </c>
      <c r="F21" s="230"/>
      <c r="G21" s="229" t="s">
        <v>128</v>
      </c>
      <c r="H21" s="232"/>
      <c r="I21" s="230"/>
      <c r="J21" s="227" t="s">
        <v>129</v>
      </c>
      <c r="K21" s="150"/>
      <c r="L21" s="231"/>
      <c r="M21" s="231"/>
      <c r="N21" s="231"/>
      <c r="O21" s="231"/>
    </row>
    <row r="22" spans="2:15" ht="39" thickBot="1">
      <c r="B22" s="111"/>
      <c r="C22" s="228"/>
      <c r="D22" s="112" t="s">
        <v>133</v>
      </c>
      <c r="E22" s="113" t="s">
        <v>9</v>
      </c>
      <c r="F22" s="114" t="s">
        <v>12</v>
      </c>
      <c r="G22" s="112" t="s">
        <v>134</v>
      </c>
      <c r="H22" s="229" t="s">
        <v>135</v>
      </c>
      <c r="I22" s="230"/>
      <c r="J22" s="228"/>
      <c r="K22" s="151"/>
      <c r="L22" s="231"/>
      <c r="M22" s="231"/>
      <c r="N22" s="231"/>
      <c r="O22" s="231"/>
    </row>
    <row r="23" spans="2:15">
      <c r="B23" s="116"/>
      <c r="C23" s="116"/>
      <c r="D23" s="116"/>
      <c r="E23" s="116"/>
      <c r="F23" s="117"/>
      <c r="G23" s="116"/>
      <c r="H23" s="118" t="s">
        <v>9</v>
      </c>
      <c r="I23" s="118" t="s">
        <v>12</v>
      </c>
      <c r="J23" s="119"/>
      <c r="K23" s="152"/>
      <c r="L23" s="155"/>
      <c r="M23" s="155"/>
      <c r="N23" s="155"/>
      <c r="O23" s="155"/>
    </row>
    <row r="24" spans="2:15">
      <c r="B24" s="121"/>
      <c r="C24" s="121"/>
      <c r="D24" s="121"/>
      <c r="E24" s="121"/>
      <c r="F24" s="122"/>
      <c r="G24" s="121"/>
      <c r="H24" s="121"/>
      <c r="I24" s="121"/>
      <c r="J24" s="121"/>
      <c r="K24" s="153"/>
      <c r="L24" s="155"/>
      <c r="M24" s="155"/>
      <c r="N24" s="155"/>
      <c r="O24" s="155"/>
    </row>
    <row r="25" spans="2:15">
      <c r="B25" s="124" t="s">
        <v>8</v>
      </c>
      <c r="C25" s="124" t="s">
        <v>136</v>
      </c>
      <c r="D25" s="125">
        <f>'Existing Rates &amp; Forecast Vols'!F21</f>
        <v>8152</v>
      </c>
      <c r="E25" s="126">
        <f>'Existing Rates &amp; Forecast Vols'!G21</f>
        <v>64161933</v>
      </c>
      <c r="F25" s="127"/>
      <c r="G25" s="128">
        <f>'2013 Area Rate Design'!P7</f>
        <v>16.487910051111559</v>
      </c>
      <c r="H25" s="129">
        <f>'2013 Area Rate Design'!Q7</f>
        <v>2.4542766680718413E-2</v>
      </c>
      <c r="I25" s="129"/>
      <c r="J25" s="130">
        <f t="shared" ref="J25:J30" si="1">G25*D25*12+H25*E25+I25*F25</f>
        <v>3187624.6642428245</v>
      </c>
      <c r="K25" s="153"/>
      <c r="L25" s="156"/>
      <c r="M25" s="156"/>
      <c r="N25" s="157"/>
      <c r="O25" s="157"/>
    </row>
    <row r="26" spans="2:15">
      <c r="B26" s="124" t="s">
        <v>10</v>
      </c>
      <c r="C26" s="124" t="s">
        <v>136</v>
      </c>
      <c r="D26" s="125">
        <f>'Existing Rates &amp; Forecast Vols'!F22</f>
        <v>888</v>
      </c>
      <c r="E26" s="126">
        <f>'Existing Rates &amp; Forecast Vols'!G22</f>
        <v>23558821</v>
      </c>
      <c r="F26" s="127"/>
      <c r="G26" s="128">
        <f>'2013 Area Rate Design'!P11</f>
        <v>29.954159897009166</v>
      </c>
      <c r="H26" s="129">
        <f>'2013 Area Rate Design'!Q11</f>
        <v>1.9274475842828653E-2</v>
      </c>
      <c r="I26" s="129"/>
      <c r="J26" s="130">
        <f t="shared" si="1"/>
        <v>773275.45411255397</v>
      </c>
      <c r="K26" s="153"/>
      <c r="L26" s="156"/>
      <c r="M26" s="156"/>
      <c r="N26" s="157"/>
      <c r="O26" s="157"/>
    </row>
    <row r="27" spans="2:15">
      <c r="B27" s="124" t="s">
        <v>11</v>
      </c>
      <c r="C27" s="124" t="s">
        <v>136</v>
      </c>
      <c r="D27" s="125">
        <f>'Existing Rates &amp; Forecast Vols'!F23</f>
        <v>79</v>
      </c>
      <c r="E27" s="126">
        <f>'Existing Rates &amp; Forecast Vols'!G23</f>
        <v>88694743</v>
      </c>
      <c r="F27" s="127">
        <f>'Existing Rates &amp; Forecast Vols'!H23</f>
        <v>311664</v>
      </c>
      <c r="G27" s="128">
        <f>'2013 Area Rate Design'!P15</f>
        <v>420.54666666666662</v>
      </c>
      <c r="H27" s="129"/>
      <c r="I27" s="129">
        <f>'2013 Area Rate Design'!Q15</f>
        <v>4.4494802066952062</v>
      </c>
      <c r="J27" s="130">
        <f t="shared" si="1"/>
        <v>1785421.0391394547</v>
      </c>
      <c r="K27" s="153"/>
      <c r="L27" s="156"/>
      <c r="M27" s="156"/>
      <c r="N27" s="157"/>
      <c r="O27" s="157"/>
    </row>
    <row r="28" spans="2:15">
      <c r="B28" s="124" t="s">
        <v>13</v>
      </c>
      <c r="C28" s="124" t="s">
        <v>136</v>
      </c>
      <c r="D28" s="125">
        <f>'Existing Rates &amp; Forecast Vols'!F24</f>
        <v>14</v>
      </c>
      <c r="E28" s="126">
        <f>'Existing Rates &amp; Forecast Vols'!G24</f>
        <v>581815</v>
      </c>
      <c r="F28" s="127"/>
      <c r="G28" s="128">
        <f>'2013 Area Rate Design'!P19</f>
        <v>46.635000000000005</v>
      </c>
      <c r="H28" s="129">
        <f>'2013 Area Rate Design'!Q19</f>
        <v>2.8265857097960152E-2</v>
      </c>
      <c r="I28" s="129"/>
      <c r="J28" s="130">
        <f t="shared" si="1"/>
        <v>24280.179647449688</v>
      </c>
      <c r="K28" s="153"/>
      <c r="L28" s="156"/>
      <c r="M28" s="156"/>
      <c r="N28" s="157"/>
      <c r="O28" s="157"/>
    </row>
    <row r="29" spans="2:15">
      <c r="B29" s="124" t="s">
        <v>14</v>
      </c>
      <c r="C29" s="124" t="s">
        <v>137</v>
      </c>
      <c r="D29" s="125">
        <f>'Existing Rates &amp; Forecast Vols'!F25</f>
        <v>41</v>
      </c>
      <c r="E29" s="126">
        <f>'Existing Rates &amp; Forecast Vols'!G25</f>
        <v>13331</v>
      </c>
      <c r="F29" s="127">
        <f>'Existing Rates &amp; Forecast Vols'!H25</f>
        <v>40</v>
      </c>
      <c r="G29" s="128">
        <f>'2013 Area Rate Design'!P23</f>
        <v>5</v>
      </c>
      <c r="H29" s="129"/>
      <c r="I29" s="129">
        <f>'2013 Area Rate Design'!Q23</f>
        <v>5.0089303341902447</v>
      </c>
      <c r="J29" s="130">
        <f t="shared" si="1"/>
        <v>2660.3572133676098</v>
      </c>
      <c r="K29" s="153"/>
      <c r="L29" s="156"/>
      <c r="M29" s="156"/>
      <c r="N29" s="157"/>
      <c r="O29" s="157"/>
    </row>
    <row r="30" spans="2:15">
      <c r="B30" s="124" t="s">
        <v>15</v>
      </c>
      <c r="C30" s="124" t="s">
        <v>137</v>
      </c>
      <c r="D30" s="125">
        <f>'Existing Rates &amp; Forecast Vols'!F26</f>
        <v>2000</v>
      </c>
      <c r="E30" s="126">
        <f>'Existing Rates &amp; Forecast Vols'!G26</f>
        <v>1787582</v>
      </c>
      <c r="F30" s="127">
        <f>'Existing Rates &amp; Forecast Vols'!H26</f>
        <v>4119</v>
      </c>
      <c r="G30" s="128">
        <f>'2013 Area Rate Design'!P27</f>
        <v>3.61</v>
      </c>
      <c r="H30" s="129"/>
      <c r="I30" s="129">
        <f>'2013 Area Rate Design'!Q27</f>
        <v>9.8093510899991525</v>
      </c>
      <c r="J30" s="130">
        <f t="shared" si="1"/>
        <v>127044.71713970651</v>
      </c>
      <c r="K30" s="153"/>
      <c r="L30" s="156"/>
      <c r="M30" s="156"/>
      <c r="N30" s="157"/>
      <c r="O30" s="157"/>
    </row>
    <row r="31" spans="2:15" ht="15.75" thickBot="1">
      <c r="B31" s="134"/>
      <c r="C31" s="134"/>
      <c r="D31" s="135"/>
      <c r="E31" s="126"/>
      <c r="F31" s="127"/>
      <c r="G31" s="128"/>
      <c r="H31" s="129"/>
      <c r="I31" s="129"/>
      <c r="J31" s="136"/>
      <c r="K31" s="153"/>
      <c r="L31" s="156"/>
      <c r="M31" s="156"/>
      <c r="N31" s="157"/>
      <c r="O31" s="157"/>
    </row>
    <row r="32" spans="2:15" ht="15.75" thickTop="1">
      <c r="B32" s="121"/>
      <c r="C32" s="121"/>
      <c r="D32" s="121"/>
      <c r="E32" s="134"/>
      <c r="F32" s="138"/>
      <c r="G32" s="134"/>
      <c r="H32" s="134"/>
      <c r="I32" s="134"/>
      <c r="J32" s="139"/>
      <c r="K32" s="153"/>
      <c r="L32" s="155"/>
      <c r="M32" s="155"/>
      <c r="N32" s="155"/>
      <c r="O32" s="155"/>
    </row>
    <row r="33" spans="2:15" ht="15.75" thickBot="1">
      <c r="B33" s="141" t="s">
        <v>27</v>
      </c>
      <c r="C33" s="142"/>
      <c r="D33" s="143">
        <f>SUM(D25:D30)</f>
        <v>11174</v>
      </c>
      <c r="E33" s="143">
        <f>SUM(E25:E30)</f>
        <v>178798225</v>
      </c>
      <c r="F33" s="143">
        <f>SUM(F25:F30)</f>
        <v>315823</v>
      </c>
      <c r="G33" s="144"/>
      <c r="H33" s="144"/>
      <c r="I33" s="144"/>
      <c r="J33" s="145">
        <f>SUM(J25:J30)</f>
        <v>5900306.4114953578</v>
      </c>
      <c r="K33" s="154"/>
      <c r="L33" s="158"/>
      <c r="M33" s="158"/>
      <c r="N33" s="158"/>
      <c r="O33" s="159"/>
    </row>
    <row r="36" spans="2:15" ht="15.75" thickBot="1">
      <c r="B36" s="149" t="s">
        <v>177</v>
      </c>
    </row>
    <row r="37" spans="2:15" ht="15.75" thickBot="1">
      <c r="B37" s="108" t="s">
        <v>125</v>
      </c>
      <c r="C37" s="227" t="s">
        <v>126</v>
      </c>
      <c r="D37" s="109"/>
      <c r="E37" s="229" t="s">
        <v>127</v>
      </c>
      <c r="F37" s="230"/>
      <c r="G37" s="229" t="s">
        <v>128</v>
      </c>
      <c r="H37" s="232"/>
      <c r="I37" s="230"/>
      <c r="J37" s="227" t="s">
        <v>129</v>
      </c>
      <c r="K37" s="110"/>
      <c r="L37" s="227" t="s">
        <v>130</v>
      </c>
      <c r="M37" s="227" t="s">
        <v>131</v>
      </c>
      <c r="N37" s="227" t="s">
        <v>27</v>
      </c>
      <c r="O37" s="227" t="s">
        <v>132</v>
      </c>
    </row>
    <row r="38" spans="2:15" ht="39" thickBot="1">
      <c r="B38" s="111"/>
      <c r="C38" s="228"/>
      <c r="D38" s="112" t="s">
        <v>133</v>
      </c>
      <c r="E38" s="113" t="s">
        <v>9</v>
      </c>
      <c r="F38" s="114" t="s">
        <v>12</v>
      </c>
      <c r="G38" s="112" t="s">
        <v>134</v>
      </c>
      <c r="H38" s="229" t="s">
        <v>135</v>
      </c>
      <c r="I38" s="230"/>
      <c r="J38" s="228"/>
      <c r="K38" s="115"/>
      <c r="L38" s="228"/>
      <c r="M38" s="228"/>
      <c r="N38" s="228"/>
      <c r="O38" s="228"/>
    </row>
    <row r="39" spans="2:15">
      <c r="B39" s="116"/>
      <c r="C39" s="116"/>
      <c r="D39" s="116"/>
      <c r="E39" s="116"/>
      <c r="F39" s="117"/>
      <c r="G39" s="116"/>
      <c r="H39" s="118" t="s">
        <v>9</v>
      </c>
      <c r="I39" s="118" t="s">
        <v>12</v>
      </c>
      <c r="J39" s="119"/>
      <c r="K39" s="120"/>
      <c r="L39" s="119"/>
      <c r="M39" s="119"/>
      <c r="N39" s="119"/>
      <c r="O39" s="117"/>
    </row>
    <row r="40" spans="2:15">
      <c r="B40" s="121"/>
      <c r="C40" s="121"/>
      <c r="D40" s="121"/>
      <c r="E40" s="121"/>
      <c r="F40" s="122"/>
      <c r="G40" s="121"/>
      <c r="H40" s="121"/>
      <c r="I40" s="121"/>
      <c r="J40" s="121"/>
      <c r="K40" s="123"/>
      <c r="L40" s="121"/>
      <c r="M40" s="121"/>
      <c r="N40" s="121"/>
      <c r="O40" s="122"/>
    </row>
    <row r="41" spans="2:15">
      <c r="B41" s="124" t="s">
        <v>8</v>
      </c>
      <c r="C41" s="124" t="s">
        <v>136</v>
      </c>
      <c r="D41" s="125">
        <f>D9+D25</f>
        <v>25689</v>
      </c>
      <c r="E41" s="125">
        <f>E9+E25</f>
        <v>208287976</v>
      </c>
      <c r="F41" s="125"/>
      <c r="G41" s="128"/>
      <c r="H41" s="129"/>
      <c r="I41" s="129"/>
      <c r="J41" s="125">
        <f>J9+J25</f>
        <v>9931420.7660000008</v>
      </c>
      <c r="K41" s="123"/>
      <c r="L41" s="125">
        <f>'2013 R|C Ratio Adj.'!H5</f>
        <v>9931420.7660000008</v>
      </c>
      <c r="M41" s="131"/>
      <c r="N41" s="132">
        <f t="shared" ref="N41:N46" si="2">SUM(L41:M41)</f>
        <v>9931420.7660000008</v>
      </c>
      <c r="O41" s="133">
        <f t="shared" ref="O41:O46" si="3">N41-J41</f>
        <v>0</v>
      </c>
    </row>
    <row r="42" spans="2:15">
      <c r="B42" s="124" t="s">
        <v>10</v>
      </c>
      <c r="C42" s="124" t="s">
        <v>136</v>
      </c>
      <c r="D42" s="125">
        <f t="shared" ref="D42:E46" si="4">D10+D26</f>
        <v>2521</v>
      </c>
      <c r="E42" s="125">
        <f t="shared" si="4"/>
        <v>72454602</v>
      </c>
      <c r="F42" s="125"/>
      <c r="G42" s="128"/>
      <c r="H42" s="129"/>
      <c r="I42" s="129"/>
      <c r="J42" s="125">
        <f t="shared" ref="J42" si="5">J10+J26</f>
        <v>2426082</v>
      </c>
      <c r="K42" s="123"/>
      <c r="L42" s="125">
        <f>'2013 R|C Ratio Adj.'!H6</f>
        <v>2426082</v>
      </c>
      <c r="M42" s="131"/>
      <c r="N42" s="132">
        <f t="shared" si="2"/>
        <v>2426082</v>
      </c>
      <c r="O42" s="133">
        <f t="shared" si="3"/>
        <v>0</v>
      </c>
    </row>
    <row r="43" spans="2:15">
      <c r="B43" s="124" t="s">
        <v>11</v>
      </c>
      <c r="C43" s="124" t="s">
        <v>136</v>
      </c>
      <c r="D43" s="125">
        <f t="shared" si="4"/>
        <v>228</v>
      </c>
      <c r="E43" s="125">
        <f t="shared" si="4"/>
        <v>224300691</v>
      </c>
      <c r="F43" s="125">
        <f t="shared" ref="F43" si="6">F11+F27</f>
        <v>691366</v>
      </c>
      <c r="G43" s="128"/>
      <c r="H43" s="129"/>
      <c r="I43" s="129"/>
      <c r="J43" s="125">
        <f t="shared" ref="J43" si="7">J11+J27</f>
        <v>4841010.7999999989</v>
      </c>
      <c r="K43" s="123"/>
      <c r="L43" s="125">
        <f>'2013 R|C Ratio Adj.'!H7</f>
        <v>4608377</v>
      </c>
      <c r="M43" s="131">
        <f>'2013 Rate Design'!D14</f>
        <v>232633.8</v>
      </c>
      <c r="N43" s="132">
        <f t="shared" si="2"/>
        <v>4841010.8</v>
      </c>
      <c r="O43" s="133">
        <f t="shared" si="3"/>
        <v>0</v>
      </c>
    </row>
    <row r="44" spans="2:15">
      <c r="B44" s="124" t="s">
        <v>13</v>
      </c>
      <c r="C44" s="124" t="s">
        <v>136</v>
      </c>
      <c r="D44" s="125">
        <f t="shared" si="4"/>
        <v>39</v>
      </c>
      <c r="E44" s="125">
        <f t="shared" si="4"/>
        <v>1527929</v>
      </c>
      <c r="F44" s="125"/>
      <c r="G44" s="128"/>
      <c r="H44" s="129"/>
      <c r="I44" s="129"/>
      <c r="J44" s="125">
        <f t="shared" ref="J44" si="8">J12+J28</f>
        <v>80218.390600000013</v>
      </c>
      <c r="K44" s="123"/>
      <c r="L44" s="125">
        <f>'2013 R|C Ratio Adj.'!H8</f>
        <v>80218.390600000013</v>
      </c>
      <c r="M44" s="131"/>
      <c r="N44" s="132">
        <f t="shared" si="2"/>
        <v>80218.390600000013</v>
      </c>
      <c r="O44" s="133">
        <f t="shared" si="3"/>
        <v>0</v>
      </c>
    </row>
    <row r="45" spans="2:15">
      <c r="B45" s="124" t="s">
        <v>14</v>
      </c>
      <c r="C45" s="124" t="s">
        <v>137</v>
      </c>
      <c r="D45" s="125">
        <f t="shared" si="4"/>
        <v>961</v>
      </c>
      <c r="E45" s="125">
        <f t="shared" si="4"/>
        <v>761037</v>
      </c>
      <c r="F45" s="125">
        <f t="shared" ref="F45" si="9">F13+F29</f>
        <v>2334</v>
      </c>
      <c r="G45" s="128"/>
      <c r="H45" s="129"/>
      <c r="I45" s="129"/>
      <c r="J45" s="125">
        <f t="shared" ref="J45" si="10">J13+J29</f>
        <v>69350.843399999998</v>
      </c>
      <c r="K45" s="123"/>
      <c r="L45" s="125">
        <f>'2013 R|C Ratio Adj.'!H9</f>
        <v>69350.843399999998</v>
      </c>
      <c r="M45" s="131"/>
      <c r="N45" s="132">
        <f t="shared" si="2"/>
        <v>69350.843399999998</v>
      </c>
      <c r="O45" s="133">
        <f t="shared" si="3"/>
        <v>0</v>
      </c>
    </row>
    <row r="46" spans="2:15">
      <c r="B46" s="124" t="s">
        <v>15</v>
      </c>
      <c r="C46" s="124" t="s">
        <v>137</v>
      </c>
      <c r="D46" s="125">
        <f t="shared" si="4"/>
        <v>5696</v>
      </c>
      <c r="E46" s="125">
        <f t="shared" si="4"/>
        <v>4475403</v>
      </c>
      <c r="F46" s="125">
        <f t="shared" ref="F46" si="11">F14+F30</f>
        <v>11789</v>
      </c>
      <c r="G46" s="128"/>
      <c r="H46" s="129"/>
      <c r="I46" s="129"/>
      <c r="J46" s="125">
        <f t="shared" ref="J46" si="12">J14+J30</f>
        <v>447549</v>
      </c>
      <c r="K46" s="123"/>
      <c r="L46" s="125">
        <f>'2013 R|C Ratio Adj.'!H10</f>
        <v>447549</v>
      </c>
      <c r="M46" s="131"/>
      <c r="N46" s="132">
        <f t="shared" si="2"/>
        <v>447549</v>
      </c>
      <c r="O46" s="133">
        <f t="shared" si="3"/>
        <v>0</v>
      </c>
    </row>
    <row r="47" spans="2:15" ht="15.75" thickBot="1">
      <c r="B47" s="134"/>
      <c r="C47" s="134"/>
      <c r="D47" s="135"/>
      <c r="E47" s="126"/>
      <c r="F47" s="127"/>
      <c r="G47" s="128"/>
      <c r="H47" s="129"/>
      <c r="I47" s="129"/>
      <c r="J47" s="136"/>
      <c r="K47" s="123"/>
      <c r="L47" s="131"/>
      <c r="M47" s="131"/>
      <c r="N47" s="137"/>
      <c r="O47" s="137"/>
    </row>
    <row r="48" spans="2:15" ht="15.75" thickTop="1">
      <c r="B48" s="121"/>
      <c r="C48" s="121"/>
      <c r="D48" s="121"/>
      <c r="E48" s="134"/>
      <c r="F48" s="138"/>
      <c r="G48" s="134"/>
      <c r="H48" s="134"/>
      <c r="I48" s="134"/>
      <c r="J48" s="139"/>
      <c r="K48" s="123"/>
      <c r="L48" s="140"/>
      <c r="M48" s="140"/>
      <c r="N48" s="121"/>
      <c r="O48" s="122"/>
    </row>
    <row r="49" spans="2:15" ht="15.75" thickBot="1">
      <c r="B49" s="141" t="s">
        <v>27</v>
      </c>
      <c r="C49" s="142"/>
      <c r="D49" s="143">
        <f>SUM(D41:D46)</f>
        <v>35134</v>
      </c>
      <c r="E49" s="143">
        <f>SUM(E41:E46)</f>
        <v>511807638</v>
      </c>
      <c r="F49" s="143">
        <f>SUM(F41:F46)</f>
        <v>705489</v>
      </c>
      <c r="G49" s="144"/>
      <c r="H49" s="144"/>
      <c r="I49" s="144"/>
      <c r="J49" s="147">
        <f>SUM(J41:J46)</f>
        <v>17795631.800000001</v>
      </c>
      <c r="K49" s="146"/>
      <c r="L49" s="147">
        <f>SUM(L41:L47)</f>
        <v>17562998.000000004</v>
      </c>
      <c r="M49" s="147">
        <f>SUM(M41:M47)</f>
        <v>232633.8</v>
      </c>
      <c r="N49" s="147">
        <f>L49+M49</f>
        <v>17795631.800000004</v>
      </c>
      <c r="O49" s="148">
        <f>N49-J49</f>
        <v>0</v>
      </c>
    </row>
  </sheetData>
  <mergeCells count="28">
    <mergeCell ref="B3:O3"/>
    <mergeCell ref="C5:C6"/>
    <mergeCell ref="E5:F5"/>
    <mergeCell ref="G5:I5"/>
    <mergeCell ref="J5:J6"/>
    <mergeCell ref="L5:L6"/>
    <mergeCell ref="M5:M6"/>
    <mergeCell ref="N5:N6"/>
    <mergeCell ref="O5:O6"/>
    <mergeCell ref="H6:I6"/>
    <mergeCell ref="C21:C22"/>
    <mergeCell ref="E21:F21"/>
    <mergeCell ref="G21:I21"/>
    <mergeCell ref="J21:J22"/>
    <mergeCell ref="L21:L22"/>
    <mergeCell ref="C37:C38"/>
    <mergeCell ref="E37:F37"/>
    <mergeCell ref="G37:I37"/>
    <mergeCell ref="J37:J38"/>
    <mergeCell ref="L37:L38"/>
    <mergeCell ref="O37:O38"/>
    <mergeCell ref="H38:I38"/>
    <mergeCell ref="N21:N22"/>
    <mergeCell ref="O21:O22"/>
    <mergeCell ref="H22:I22"/>
    <mergeCell ref="M37:M38"/>
    <mergeCell ref="N37:N38"/>
    <mergeCell ref="M21:M22"/>
  </mergeCells>
  <pageMargins left="0.7" right="0.7" top="0.75" bottom="0.75" header="0.3" footer="0.3"/>
  <pageSetup scale="52" orientation="portrait" r:id="rId1"/>
</worksheet>
</file>

<file path=xl/worksheets/sheet13.xml><?xml version="1.0" encoding="utf-8"?>
<worksheet xmlns="http://schemas.openxmlformats.org/spreadsheetml/2006/main" xmlns:r="http://schemas.openxmlformats.org/officeDocument/2006/relationships">
  <dimension ref="B1:H14"/>
  <sheetViews>
    <sheetView view="pageBreakPreview" zoomScale="60" zoomScaleNormal="100" workbookViewId="0">
      <selection sqref="A1:I15"/>
    </sheetView>
  </sheetViews>
  <sheetFormatPr defaultRowHeight="15"/>
  <cols>
    <col min="1" max="1" width="2.7109375" customWidth="1"/>
    <col min="2" max="2" width="21.85546875" customWidth="1"/>
    <col min="3" max="3" width="14.42578125" customWidth="1"/>
    <col min="4" max="5" width="13.5703125" customWidth="1"/>
    <col min="6" max="6" width="14.42578125" bestFit="1" customWidth="1"/>
    <col min="7" max="7" width="11.140625" customWidth="1"/>
    <col min="8" max="8" width="14.42578125" bestFit="1" customWidth="1"/>
  </cols>
  <sheetData>
    <row r="1" spans="2:8" ht="15.75" thickBot="1"/>
    <row r="2" spans="2:8" ht="18">
      <c r="B2" s="221" t="s">
        <v>140</v>
      </c>
      <c r="C2" s="222"/>
      <c r="D2" s="222"/>
      <c r="E2" s="222"/>
      <c r="F2" s="222"/>
      <c r="G2" s="222"/>
      <c r="H2" s="223"/>
    </row>
    <row r="3" spans="2:8">
      <c r="B3" s="20"/>
      <c r="C3" s="21"/>
      <c r="D3" s="21"/>
      <c r="E3" s="21"/>
      <c r="F3" s="21"/>
      <c r="G3" s="21"/>
      <c r="H3" s="11"/>
    </row>
    <row r="4" spans="2:8" ht="85.5">
      <c r="B4" s="160" t="s">
        <v>21</v>
      </c>
      <c r="C4" s="32" t="s">
        <v>36</v>
      </c>
      <c r="D4" s="32" t="s">
        <v>39</v>
      </c>
      <c r="E4" s="32" t="s">
        <v>55</v>
      </c>
      <c r="F4" s="32" t="s">
        <v>38</v>
      </c>
      <c r="G4" s="32" t="s">
        <v>51</v>
      </c>
      <c r="H4" s="33" t="s">
        <v>52</v>
      </c>
    </row>
    <row r="5" spans="2:8">
      <c r="B5" s="19" t="s">
        <v>8</v>
      </c>
      <c r="C5" s="34">
        <f>'R|C Ratio'!C$8</f>
        <v>11876815.4</v>
      </c>
      <c r="D5" s="34">
        <f>'R|C Ratio'!F$8</f>
        <v>887426.5</v>
      </c>
      <c r="E5" s="34">
        <f>C5-D5</f>
        <v>10989388.9</v>
      </c>
      <c r="F5" s="34">
        <f>'R|C Ratio'!E$8</f>
        <v>9927778</v>
      </c>
      <c r="G5" s="67">
        <f t="shared" ref="G5:G10" si="0">(H5+D5)/C5</f>
        <v>0.91201195768353871</v>
      </c>
      <c r="H5" s="63">
        <f>H12-(H6+H7+H8+H9+H10)</f>
        <v>9944371.1640000008</v>
      </c>
    </row>
    <row r="6" spans="2:8">
      <c r="B6" s="19" t="s">
        <v>10</v>
      </c>
      <c r="C6" s="34">
        <f>'R|C Ratio'!C$9</f>
        <v>2376032.2000000002</v>
      </c>
      <c r="D6" s="34">
        <f>'R|C Ratio'!F$9</f>
        <v>171803</v>
      </c>
      <c r="E6" s="34">
        <f t="shared" ref="E6:E10" si="1">C6-D6</f>
        <v>2204229.2000000002</v>
      </c>
      <c r="F6" s="34">
        <f>'R|C Ratio'!E$9</f>
        <v>2426082</v>
      </c>
      <c r="G6" s="62">
        <f t="shared" si="0"/>
        <v>1.0933711251892966</v>
      </c>
      <c r="H6" s="63">
        <v>2426082</v>
      </c>
    </row>
    <row r="7" spans="2:8">
      <c r="B7" s="19" t="s">
        <v>11</v>
      </c>
      <c r="C7" s="34">
        <f>'R|C Ratio'!C$10</f>
        <v>4090319.3</v>
      </c>
      <c r="D7" s="34">
        <f>'R|C Ratio'!F$10</f>
        <v>297617.5</v>
      </c>
      <c r="E7" s="34">
        <f t="shared" si="1"/>
        <v>3792701.8</v>
      </c>
      <c r="F7" s="34">
        <f>'R|C Ratio'!E$10</f>
        <v>4608377</v>
      </c>
      <c r="G7" s="62">
        <f t="shared" si="0"/>
        <v>1.1994160211404523</v>
      </c>
      <c r="H7" s="63">
        <v>4608377</v>
      </c>
    </row>
    <row r="8" spans="2:8">
      <c r="B8" s="19" t="s">
        <v>13</v>
      </c>
      <c r="C8" s="34">
        <f>'R|C Ratio'!C$11</f>
        <v>36954</v>
      </c>
      <c r="D8" s="34">
        <f>'R|C Ratio'!F$11</f>
        <v>3257</v>
      </c>
      <c r="E8" s="34">
        <f t="shared" si="1"/>
        <v>33697</v>
      </c>
      <c r="F8" s="34">
        <f>'R|C Ratio'!E$11</f>
        <v>93264</v>
      </c>
      <c r="G8" s="171">
        <f t="shared" si="0"/>
        <v>1.9060000000000001</v>
      </c>
      <c r="H8" s="63">
        <v>67177.324000000008</v>
      </c>
    </row>
    <row r="9" spans="2:8">
      <c r="B9" s="19" t="s">
        <v>14</v>
      </c>
      <c r="C9" s="34">
        <f>'R|C Ratio'!C$12</f>
        <v>82426</v>
      </c>
      <c r="D9" s="34">
        <f>'R|C Ratio'!F$12</f>
        <v>5731</v>
      </c>
      <c r="E9" s="34">
        <f t="shared" si="1"/>
        <v>76695</v>
      </c>
      <c r="F9" s="34">
        <f>'R|C Ratio'!E$12</f>
        <v>59948</v>
      </c>
      <c r="G9" s="67">
        <f t="shared" si="0"/>
        <v>0.91200000000000003</v>
      </c>
      <c r="H9" s="63">
        <v>69441.512000000002</v>
      </c>
    </row>
    <row r="10" spans="2:8">
      <c r="B10" s="19" t="s">
        <v>15</v>
      </c>
      <c r="C10" s="34">
        <f>'R|C Ratio'!C$13</f>
        <v>503635</v>
      </c>
      <c r="D10" s="34">
        <f>'R|C Ratio'!F$13</f>
        <v>37349</v>
      </c>
      <c r="E10" s="34">
        <f t="shared" si="1"/>
        <v>466286</v>
      </c>
      <c r="F10" s="34">
        <f>'R|C Ratio'!E$13</f>
        <v>447549</v>
      </c>
      <c r="G10" s="62">
        <f t="shared" si="0"/>
        <v>0.96279646966553156</v>
      </c>
      <c r="H10" s="63">
        <v>447549</v>
      </c>
    </row>
    <row r="11" spans="2:8">
      <c r="B11" s="19"/>
      <c r="C11" s="35"/>
      <c r="D11" s="35"/>
      <c r="E11" s="35"/>
      <c r="F11" s="35"/>
      <c r="G11" s="35"/>
      <c r="H11" s="57"/>
    </row>
    <row r="12" spans="2:8" ht="15.75" thickBot="1">
      <c r="B12" s="22" t="s">
        <v>27</v>
      </c>
      <c r="C12" s="58">
        <f>SUM(C5:C10)</f>
        <v>18966181.900000002</v>
      </c>
      <c r="D12" s="58">
        <f>SUM(D5:D10)</f>
        <v>1403184</v>
      </c>
      <c r="E12" s="58">
        <f>SUM(E5:E10)</f>
        <v>17562997.900000002</v>
      </c>
      <c r="F12" s="58">
        <f>SUM(F5:F10)</f>
        <v>17562998</v>
      </c>
      <c r="G12" s="23"/>
      <c r="H12" s="64">
        <f>F12</f>
        <v>17562998</v>
      </c>
    </row>
    <row r="14" spans="2:8">
      <c r="B14" s="65" t="s">
        <v>53</v>
      </c>
      <c r="C14" s="161" t="str">
        <f>IF((H5+H6+H7+H8+H9+H10)-F12&lt;1,"YES","NO")</f>
        <v>YES</v>
      </c>
    </row>
  </sheetData>
  <mergeCells count="1">
    <mergeCell ref="B2:H2"/>
  </mergeCells>
  <pageMargins left="0.7" right="0.7" top="0.75" bottom="0.75" header="0.3" footer="0.3"/>
  <pageSetup scale="77" orientation="portrait" r:id="rId1"/>
</worksheet>
</file>

<file path=xl/worksheets/sheet14.xml><?xml version="1.0" encoding="utf-8"?>
<worksheet xmlns="http://schemas.openxmlformats.org/spreadsheetml/2006/main" xmlns:r="http://schemas.openxmlformats.org/officeDocument/2006/relationships">
  <dimension ref="B1:G28"/>
  <sheetViews>
    <sheetView view="pageBreakPreview" zoomScale="60" zoomScaleNormal="100" workbookViewId="0">
      <selection sqref="A1:H30"/>
    </sheetView>
  </sheetViews>
  <sheetFormatPr defaultRowHeight="14.25"/>
  <cols>
    <col min="1" max="1" width="2.7109375" style="3" customWidth="1"/>
    <col min="2" max="2" width="21.85546875" style="3" customWidth="1"/>
    <col min="3" max="3" width="14.42578125" style="3" bestFit="1" customWidth="1"/>
    <col min="4" max="7" width="14.5703125" style="3" bestFit="1" customWidth="1"/>
    <col min="8" max="16384" width="9.140625" style="3"/>
  </cols>
  <sheetData>
    <row r="1" spans="2:7" ht="15" thickBot="1"/>
    <row r="2" spans="2:7" ht="15">
      <c r="B2" s="197" t="s">
        <v>152</v>
      </c>
      <c r="C2" s="198"/>
      <c r="D2" s="198"/>
      <c r="E2" s="198"/>
      <c r="F2" s="198"/>
      <c r="G2" s="199"/>
    </row>
    <row r="3" spans="2:7">
      <c r="B3" s="20"/>
      <c r="C3" s="21"/>
      <c r="D3" s="21"/>
      <c r="E3" s="21"/>
      <c r="F3" s="21"/>
      <c r="G3" s="11"/>
    </row>
    <row r="4" spans="2:7" ht="57">
      <c r="B4" s="160" t="s">
        <v>21</v>
      </c>
      <c r="C4" s="32" t="s">
        <v>86</v>
      </c>
      <c r="D4" s="32" t="s">
        <v>87</v>
      </c>
      <c r="E4" s="32" t="s">
        <v>88</v>
      </c>
      <c r="F4" s="32" t="s">
        <v>31</v>
      </c>
      <c r="G4" s="33" t="s">
        <v>23</v>
      </c>
    </row>
    <row r="5" spans="2:7">
      <c r="B5" s="19" t="s">
        <v>8</v>
      </c>
      <c r="C5" s="34">
        <f>'2014 R|C Ratio Adj.'!H5</f>
        <v>9944371.1640000008</v>
      </c>
      <c r="D5" s="34">
        <f>C5*'Existing F_V Ratios'!F74</f>
        <v>5941495.9144271743</v>
      </c>
      <c r="E5" s="34">
        <f>C5*'Existing F_V Ratios'!G74</f>
        <v>4002875.2495728265</v>
      </c>
      <c r="F5" s="90">
        <f>D5/'Existing Rates &amp; Forecast Vols'!F35/12</f>
        <v>19.273800441262715</v>
      </c>
      <c r="G5" s="91">
        <f>E5/'Existing Rates &amp; Forecast Vols'!G35</f>
        <v>1.9217985245450878E-2</v>
      </c>
    </row>
    <row r="6" spans="2:7">
      <c r="B6" s="19" t="s">
        <v>10</v>
      </c>
      <c r="C6" s="34">
        <f>'2014 R|C Ratio Adj.'!H6</f>
        <v>2426082</v>
      </c>
      <c r="D6" s="34">
        <f>C6*'Existing F_V Ratios'!F75</f>
        <v>821240.14081728505</v>
      </c>
      <c r="E6" s="34">
        <f>C6*'Existing F_V Ratios'!G75</f>
        <v>1604841.8591827147</v>
      </c>
      <c r="F6" s="90">
        <f>D6/'Existing Rates &amp; Forecast Vols'!F36/12</f>
        <v>27.14663958803666</v>
      </c>
      <c r="G6" s="91">
        <f>E6/'Existing Rates &amp; Forecast Vols'!G36</f>
        <v>2.2149619415240383E-2</v>
      </c>
    </row>
    <row r="7" spans="2:7">
      <c r="B7" s="19" t="s">
        <v>11</v>
      </c>
      <c r="C7" s="34">
        <f>'2014 R|C Ratio Adj.'!H7</f>
        <v>4608377</v>
      </c>
      <c r="D7" s="34">
        <f>C7*'Existing F_V Ratios'!F76</f>
        <v>851881.81848249643</v>
      </c>
      <c r="E7" s="34">
        <f>C7*'Existing F_V Ratios'!G76</f>
        <v>3756495.1815175032</v>
      </c>
      <c r="F7" s="90">
        <f>D7/'Existing Rates &amp; Forecast Vols'!F37/12</f>
        <v>311.36031377284229</v>
      </c>
      <c r="G7" s="91">
        <f>E7/'Existing Rates &amp; Forecast Vols'!H37</f>
        <v>5.4334392803775469</v>
      </c>
    </row>
    <row r="8" spans="2:7">
      <c r="B8" s="19" t="s">
        <v>13</v>
      </c>
      <c r="C8" s="34">
        <f>'2014 R|C Ratio Adj.'!H8</f>
        <v>67177.324000000008</v>
      </c>
      <c r="D8" s="34">
        <f>C8*'Existing F_V Ratios'!F77</f>
        <v>23727.776825790304</v>
      </c>
      <c r="E8" s="34">
        <f>C8*'Existing F_V Ratios'!G77</f>
        <v>43449.547174209707</v>
      </c>
      <c r="F8" s="90">
        <f>D8/'Existing Rates &amp; Forecast Vols'!F38/12</f>
        <v>50.700377832885266</v>
      </c>
      <c r="G8" s="91">
        <f>E8/'Existing Rates &amp; Forecast Vols'!G38</f>
        <v>2.8436888869973479E-2</v>
      </c>
    </row>
    <row r="9" spans="2:7">
      <c r="B9" s="19" t="s">
        <v>14</v>
      </c>
      <c r="C9" s="34">
        <f>'2014 R|C Ratio Adj.'!H9</f>
        <v>69441.512000000002</v>
      </c>
      <c r="D9" s="34">
        <f>C9*'Existing F_V Ratios'!F78</f>
        <v>56486.637182584127</v>
      </c>
      <c r="E9" s="34">
        <f>C9*'Existing F_V Ratios'!G78</f>
        <v>12954.874817415875</v>
      </c>
      <c r="F9" s="90">
        <f>D9/'Existing Rates &amp; Forecast Vols'!F39/12</f>
        <v>4.8982515767069135</v>
      </c>
      <c r="G9" s="91">
        <f>E9/'Existing Rates &amp; Forecast Vols'!H39</f>
        <v>5.5505033493641287</v>
      </c>
    </row>
    <row r="10" spans="2:7">
      <c r="B10" s="19" t="s">
        <v>15</v>
      </c>
      <c r="C10" s="34">
        <f>'2014 R|C Ratio Adj.'!H10</f>
        <v>447549</v>
      </c>
      <c r="D10" s="34">
        <f>C10*'Existing F_V Ratios'!F79</f>
        <v>325286.86445771181</v>
      </c>
      <c r="E10" s="34">
        <f>C10*'Existing F_V Ratios'!G79</f>
        <v>122262.13554228815</v>
      </c>
      <c r="F10" s="90">
        <f>D10/'Existing Rates &amp; Forecast Vols'!F40/12</f>
        <v>4.7589955591308497</v>
      </c>
      <c r="G10" s="91">
        <f>E10/'Existing Rates &amp; Forecast Vols'!H40</f>
        <v>10.370865683458151</v>
      </c>
    </row>
    <row r="11" spans="2:7">
      <c r="B11" s="20"/>
      <c r="C11" s="21"/>
      <c r="D11" s="21"/>
      <c r="E11" s="21"/>
      <c r="F11" s="21"/>
      <c r="G11" s="11"/>
    </row>
    <row r="12" spans="2:7" ht="15" thickBot="1">
      <c r="B12" s="22" t="s">
        <v>27</v>
      </c>
      <c r="C12" s="58">
        <f>SUM(C5:C10)</f>
        <v>17562998</v>
      </c>
      <c r="D12" s="58">
        <f>SUM(D5:D10)</f>
        <v>8020119.1521930415</v>
      </c>
      <c r="E12" s="58">
        <f>SUM(E5:E10)</f>
        <v>9542878.8478069585</v>
      </c>
      <c r="F12" s="23"/>
      <c r="G12" s="60"/>
    </row>
    <row r="14" spans="2:7">
      <c r="B14" s="3" t="s">
        <v>89</v>
      </c>
      <c r="D14" s="89">
        <f>'Existing Rates &amp; Forecast Vols'!D42*'Existing Rates &amp; Forecast Vols'!H42</f>
        <v>232633.8</v>
      </c>
      <c r="E14" s="3" t="s">
        <v>90</v>
      </c>
    </row>
    <row r="15" spans="2:7" ht="15" thickBot="1">
      <c r="D15" s="89"/>
    </row>
    <row r="16" spans="2:7" ht="15">
      <c r="B16" s="197" t="s">
        <v>153</v>
      </c>
      <c r="C16" s="198"/>
      <c r="D16" s="198"/>
      <c r="E16" s="198"/>
      <c r="F16" s="198"/>
      <c r="G16" s="199"/>
    </row>
    <row r="17" spans="2:7">
      <c r="B17" s="20"/>
      <c r="C17" s="21"/>
      <c r="D17" s="21"/>
      <c r="E17" s="21"/>
      <c r="F17" s="21"/>
      <c r="G17" s="11"/>
    </row>
    <row r="18" spans="2:7" ht="57">
      <c r="B18" s="160" t="s">
        <v>21</v>
      </c>
      <c r="C18" s="32" t="s">
        <v>92</v>
      </c>
      <c r="D18" s="32" t="s">
        <v>87</v>
      </c>
      <c r="E18" s="32" t="s">
        <v>88</v>
      </c>
      <c r="F18" s="32" t="s">
        <v>31</v>
      </c>
      <c r="G18" s="33" t="s">
        <v>23</v>
      </c>
    </row>
    <row r="19" spans="2:7">
      <c r="B19" s="19" t="s">
        <v>8</v>
      </c>
      <c r="C19" s="34">
        <f>C5</f>
        <v>9944371.1640000008</v>
      </c>
      <c r="D19" s="34">
        <f>D5</f>
        <v>5941495.9144271743</v>
      </c>
      <c r="E19" s="34">
        <f>E5</f>
        <v>4002875.2495728265</v>
      </c>
      <c r="F19" s="90">
        <f>D19/'Existing Rates &amp; Forecast Vols'!F35/12</f>
        <v>19.273800441262715</v>
      </c>
      <c r="G19" s="91">
        <f>E19/'Existing Rates &amp; Forecast Vols'!G35</f>
        <v>1.9217985245450878E-2</v>
      </c>
    </row>
    <row r="20" spans="2:7">
      <c r="B20" s="19" t="s">
        <v>10</v>
      </c>
      <c r="C20" s="34">
        <f t="shared" ref="C20:E24" si="0">C6</f>
        <v>2426082</v>
      </c>
      <c r="D20" s="34">
        <f t="shared" si="0"/>
        <v>821240.14081728505</v>
      </c>
      <c r="E20" s="34">
        <f t="shared" si="0"/>
        <v>1604841.8591827147</v>
      </c>
      <c r="F20" s="90">
        <f>D20/'Existing Rates &amp; Forecast Vols'!F36/12</f>
        <v>27.14663958803666</v>
      </c>
      <c r="G20" s="91">
        <f>E20/'Existing Rates &amp; Forecast Vols'!G36</f>
        <v>2.2149619415240383E-2</v>
      </c>
    </row>
    <row r="21" spans="2:7">
      <c r="B21" s="19" t="s">
        <v>11</v>
      </c>
      <c r="C21" s="34">
        <f>C7+D14</f>
        <v>4841010.8</v>
      </c>
      <c r="D21" s="34">
        <f t="shared" si="0"/>
        <v>851881.81848249643</v>
      </c>
      <c r="E21" s="34">
        <f>E7+D14</f>
        <v>3989128.981517503</v>
      </c>
      <c r="F21" s="90">
        <f>D21/'Existing Rates &amp; Forecast Vols'!F37/12</f>
        <v>311.36031377284229</v>
      </c>
      <c r="G21" s="91">
        <f>E21/'Existing Rates &amp; Forecast Vols'!H37</f>
        <v>5.7699235737908765</v>
      </c>
    </row>
    <row r="22" spans="2:7">
      <c r="B22" s="19" t="s">
        <v>13</v>
      </c>
      <c r="C22" s="34">
        <f t="shared" si="0"/>
        <v>67177.324000000008</v>
      </c>
      <c r="D22" s="34">
        <f t="shared" si="0"/>
        <v>23727.776825790304</v>
      </c>
      <c r="E22" s="34">
        <f t="shared" si="0"/>
        <v>43449.547174209707</v>
      </c>
      <c r="F22" s="90">
        <f>D22/'Existing Rates &amp; Forecast Vols'!F38/12</f>
        <v>50.700377832885266</v>
      </c>
      <c r="G22" s="91">
        <f>E22/'Existing Rates &amp; Forecast Vols'!G38</f>
        <v>2.8436888869973479E-2</v>
      </c>
    </row>
    <row r="23" spans="2:7">
      <c r="B23" s="19" t="s">
        <v>14</v>
      </c>
      <c r="C23" s="34">
        <f t="shared" si="0"/>
        <v>69441.512000000002</v>
      </c>
      <c r="D23" s="34">
        <f t="shared" si="0"/>
        <v>56486.637182584127</v>
      </c>
      <c r="E23" s="34">
        <f t="shared" si="0"/>
        <v>12954.874817415875</v>
      </c>
      <c r="F23" s="90">
        <f>D23/'Existing Rates &amp; Forecast Vols'!F39/12</f>
        <v>4.8982515767069135</v>
      </c>
      <c r="G23" s="91">
        <f>E23/'Existing Rates &amp; Forecast Vols'!H39</f>
        <v>5.5505033493641287</v>
      </c>
    </row>
    <row r="24" spans="2:7">
      <c r="B24" s="19" t="s">
        <v>15</v>
      </c>
      <c r="C24" s="34">
        <f t="shared" si="0"/>
        <v>447549</v>
      </c>
      <c r="D24" s="34">
        <f t="shared" si="0"/>
        <v>325286.86445771181</v>
      </c>
      <c r="E24" s="34">
        <f t="shared" si="0"/>
        <v>122262.13554228815</v>
      </c>
      <c r="F24" s="90">
        <f>D24/'Existing Rates &amp; Forecast Vols'!F40/12</f>
        <v>4.7589955591308497</v>
      </c>
      <c r="G24" s="91">
        <f>E24/'Existing Rates &amp; Forecast Vols'!H40</f>
        <v>10.370865683458151</v>
      </c>
    </row>
    <row r="25" spans="2:7">
      <c r="B25" s="20"/>
      <c r="C25" s="21"/>
      <c r="D25" s="21"/>
      <c r="E25" s="21"/>
      <c r="F25" s="21"/>
      <c r="G25" s="11"/>
    </row>
    <row r="26" spans="2:7" ht="15" thickBot="1">
      <c r="B26" s="22" t="s">
        <v>27</v>
      </c>
      <c r="C26" s="58">
        <f>SUM(C19:C24)</f>
        <v>17795631.800000001</v>
      </c>
      <c r="D26" s="58">
        <f>SUM(D19:D24)</f>
        <v>8020119.1521930415</v>
      </c>
      <c r="E26" s="58">
        <f>SUM(E19:E24)</f>
        <v>9775512.6478069592</v>
      </c>
      <c r="F26" s="23"/>
      <c r="G26" s="60"/>
    </row>
    <row r="28" spans="2:7" ht="15">
      <c r="B28" s="65" t="s">
        <v>93</v>
      </c>
      <c r="C28" s="161" t="str">
        <f>IF(C26-(D26+E26)&lt;1,"YES","NO")</f>
        <v>YES</v>
      </c>
    </row>
  </sheetData>
  <mergeCells count="2">
    <mergeCell ref="B2:G2"/>
    <mergeCell ref="B16:G16"/>
  </mergeCells>
  <pageMargins left="0.7" right="0.7" top="0.75" bottom="0.75" header="0.3" footer="0.3"/>
  <pageSetup scale="84"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B3:Q32"/>
  <sheetViews>
    <sheetView view="pageBreakPreview" zoomScale="60" zoomScaleNormal="100" workbookViewId="0">
      <selection sqref="A1:R32"/>
    </sheetView>
  </sheetViews>
  <sheetFormatPr defaultRowHeight="14.25"/>
  <cols>
    <col min="1" max="1" width="2.7109375" style="3" customWidth="1"/>
    <col min="2" max="2" width="36.5703125" style="3" bestFit="1" customWidth="1"/>
    <col min="3" max="3" width="1.7109375" style="3" customWidth="1"/>
    <col min="4" max="4" width="10" style="3" bestFit="1" customWidth="1"/>
    <col min="5" max="5" width="10.85546875" style="3" bestFit="1" customWidth="1"/>
    <col min="6" max="6" width="9.85546875" style="3" customWidth="1"/>
    <col min="7" max="7" width="10.42578125" style="3" bestFit="1" customWidth="1"/>
    <col min="8" max="8" width="14.7109375" style="3" customWidth="1"/>
    <col min="9" max="9" width="12.140625" style="3" customWidth="1"/>
    <col min="10" max="10" width="12.28515625" style="3" bestFit="1" customWidth="1"/>
    <col min="11" max="13" width="11.140625" style="3" customWidth="1"/>
    <col min="14" max="14" width="14.7109375" style="3" bestFit="1" customWidth="1"/>
    <col min="15" max="15" width="2.7109375" style="3" customWidth="1"/>
    <col min="16" max="16" width="10.42578125" style="3" bestFit="1" customWidth="1"/>
    <col min="17" max="17" width="10" style="3" bestFit="1" customWidth="1"/>
    <col min="18" max="16384" width="9.140625" style="3"/>
  </cols>
  <sheetData>
    <row r="3" spans="2:17" ht="15">
      <c r="D3" s="225" t="s">
        <v>142</v>
      </c>
      <c r="E3" s="225"/>
      <c r="F3" s="225"/>
      <c r="G3" s="225"/>
      <c r="H3" s="225"/>
      <c r="I3" s="225"/>
      <c r="J3" s="225"/>
      <c r="K3" s="225"/>
      <c r="L3" s="225"/>
      <c r="M3" s="225"/>
      <c r="N3" s="225"/>
      <c r="P3" s="226" t="s">
        <v>145</v>
      </c>
      <c r="Q3" s="226"/>
    </row>
    <row r="4" spans="2:17" ht="57">
      <c r="D4" s="1" t="s">
        <v>119</v>
      </c>
      <c r="E4" s="1" t="s">
        <v>112</v>
      </c>
      <c r="F4" s="1" t="s">
        <v>73</v>
      </c>
      <c r="G4" s="1" t="s">
        <v>144</v>
      </c>
      <c r="H4" s="1" t="s">
        <v>141</v>
      </c>
      <c r="I4" s="1" t="s">
        <v>116</v>
      </c>
      <c r="J4" s="1" t="s">
        <v>117</v>
      </c>
      <c r="K4" s="1" t="s">
        <v>120</v>
      </c>
      <c r="L4" s="1" t="s">
        <v>121</v>
      </c>
      <c r="M4" s="1" t="s">
        <v>147</v>
      </c>
      <c r="N4" s="1" t="s">
        <v>122</v>
      </c>
      <c r="P4" s="167" t="s">
        <v>144</v>
      </c>
      <c r="Q4" s="167" t="s">
        <v>146</v>
      </c>
    </row>
    <row r="5" spans="2:17" ht="15">
      <c r="B5" s="65" t="s">
        <v>21</v>
      </c>
      <c r="P5" s="168"/>
      <c r="Q5" s="168"/>
    </row>
    <row r="6" spans="2:17">
      <c r="B6" s="3" t="s">
        <v>94</v>
      </c>
      <c r="D6" s="96">
        <f>'Existing Rates &amp; Forecast Vols'!D7</f>
        <v>1.52E-2</v>
      </c>
      <c r="E6" s="4">
        <f>'Existing Rates &amp; Forecast Vols'!C7</f>
        <v>18.170000000000002</v>
      </c>
      <c r="F6" s="165">
        <f>'Target MSC Change'!D6</f>
        <v>19.241640204446238</v>
      </c>
      <c r="G6" s="4">
        <f>E6+((F6-E6)/4)+((F6-E6)/4)</f>
        <v>18.705820102223122</v>
      </c>
      <c r="H6" s="93">
        <f>H8*'Existing F_V Ratios'!C89</f>
        <v>6683333.1403191108</v>
      </c>
      <c r="I6" s="93">
        <f>G6*'Existing Rates &amp; Forecast Vols'!F7*12</f>
        <v>3936527.6055922424</v>
      </c>
      <c r="J6" s="94">
        <f>H6-I6</f>
        <v>2746805.5347268684</v>
      </c>
      <c r="K6" s="96">
        <f>J6/'Existing Rates &amp; Forecast Vols'!G7</f>
        <v>1.9058356682469028E-2</v>
      </c>
      <c r="L6" s="96">
        <f>K8-K6</f>
        <v>1.6107990479985075E-3</v>
      </c>
      <c r="M6" s="96">
        <f>K6+(0.5*L6)</f>
        <v>1.9863756206468283E-2</v>
      </c>
      <c r="N6" s="101">
        <f>M6*'Existing Rates &amp; Forecast Vols'!G7</f>
        <v>2862884.5811549649</v>
      </c>
      <c r="P6" s="169">
        <f>G6</f>
        <v>18.705820102223122</v>
      </c>
      <c r="Q6" s="170">
        <f>M6</f>
        <v>1.9863756206468283E-2</v>
      </c>
    </row>
    <row r="7" spans="2:17">
      <c r="B7" s="3" t="s">
        <v>95</v>
      </c>
      <c r="D7" s="96">
        <f>'Existing Rates &amp; Forecast Vols'!D21</f>
        <v>2.1999999999999999E-2</v>
      </c>
      <c r="E7" s="4">
        <f>'Existing Rates &amp; Forecast Vols'!C21</f>
        <v>15.57</v>
      </c>
      <c r="F7" s="165">
        <f>'Target MSC Change'!D14</f>
        <v>19.241640204446238</v>
      </c>
      <c r="G7" s="4">
        <f>E7+((F7-E7)/4)+((F7-E7)/4)</f>
        <v>17.405820102223117</v>
      </c>
      <c r="H7" s="94">
        <f>H8-H6</f>
        <v>3261038.02368089</v>
      </c>
      <c r="I7" s="93">
        <f>G7*'Existing Rates &amp; Forecast Vols'!F21*12</f>
        <v>1702706.9456798744</v>
      </c>
      <c r="J7" s="94">
        <f>H7-I7</f>
        <v>1558331.0780010156</v>
      </c>
      <c r="K7" s="96">
        <f>J7/'Existing Rates &amp; Forecast Vols'!G21</f>
        <v>2.4287470859099828E-2</v>
      </c>
      <c r="L7" s="96">
        <f>K8-K7</f>
        <v>-3.6183151286322927E-3</v>
      </c>
      <c r="M7" s="96">
        <f>N7/'Existing Rates &amp; Forecast Vols'!G21</f>
        <v>2.2478313294783673E-2</v>
      </c>
      <c r="N7" s="94">
        <f>N8-N6</f>
        <v>1442252.0315729193</v>
      </c>
      <c r="P7" s="169">
        <f>G7</f>
        <v>17.405820102223117</v>
      </c>
      <c r="Q7" s="170">
        <f>M7</f>
        <v>2.2478313294783673E-2</v>
      </c>
    </row>
    <row r="8" spans="2:17">
      <c r="B8" s="3" t="s">
        <v>105</v>
      </c>
      <c r="F8" s="166"/>
      <c r="G8" s="99">
        <f>I8/'Existing Rates &amp; Forecast Vols'!F35/12</f>
        <v>18.293285554362168</v>
      </c>
      <c r="H8" s="100">
        <f>'2014 Rate Design'!C19</f>
        <v>9944371.1640000008</v>
      </c>
      <c r="I8" s="101">
        <f>I6+I7</f>
        <v>5639234.5512721166</v>
      </c>
      <c r="J8" s="101">
        <f>H8-I8</f>
        <v>4305136.6127278842</v>
      </c>
      <c r="K8" s="102">
        <f>J8/'Existing Rates &amp; Forecast Vols'!G35</f>
        <v>2.0669155730467535E-2</v>
      </c>
      <c r="L8" s="104"/>
      <c r="N8" s="94">
        <f>J8</f>
        <v>4305136.6127278842</v>
      </c>
      <c r="P8" s="168"/>
      <c r="Q8" s="168"/>
    </row>
    <row r="9" spans="2:17">
      <c r="F9" s="166"/>
      <c r="G9" s="4"/>
      <c r="H9" s="87"/>
      <c r="L9" s="105"/>
      <c r="P9" s="168"/>
      <c r="Q9" s="168"/>
    </row>
    <row r="10" spans="2:17">
      <c r="B10" s="3" t="s">
        <v>96</v>
      </c>
      <c r="D10" s="96">
        <f>'Existing Rates &amp; Forecast Vols'!D8</f>
        <v>2.2599999999999999E-2</v>
      </c>
      <c r="E10" s="4">
        <f>'Existing Rates &amp; Forecast Vols'!C8</f>
        <v>20.98</v>
      </c>
      <c r="F10" s="165">
        <f>'Target MSC Change'!D7</f>
        <v>27.14663958803666</v>
      </c>
      <c r="G10" s="4">
        <f>E10+((F10-E10)/4)+((F10-E10)/4)</f>
        <v>24.06331979401833</v>
      </c>
      <c r="H10" s="93">
        <f>H12*'Existing F_V Ratios'!C90</f>
        <v>1681965.3383249969</v>
      </c>
      <c r="I10" s="93">
        <f>G10*'Existing Rates &amp; Forecast Vols'!F8*12</f>
        <v>471544.81468358322</v>
      </c>
      <c r="J10" s="94">
        <f>H10-I10</f>
        <v>1210420.5236414135</v>
      </c>
      <c r="K10" s="96">
        <f>J10/'Existing Rates &amp; Forecast Vols'!G8</f>
        <v>2.4755111768056504E-2</v>
      </c>
      <c r="L10" s="96">
        <f>K12-K10</f>
        <v>-2.0468513653376062E-3</v>
      </c>
      <c r="M10" s="96">
        <f>N10/'Existing Rates &amp; Forecast Vols'!G8</f>
        <v>2.3731686085387706E-2</v>
      </c>
      <c r="N10" s="107">
        <f>N12-N11</f>
        <v>1160379.3255918645</v>
      </c>
      <c r="P10" s="169">
        <f>G10</f>
        <v>24.06331979401833</v>
      </c>
      <c r="Q10" s="170">
        <f>M10</f>
        <v>2.3731686085387706E-2</v>
      </c>
    </row>
    <row r="11" spans="2:17">
      <c r="B11" s="3" t="s">
        <v>97</v>
      </c>
      <c r="D11" s="96">
        <f>'Existing Rates &amp; Forecast Vols'!D22</f>
        <v>1.4500000000000001E-2</v>
      </c>
      <c r="E11" s="4">
        <f>'Existing Rates &amp; Forecast Vols'!C22</f>
        <v>30.89</v>
      </c>
      <c r="F11" s="165">
        <f>'Target MSC Change'!D15</f>
        <v>27.14663958803666</v>
      </c>
      <c r="G11" s="4">
        <f>E11+((F11-E11)/4)+((F11-E11)/4)</f>
        <v>29.018319794018332</v>
      </c>
      <c r="H11" s="94">
        <f>H12-H10</f>
        <v>744116.66167500312</v>
      </c>
      <c r="I11" s="93">
        <f>G11*'Existing Rates &amp; Forecast Vols'!F22*12</f>
        <v>309219.21572505933</v>
      </c>
      <c r="J11" s="94">
        <f>H11-I11</f>
        <v>434897.44594994379</v>
      </c>
      <c r="K11" s="96">
        <f>J11/'Existing Rates &amp; Forecast Vols'!G22</f>
        <v>1.8460068351890097E-2</v>
      </c>
      <c r="L11" s="96">
        <f>K12-K11</f>
        <v>4.2481920508288008E-3</v>
      </c>
      <c r="M11" s="96">
        <f>K11+(0.5*L11)</f>
        <v>2.0584164377304495E-2</v>
      </c>
      <c r="N11" s="101">
        <f>M11*'Existing Rates &amp; Forecast Vols'!G22</f>
        <v>484938.64399949304</v>
      </c>
      <c r="P11" s="169">
        <f>G11</f>
        <v>29.018319794018332</v>
      </c>
      <c r="Q11" s="170">
        <f>M11</f>
        <v>2.0584164377304495E-2</v>
      </c>
    </row>
    <row r="12" spans="2:17">
      <c r="B12" s="3" t="s">
        <v>106</v>
      </c>
      <c r="F12" s="166"/>
      <c r="G12" s="99">
        <f>I12/'Existing Rates &amp; Forecast Vols'!F36/12</f>
        <v>25.808674811868389</v>
      </c>
      <c r="H12" s="100">
        <f>'2014 Rate Design'!C20</f>
        <v>2426082</v>
      </c>
      <c r="I12" s="101">
        <f>I10+I11</f>
        <v>780764.03040864249</v>
      </c>
      <c r="J12" s="101">
        <f>H12-I12</f>
        <v>1645317.9695913575</v>
      </c>
      <c r="K12" s="102">
        <f>J12/'Existing Rates &amp; Forecast Vols'!G36</f>
        <v>2.2708260402718897E-2</v>
      </c>
      <c r="L12" s="104"/>
      <c r="N12" s="94">
        <f>J12</f>
        <v>1645317.9695913575</v>
      </c>
      <c r="P12" s="168"/>
      <c r="Q12" s="168"/>
    </row>
    <row r="13" spans="2:17">
      <c r="F13" s="166"/>
      <c r="G13" s="4"/>
      <c r="L13" s="105"/>
      <c r="P13" s="168"/>
      <c r="Q13" s="168"/>
    </row>
    <row r="14" spans="2:17">
      <c r="B14" s="3" t="s">
        <v>98</v>
      </c>
      <c r="D14" s="3">
        <f>'Existing Rates &amp; Forecast Vols'!D9</f>
        <v>7.2561</v>
      </c>
      <c r="E14" s="4">
        <f>'Existing Rates &amp; Forecast Vols'!C9</f>
        <v>133.68</v>
      </c>
      <c r="F14" s="165">
        <f>'Target MSC Change'!D8</f>
        <v>145.84</v>
      </c>
      <c r="G14" s="4">
        <f>E14+((F14-E14)/3)+((F14-E14)/3)</f>
        <v>141.78666666666669</v>
      </c>
      <c r="H14" s="93">
        <f>H16*'Existing F_V Ratios'!C91</f>
        <v>3304232.6669710851</v>
      </c>
      <c r="I14" s="94">
        <f>G14*'Existing Rates &amp; Forecast Vols'!F9*12</f>
        <v>253514.56000000006</v>
      </c>
      <c r="J14" s="94">
        <f>H14-I14</f>
        <v>3050718.1069710851</v>
      </c>
      <c r="K14" s="96">
        <f>J14/'Existing Rates &amp; Forecast Vols'!H9</f>
        <v>8.0345062890663872</v>
      </c>
      <c r="L14" s="96">
        <f>K16-K14</f>
        <v>-1.7874114651959623</v>
      </c>
      <c r="M14" s="96">
        <f>N14/'Existing Rates &amp; Forecast Vols'!H9</f>
        <v>6.8369406073850918</v>
      </c>
      <c r="N14" s="94">
        <f>N16-N15</f>
        <v>2596000.0225053341</v>
      </c>
      <c r="P14" s="169">
        <f>G14</f>
        <v>141.78666666666669</v>
      </c>
      <c r="Q14" s="170">
        <f>M14</f>
        <v>6.8369406073850918</v>
      </c>
    </row>
    <row r="15" spans="2:17">
      <c r="B15" s="3" t="s">
        <v>108</v>
      </c>
      <c r="D15" s="3">
        <f>'Existing Rates &amp; Forecast Vols'!D23</f>
        <v>2.7711999999999999</v>
      </c>
      <c r="E15" s="4">
        <f>'Existing Rates &amp; Forecast Vols'!C23</f>
        <v>557.9</v>
      </c>
      <c r="F15" s="165">
        <f>'Target MSC Change'!D16</f>
        <v>145.84</v>
      </c>
      <c r="G15" s="4">
        <f>E15+((F15-E15)/3)+((F15-E15)/3)</f>
        <v>283.19333333333327</v>
      </c>
      <c r="H15" s="94">
        <f>H16-H14</f>
        <v>1536778.1330289147</v>
      </c>
      <c r="I15" s="94">
        <f>G15*'Existing Rates &amp; Forecast Vols'!F23*12</f>
        <v>268467.27999999991</v>
      </c>
      <c r="J15" s="94">
        <f>H15-I15</f>
        <v>1268310.8530289149</v>
      </c>
      <c r="K15" s="96">
        <f>J15/'Existing Rates &amp; Forecast Vols'!H23</f>
        <v>4.0694814063507971</v>
      </c>
      <c r="L15" s="96">
        <f>K16-K15</f>
        <v>2.1776134175196278</v>
      </c>
      <c r="M15" s="96">
        <f>K15+(0.67*L15)</f>
        <v>5.5284823960889478</v>
      </c>
      <c r="N15" s="101">
        <f>M15*'Existing Rates &amp; Forecast Vols'!H23</f>
        <v>1723028.9374946658</v>
      </c>
      <c r="P15" s="169">
        <f>G15</f>
        <v>283.19333333333327</v>
      </c>
      <c r="Q15" s="170">
        <f>M15</f>
        <v>5.5284823960889478</v>
      </c>
    </row>
    <row r="16" spans="2:17">
      <c r="B16" s="3" t="s">
        <v>107</v>
      </c>
      <c r="F16" s="166"/>
      <c r="G16" s="99">
        <f>I16/'Existing Rates &amp; Forecast Vols'!F37/12</f>
        <v>190.78283625730992</v>
      </c>
      <c r="H16" s="100">
        <f>'2014 Rate Design'!C21</f>
        <v>4841010.8</v>
      </c>
      <c r="I16" s="101">
        <f>I14+I15</f>
        <v>521981.83999999997</v>
      </c>
      <c r="J16" s="101">
        <f>H16-I16</f>
        <v>4319028.96</v>
      </c>
      <c r="K16" s="102">
        <f>J16/'Existing Rates &amp; Forecast Vols'!H37</f>
        <v>6.2470948238704249</v>
      </c>
      <c r="L16" s="104"/>
      <c r="N16" s="94">
        <f>J16</f>
        <v>4319028.96</v>
      </c>
      <c r="P16" s="168"/>
      <c r="Q16" s="168"/>
    </row>
    <row r="17" spans="2:17">
      <c r="F17" s="166"/>
      <c r="G17" s="4"/>
      <c r="L17" s="105"/>
      <c r="P17" s="168"/>
      <c r="Q17" s="168"/>
    </row>
    <row r="18" spans="2:17">
      <c r="B18" s="3" t="s">
        <v>99</v>
      </c>
      <c r="D18" s="96">
        <f>'Existing Rates &amp; Forecast Vols'!D10</f>
        <v>4.1300000000000003E-2</v>
      </c>
      <c r="E18" s="4">
        <f>'Existing Rates &amp; Forecast Vols'!C10</f>
        <v>70.069999999999993</v>
      </c>
      <c r="F18" s="165">
        <v>31.65</v>
      </c>
      <c r="G18" s="4">
        <f>E18+((F18-E18)/4)+((F18-E18)/4)</f>
        <v>50.86</v>
      </c>
      <c r="H18" s="93">
        <f>H20*'Existing F_V Ratios'!C92</f>
        <v>48019.548406458875</v>
      </c>
      <c r="I18" s="93">
        <f>G18*'Existing Rates &amp; Forecast Vols'!F10*12</f>
        <v>15258</v>
      </c>
      <c r="J18" s="94">
        <f>H18-I18</f>
        <v>32761.548406458875</v>
      </c>
      <c r="K18" s="96">
        <f>J18/'Existing Rates &amp; Forecast Vols'!G10</f>
        <v>3.4627485066766661E-2</v>
      </c>
      <c r="L18" s="96">
        <f>K20-K18</f>
        <v>-5.2257235974837273E-3</v>
      </c>
      <c r="M18" s="96">
        <f>N18/'Existing Rates &amp; Forecast Vols'!G10</f>
        <v>3.2014623268024796E-2</v>
      </c>
      <c r="N18" s="94">
        <f>N20-N19</f>
        <v>30289.483278604013</v>
      </c>
      <c r="P18" s="169">
        <f>G18</f>
        <v>50.86</v>
      </c>
      <c r="Q18" s="170">
        <f>M18</f>
        <v>3.2014623268024796E-2</v>
      </c>
    </row>
    <row r="19" spans="2:17">
      <c r="B19" s="3" t="s">
        <v>102</v>
      </c>
      <c r="D19" s="96">
        <f>'Existing Rates &amp; Forecast Vols'!D24</f>
        <v>2.63E-2</v>
      </c>
      <c r="E19" s="4">
        <f>'Existing Rates &amp; Forecast Vols'!C24</f>
        <v>51.63</v>
      </c>
      <c r="F19" s="165">
        <v>31.65</v>
      </c>
      <c r="G19" s="4">
        <f>E19+((F19-E19)/4)+((F19-E19)/4)</f>
        <v>41.64</v>
      </c>
      <c r="H19" s="94">
        <f>H20-H18</f>
        <v>19157.775593541133</v>
      </c>
      <c r="I19" s="93">
        <f>G19*'Existing Rates &amp; Forecast Vols'!F24*12</f>
        <v>6995.52</v>
      </c>
      <c r="J19" s="94">
        <f>H19-I19</f>
        <v>12162.255593541133</v>
      </c>
      <c r="K19" s="96">
        <f>J19/'Existing Rates &amp; Forecast Vols'!G24</f>
        <v>2.090399112010026E-2</v>
      </c>
      <c r="L19" s="96">
        <f>K20-K19</f>
        <v>8.4977703491826741E-3</v>
      </c>
      <c r="M19" s="96">
        <f>K19+(0.5*L19)</f>
        <v>2.5152876294691595E-2</v>
      </c>
      <c r="N19" s="101">
        <f>M19*'Existing Rates &amp; Forecast Vols'!G24</f>
        <v>14634.32072139599</v>
      </c>
      <c r="P19" s="169">
        <f>G19</f>
        <v>41.64</v>
      </c>
      <c r="Q19" s="170">
        <f>M19</f>
        <v>2.5152876294691595E-2</v>
      </c>
    </row>
    <row r="20" spans="2:17">
      <c r="B20" s="3" t="s">
        <v>109</v>
      </c>
      <c r="F20" s="166"/>
      <c r="G20" s="99">
        <f>I20/'Existing Rates &amp; Forecast Vols'!F38/12</f>
        <v>47.550256410256416</v>
      </c>
      <c r="H20" s="100">
        <f>'2014 Rate Design'!C22</f>
        <v>67177.324000000008</v>
      </c>
      <c r="I20" s="101">
        <f>I18+I19</f>
        <v>22253.52</v>
      </c>
      <c r="J20" s="101">
        <f>H20-I20</f>
        <v>44923.804000000004</v>
      </c>
      <c r="K20" s="102">
        <f>J20/'Existing Rates &amp; Forecast Vols'!G38</f>
        <v>2.9401761469282934E-2</v>
      </c>
      <c r="L20" s="104"/>
      <c r="N20" s="94">
        <f>J20</f>
        <v>44923.804000000004</v>
      </c>
      <c r="P20" s="168"/>
      <c r="Q20" s="168"/>
    </row>
    <row r="21" spans="2:17">
      <c r="F21" s="166"/>
      <c r="G21" s="4"/>
      <c r="L21" s="105"/>
      <c r="P21" s="168"/>
      <c r="Q21" s="168"/>
    </row>
    <row r="22" spans="2:17">
      <c r="B22" s="3" t="s">
        <v>100</v>
      </c>
      <c r="D22" s="96">
        <f>'Existing Rates &amp; Forecast Vols'!D11</f>
        <v>4.2721999999999998</v>
      </c>
      <c r="E22" s="4">
        <f>'Existing Rates &amp; Forecast Vols'!C11</f>
        <v>3.79</v>
      </c>
      <c r="F22" s="165">
        <f>'Target MSC Change'!D10</f>
        <v>4.8901117683708524</v>
      </c>
      <c r="G22" s="4">
        <v>5.0199999999999996</v>
      </c>
      <c r="H22" s="93">
        <f>H24*'Existing F_V Ratios'!C93</f>
        <v>66361.92549172572</v>
      </c>
      <c r="I22" s="94">
        <f>G22*'Existing Rates &amp; Forecast Vols'!F11*12</f>
        <v>55420.799999999996</v>
      </c>
      <c r="J22" s="94">
        <f>H22-I22</f>
        <v>10941.125491725725</v>
      </c>
      <c r="K22" s="95">
        <f>J22/'Existing Rates &amp; Forecast Vols'!H11</f>
        <v>4.7694531350155733</v>
      </c>
      <c r="L22" s="96">
        <f>K24-K22</f>
        <v>0.17950659077705833</v>
      </c>
      <c r="M22" s="173">
        <f>K24</f>
        <v>4.9489597257926317</v>
      </c>
      <c r="N22" s="101">
        <f>M22*'Existing Rates &amp; Forecast Vols'!H11</f>
        <v>11352.913610968297</v>
      </c>
      <c r="P22" s="169">
        <f>G22</f>
        <v>5.0199999999999996</v>
      </c>
      <c r="Q22" s="170">
        <f>M22</f>
        <v>4.9489597257926317</v>
      </c>
    </row>
    <row r="23" spans="2:17">
      <c r="B23" s="3" t="s">
        <v>103</v>
      </c>
      <c r="D23" s="96">
        <f>'Existing Rates &amp; Forecast Vols'!D25</f>
        <v>7.0224000000000002</v>
      </c>
      <c r="E23" s="4">
        <f>'Existing Rates &amp; Forecast Vols'!C25</f>
        <v>4.3</v>
      </c>
      <c r="F23" s="165">
        <f>'Target MSC Change'!D18</f>
        <v>4.8901117683708524</v>
      </c>
      <c r="G23" s="4">
        <v>5.0199999999999996</v>
      </c>
      <c r="H23" s="94">
        <f>H24-H22</f>
        <v>3079.5865082742821</v>
      </c>
      <c r="I23" s="94">
        <f>G23*'Existing Rates &amp; Forecast Vols'!F25*12</f>
        <v>2469.84</v>
      </c>
      <c r="J23" s="94">
        <f>H23-I23</f>
        <v>609.74650827428195</v>
      </c>
      <c r="K23" s="95">
        <f>J23/'Existing Rates &amp; Forecast Vols'!H25</f>
        <v>15.243662706857048</v>
      </c>
      <c r="L23" s="96">
        <f>K24-K23</f>
        <v>-10.294702981064416</v>
      </c>
      <c r="M23" s="173">
        <f>N23/'Existing Rates &amp; Forecast Vols'!H25</f>
        <v>4.9489597257926565</v>
      </c>
      <c r="N23" s="94">
        <f>N24-N22</f>
        <v>197.95838903170625</v>
      </c>
      <c r="P23" s="169">
        <f>G23</f>
        <v>5.0199999999999996</v>
      </c>
      <c r="Q23" s="170">
        <f>M23</f>
        <v>4.9489597257926565</v>
      </c>
    </row>
    <row r="24" spans="2:17">
      <c r="B24" s="3" t="s">
        <v>110</v>
      </c>
      <c r="F24" s="166"/>
      <c r="G24" s="99">
        <f>I24/'Existing Rates &amp; Forecast Vols'!F39/12</f>
        <v>5.0200000000000005</v>
      </c>
      <c r="H24" s="100">
        <f>'2014 Rate Design'!C23</f>
        <v>69441.512000000002</v>
      </c>
      <c r="I24" s="101">
        <f>I22+I23</f>
        <v>57890.64</v>
      </c>
      <c r="J24" s="101">
        <f>H24-I24</f>
        <v>11550.872000000003</v>
      </c>
      <c r="K24" s="102">
        <f>J24/'Existing Rates &amp; Forecast Vols'!H39</f>
        <v>4.9489597257926317</v>
      </c>
      <c r="L24" s="106"/>
      <c r="N24" s="94">
        <f>J24</f>
        <v>11550.872000000003</v>
      </c>
      <c r="P24" s="168"/>
      <c r="Q24" s="168"/>
    </row>
    <row r="25" spans="2:17">
      <c r="F25" s="166"/>
      <c r="G25" s="4"/>
      <c r="I25" s="94"/>
      <c r="L25" s="105"/>
      <c r="P25" s="168"/>
      <c r="Q25" s="168"/>
    </row>
    <row r="26" spans="2:17">
      <c r="B26" s="3" t="s">
        <v>101</v>
      </c>
      <c r="D26" s="104">
        <f>'Existing Rates &amp; Forecast Vols'!D12</f>
        <v>9.6593999999999998</v>
      </c>
      <c r="E26" s="163">
        <f>'Existing Rates &amp; Forecast Vols'!C12</f>
        <v>4.95</v>
      </c>
      <c r="F26" s="165">
        <f>'Target MSC Change'!D11</f>
        <v>4.7589955591308497</v>
      </c>
      <c r="G26" s="175">
        <f>'2013 Area Rate Design'!G26-('2013 Area Rate Design'!G26-'2014 Area Rate Design'!F26)*0.33</f>
        <v>5.2755685345131802</v>
      </c>
      <c r="H26" s="164">
        <f>H28*'Existing F_V Ratios'!C94</f>
        <v>307837.07412612473</v>
      </c>
      <c r="I26" s="107">
        <f>G26*'Existing Rates &amp; Forecast Vols'!F12*12</f>
        <v>233982.0156427286</v>
      </c>
      <c r="J26" s="107">
        <f>H26-I26</f>
        <v>73855.058483396133</v>
      </c>
      <c r="K26" s="106">
        <f>J26/'Existing Rates &amp; Forecast Vols'!H12</f>
        <v>9.6290819404688577</v>
      </c>
      <c r="L26" s="104">
        <f>K28-K26</f>
        <v>0.36556896537176442</v>
      </c>
      <c r="M26" s="104">
        <f>N26/'Existing Rates &amp; Forecast Vols'!H12</f>
        <v>9.9946509058406221</v>
      </c>
      <c r="N26" s="107">
        <f>N28-N27</f>
        <v>76658.972447797569</v>
      </c>
      <c r="P26" s="169">
        <f>G26</f>
        <v>5.2755685345131802</v>
      </c>
      <c r="Q26" s="170">
        <f>M26</f>
        <v>9.9946509058406221</v>
      </c>
    </row>
    <row r="27" spans="2:17">
      <c r="B27" s="3" t="s">
        <v>104</v>
      </c>
      <c r="D27" s="104">
        <f>'Existing Rates &amp; Forecast Vols'!D26</f>
        <v>8.7698</v>
      </c>
      <c r="E27" s="163">
        <f>'Existing Rates &amp; Forecast Vols'!C26</f>
        <v>3.07</v>
      </c>
      <c r="F27" s="165">
        <f>'Target MSC Change'!D19</f>
        <v>4.7589955591308497</v>
      </c>
      <c r="G27" s="175">
        <f>'2013 Area Rate Design'!G27+('2014 Area Rate Design'!F27-'2013 Area Rate Design'!G27)*0.33</f>
        <v>3.9891685345131802</v>
      </c>
      <c r="H27" s="107">
        <f>H28-H26</f>
        <v>139711.92587387527</v>
      </c>
      <c r="I27" s="107">
        <f>G27*'Existing Rates &amp; Forecast Vols'!F26*12</f>
        <v>95740.044828316313</v>
      </c>
      <c r="J27" s="107">
        <f>H27-I27</f>
        <v>43971.881045558956</v>
      </c>
      <c r="K27" s="106">
        <f>J27/'Existing Rates &amp; Forecast Vols'!H26</f>
        <v>10.675377772653302</v>
      </c>
      <c r="L27" s="104">
        <f>K28-K27</f>
        <v>-0.68072686681268024</v>
      </c>
      <c r="M27" s="104">
        <f>K28</f>
        <v>9.9946509058406221</v>
      </c>
      <c r="N27" s="101">
        <f>M27*'Existing Rates &amp; Forecast Vols'!H26</f>
        <v>41167.96708115752</v>
      </c>
      <c r="P27" s="169">
        <f>G27</f>
        <v>3.9891685345131802</v>
      </c>
      <c r="Q27" s="170">
        <f>M27</f>
        <v>9.9946509058406221</v>
      </c>
    </row>
    <row r="28" spans="2:17">
      <c r="B28" s="3" t="s">
        <v>111</v>
      </c>
      <c r="G28" s="103">
        <f>I28/'Existing Rates &amp; Forecast Vols'!F40/12</f>
        <v>4.8238831412547531</v>
      </c>
      <c r="H28" s="100">
        <f>'2014 Rate Design'!C24</f>
        <v>447549</v>
      </c>
      <c r="I28" s="101">
        <f>I26+I27</f>
        <v>329722.06047104491</v>
      </c>
      <c r="J28" s="101">
        <f>H28-I28</f>
        <v>117826.93952895509</v>
      </c>
      <c r="K28" s="102">
        <f>J28/'Existing Rates &amp; Forecast Vols'!H40</f>
        <v>9.9946509058406221</v>
      </c>
      <c r="L28" s="106"/>
      <c r="N28" s="94">
        <f>J28</f>
        <v>117826.93952895509</v>
      </c>
    </row>
    <row r="30" spans="2:17">
      <c r="B30" s="3" t="s">
        <v>175</v>
      </c>
      <c r="H30" s="94">
        <f>H8+H12+H16+H20+H24+H28</f>
        <v>17795631.800000001</v>
      </c>
    </row>
    <row r="32" spans="2:17" ht="15">
      <c r="F32" s="224" t="s">
        <v>53</v>
      </c>
      <c r="G32" s="224"/>
      <c r="H32" s="161" t="str">
        <f>IF('2013 Rate Design'!C26-'2014 Area Rate Design'!H30&lt;1,"YES","NO")</f>
        <v>YES</v>
      </c>
    </row>
  </sheetData>
  <mergeCells count="3">
    <mergeCell ref="D3:N3"/>
    <mergeCell ref="P3:Q3"/>
    <mergeCell ref="F32:G32"/>
  </mergeCells>
  <pageMargins left="0.25" right="0.25" top="0.75" bottom="0.75" header="0.3" footer="0.3"/>
  <pageSetup scale="66" orientation="landscape" r:id="rId1"/>
</worksheet>
</file>

<file path=xl/worksheets/sheet16.xml><?xml version="1.0" encoding="utf-8"?>
<worksheet xmlns="http://schemas.openxmlformats.org/spreadsheetml/2006/main" xmlns:r="http://schemas.openxmlformats.org/officeDocument/2006/relationships">
  <dimension ref="B3:O49"/>
  <sheetViews>
    <sheetView view="pageBreakPreview" zoomScale="60" zoomScaleNormal="100" workbookViewId="0">
      <selection sqref="A1:P50"/>
    </sheetView>
  </sheetViews>
  <sheetFormatPr defaultRowHeight="1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 min="16" max="16" width="3.7109375" customWidth="1"/>
  </cols>
  <sheetData>
    <row r="3" spans="2:15" ht="18">
      <c r="B3" s="233" t="s">
        <v>138</v>
      </c>
      <c r="C3" s="233"/>
      <c r="D3" s="233"/>
      <c r="E3" s="233"/>
      <c r="F3" s="233"/>
      <c r="G3" s="233"/>
      <c r="H3" s="233"/>
      <c r="I3" s="233"/>
      <c r="J3" s="233"/>
      <c r="K3" s="233"/>
      <c r="L3" s="233"/>
      <c r="M3" s="233"/>
      <c r="N3" s="233"/>
      <c r="O3" s="233"/>
    </row>
    <row r="4" spans="2:15" ht="15.75" thickBot="1">
      <c r="B4" s="149" t="s">
        <v>139</v>
      </c>
    </row>
    <row r="5" spans="2:15" ht="15.75" thickBot="1">
      <c r="B5" s="108" t="s">
        <v>125</v>
      </c>
      <c r="C5" s="227" t="s">
        <v>126</v>
      </c>
      <c r="D5" s="109"/>
      <c r="E5" s="229" t="s">
        <v>127</v>
      </c>
      <c r="F5" s="230"/>
      <c r="G5" s="229" t="s">
        <v>128</v>
      </c>
      <c r="H5" s="232"/>
      <c r="I5" s="230"/>
      <c r="J5" s="227" t="s">
        <v>129</v>
      </c>
      <c r="K5" s="150"/>
      <c r="L5" s="231"/>
      <c r="M5" s="231"/>
      <c r="N5" s="231"/>
      <c r="O5" s="231"/>
    </row>
    <row r="6" spans="2:15" ht="39" thickBot="1">
      <c r="B6" s="111"/>
      <c r="C6" s="228"/>
      <c r="D6" s="162" t="s">
        <v>133</v>
      </c>
      <c r="E6" s="113" t="s">
        <v>9</v>
      </c>
      <c r="F6" s="114" t="s">
        <v>12</v>
      </c>
      <c r="G6" s="162" t="s">
        <v>134</v>
      </c>
      <c r="H6" s="229" t="s">
        <v>135</v>
      </c>
      <c r="I6" s="230"/>
      <c r="J6" s="228"/>
      <c r="K6" s="151"/>
      <c r="L6" s="231"/>
      <c r="M6" s="231"/>
      <c r="N6" s="231"/>
      <c r="O6" s="231"/>
    </row>
    <row r="7" spans="2:15">
      <c r="B7" s="116"/>
      <c r="C7" s="116"/>
      <c r="D7" s="116"/>
      <c r="E7" s="116"/>
      <c r="F7" s="117"/>
      <c r="G7" s="116"/>
      <c r="H7" s="118" t="s">
        <v>9</v>
      </c>
      <c r="I7" s="118" t="s">
        <v>12</v>
      </c>
      <c r="J7" s="119"/>
      <c r="K7" s="152"/>
      <c r="L7" s="155"/>
      <c r="M7" s="155"/>
      <c r="N7" s="155"/>
      <c r="O7" s="155"/>
    </row>
    <row r="8" spans="2:15">
      <c r="B8" s="121"/>
      <c r="C8" s="121"/>
      <c r="D8" s="121"/>
      <c r="E8" s="121"/>
      <c r="F8" s="122"/>
      <c r="G8" s="121"/>
      <c r="H8" s="121"/>
      <c r="I8" s="121"/>
      <c r="J8" s="121"/>
      <c r="K8" s="153"/>
      <c r="L8" s="155"/>
      <c r="M8" s="155"/>
      <c r="N8" s="155"/>
      <c r="O8" s="155"/>
    </row>
    <row r="9" spans="2:15">
      <c r="B9" s="124" t="s">
        <v>8</v>
      </c>
      <c r="C9" s="124" t="s">
        <v>136</v>
      </c>
      <c r="D9" s="125">
        <f>'Existing Rates &amp; Forecast Vols'!F7</f>
        <v>17537</v>
      </c>
      <c r="E9" s="126">
        <f>'Existing Rates &amp; Forecast Vols'!G7</f>
        <v>144126043</v>
      </c>
      <c r="F9" s="127"/>
      <c r="G9" s="128">
        <f>'2014 Area Rate Design'!P6</f>
        <v>18.705820102223122</v>
      </c>
      <c r="H9" s="129">
        <f>'2014 Area Rate Design'!Q6</f>
        <v>1.9863756206468283E-2</v>
      </c>
      <c r="I9" s="129"/>
      <c r="J9" s="130">
        <f t="shared" ref="J9:J14" si="0">G9*D9*12+H9*E9+I9*F9</f>
        <v>6799412.1867472073</v>
      </c>
      <c r="K9" s="153"/>
      <c r="L9" s="156"/>
      <c r="M9" s="156"/>
      <c r="N9" s="157"/>
      <c r="O9" s="157"/>
    </row>
    <row r="10" spans="2:15">
      <c r="B10" s="124" t="s">
        <v>10</v>
      </c>
      <c r="C10" s="124" t="s">
        <v>136</v>
      </c>
      <c r="D10" s="125">
        <f>'Existing Rates &amp; Forecast Vols'!F8</f>
        <v>1633</v>
      </c>
      <c r="E10" s="126">
        <f>'Existing Rates &amp; Forecast Vols'!G8</f>
        <v>48895781</v>
      </c>
      <c r="F10" s="127"/>
      <c r="G10" s="128">
        <f>'2014 Area Rate Design'!P10</f>
        <v>24.06331979401833</v>
      </c>
      <c r="H10" s="129">
        <f>'2014 Area Rate Design'!Q10</f>
        <v>2.3731686085387706E-2</v>
      </c>
      <c r="I10" s="129"/>
      <c r="J10" s="130">
        <f t="shared" si="0"/>
        <v>1631924.1402754476</v>
      </c>
      <c r="K10" s="153"/>
      <c r="L10" s="156"/>
      <c r="M10" s="156"/>
      <c r="N10" s="157"/>
      <c r="O10" s="157"/>
    </row>
    <row r="11" spans="2:15">
      <c r="B11" s="124" t="s">
        <v>11</v>
      </c>
      <c r="C11" s="124" t="s">
        <v>136</v>
      </c>
      <c r="D11" s="125">
        <f>'Existing Rates &amp; Forecast Vols'!F9</f>
        <v>149</v>
      </c>
      <c r="E11" s="126">
        <f>'Existing Rates &amp; Forecast Vols'!G9</f>
        <v>135605948</v>
      </c>
      <c r="F11" s="127">
        <f>'Existing Rates &amp; Forecast Vols'!H9</f>
        <v>379702</v>
      </c>
      <c r="G11" s="128">
        <f>'2014 Area Rate Design'!P14</f>
        <v>141.78666666666669</v>
      </c>
      <c r="H11" s="129"/>
      <c r="I11" s="129">
        <f>'2014 Area Rate Design'!Q14</f>
        <v>6.8369406073850918</v>
      </c>
      <c r="J11" s="130">
        <f t="shared" si="0"/>
        <v>2849514.5825053342</v>
      </c>
      <c r="K11" s="153"/>
      <c r="L11" s="156"/>
      <c r="M11" s="156"/>
      <c r="N11" s="157"/>
      <c r="O11" s="157"/>
    </row>
    <row r="12" spans="2:15">
      <c r="B12" s="124" t="s">
        <v>13</v>
      </c>
      <c r="C12" s="124" t="s">
        <v>136</v>
      </c>
      <c r="D12" s="125">
        <f>'Existing Rates &amp; Forecast Vols'!F10</f>
        <v>25</v>
      </c>
      <c r="E12" s="126">
        <f>'Existing Rates &amp; Forecast Vols'!G10</f>
        <v>946114</v>
      </c>
      <c r="F12" s="127"/>
      <c r="G12" s="128">
        <f>'2014 Area Rate Design'!P18</f>
        <v>50.86</v>
      </c>
      <c r="H12" s="129">
        <f>'2014 Area Rate Design'!Q18</f>
        <v>3.2014623268024796E-2</v>
      </c>
      <c r="I12" s="129"/>
      <c r="J12" s="130">
        <f t="shared" si="0"/>
        <v>45547.483278604013</v>
      </c>
      <c r="K12" s="153"/>
      <c r="L12" s="156"/>
      <c r="M12" s="156"/>
      <c r="N12" s="157"/>
      <c r="O12" s="157"/>
    </row>
    <row r="13" spans="2:15">
      <c r="B13" s="124" t="s">
        <v>14</v>
      </c>
      <c r="C13" s="124" t="s">
        <v>137</v>
      </c>
      <c r="D13" s="125">
        <f>'Existing Rates &amp; Forecast Vols'!F11</f>
        <v>920</v>
      </c>
      <c r="E13" s="126">
        <f>'Existing Rates &amp; Forecast Vols'!G11</f>
        <v>747706</v>
      </c>
      <c r="F13" s="127">
        <f>'Existing Rates &amp; Forecast Vols'!H11</f>
        <v>2294</v>
      </c>
      <c r="G13" s="128">
        <f>'2014 Area Rate Design'!P22</f>
        <v>5.0199999999999996</v>
      </c>
      <c r="H13" s="129"/>
      <c r="I13" s="129">
        <f>'2014 Area Rate Design'!Q22</f>
        <v>4.9489597257926317</v>
      </c>
      <c r="J13" s="130">
        <f t="shared" si="0"/>
        <v>66773.713610968291</v>
      </c>
      <c r="K13" s="153"/>
      <c r="L13" s="156"/>
      <c r="M13" s="156"/>
      <c r="N13" s="157"/>
      <c r="O13" s="157"/>
    </row>
    <row r="14" spans="2:15">
      <c r="B14" s="124" t="s">
        <v>15</v>
      </c>
      <c r="C14" s="124" t="s">
        <v>137</v>
      </c>
      <c r="D14" s="125">
        <f>'Existing Rates &amp; Forecast Vols'!F12</f>
        <v>3696</v>
      </c>
      <c r="E14" s="126">
        <f>'Existing Rates &amp; Forecast Vols'!G12</f>
        <v>2687821</v>
      </c>
      <c r="F14" s="127">
        <f>'Existing Rates &amp; Forecast Vols'!H12</f>
        <v>7670</v>
      </c>
      <c r="G14" s="128">
        <f>'2014 Area Rate Design'!P26</f>
        <v>5.2755685345131802</v>
      </c>
      <c r="H14" s="129"/>
      <c r="I14" s="129">
        <f>'2014 Area Rate Design'!Q26</f>
        <v>9.9946509058406221</v>
      </c>
      <c r="J14" s="130">
        <f t="shared" si="0"/>
        <v>310640.9880905262</v>
      </c>
      <c r="K14" s="153"/>
      <c r="L14" s="156"/>
      <c r="M14" s="156"/>
      <c r="N14" s="157"/>
      <c r="O14" s="157"/>
    </row>
    <row r="15" spans="2:15" ht="15.75" thickBot="1">
      <c r="B15" s="134"/>
      <c r="C15" s="134"/>
      <c r="D15" s="135"/>
      <c r="E15" s="126"/>
      <c r="F15" s="127"/>
      <c r="G15" s="128"/>
      <c r="H15" s="129"/>
      <c r="I15" s="129"/>
      <c r="J15" s="136"/>
      <c r="K15" s="153"/>
      <c r="L15" s="156"/>
      <c r="M15" s="156"/>
      <c r="N15" s="157"/>
      <c r="O15" s="157"/>
    </row>
    <row r="16" spans="2:15" ht="15.75" thickTop="1">
      <c r="B16" s="121"/>
      <c r="C16" s="121"/>
      <c r="D16" s="121"/>
      <c r="E16" s="134"/>
      <c r="F16" s="138"/>
      <c r="G16" s="134"/>
      <c r="H16" s="134"/>
      <c r="I16" s="134"/>
      <c r="J16" s="139"/>
      <c r="K16" s="153"/>
      <c r="L16" s="155"/>
      <c r="M16" s="155"/>
      <c r="N16" s="155"/>
      <c r="O16" s="155"/>
    </row>
    <row r="17" spans="2:15" ht="15.75" thickBot="1">
      <c r="B17" s="141" t="s">
        <v>27</v>
      </c>
      <c r="C17" s="142"/>
      <c r="D17" s="143">
        <f>SUM(D9:D14)</f>
        <v>23960</v>
      </c>
      <c r="E17" s="143">
        <f>SUM(E9:E14)</f>
        <v>333009413</v>
      </c>
      <c r="F17" s="143">
        <f>SUM(F9:F14)</f>
        <v>389666</v>
      </c>
      <c r="G17" s="144"/>
      <c r="H17" s="144"/>
      <c r="I17" s="144"/>
      <c r="J17" s="145">
        <f>SUM(J9:J14)</f>
        <v>11703813.094508087</v>
      </c>
      <c r="K17" s="154"/>
      <c r="L17" s="158"/>
      <c r="M17" s="158"/>
      <c r="N17" s="158"/>
      <c r="O17" s="159"/>
    </row>
    <row r="20" spans="2:15" ht="15.75" thickBot="1">
      <c r="B20" s="149" t="s">
        <v>17</v>
      </c>
    </row>
    <row r="21" spans="2:15" ht="15.75" thickBot="1">
      <c r="B21" s="108" t="s">
        <v>125</v>
      </c>
      <c r="C21" s="227" t="s">
        <v>126</v>
      </c>
      <c r="D21" s="109"/>
      <c r="E21" s="229" t="s">
        <v>127</v>
      </c>
      <c r="F21" s="230"/>
      <c r="G21" s="229" t="s">
        <v>128</v>
      </c>
      <c r="H21" s="232"/>
      <c r="I21" s="230"/>
      <c r="J21" s="227" t="s">
        <v>129</v>
      </c>
      <c r="K21" s="150"/>
      <c r="L21" s="231"/>
      <c r="M21" s="231"/>
      <c r="N21" s="231"/>
      <c r="O21" s="231"/>
    </row>
    <row r="22" spans="2:15" ht="39" thickBot="1">
      <c r="B22" s="111"/>
      <c r="C22" s="228"/>
      <c r="D22" s="162" t="s">
        <v>133</v>
      </c>
      <c r="E22" s="113" t="s">
        <v>9</v>
      </c>
      <c r="F22" s="114" t="s">
        <v>12</v>
      </c>
      <c r="G22" s="162" t="s">
        <v>134</v>
      </c>
      <c r="H22" s="229" t="s">
        <v>135</v>
      </c>
      <c r="I22" s="230"/>
      <c r="J22" s="228"/>
      <c r="K22" s="151"/>
      <c r="L22" s="231"/>
      <c r="M22" s="231"/>
      <c r="N22" s="231"/>
      <c r="O22" s="231"/>
    </row>
    <row r="23" spans="2:15">
      <c r="B23" s="116"/>
      <c r="C23" s="116"/>
      <c r="D23" s="116"/>
      <c r="E23" s="116"/>
      <c r="F23" s="117"/>
      <c r="G23" s="116"/>
      <c r="H23" s="118" t="s">
        <v>9</v>
      </c>
      <c r="I23" s="118" t="s">
        <v>12</v>
      </c>
      <c r="J23" s="119"/>
      <c r="K23" s="152"/>
      <c r="L23" s="155"/>
      <c r="M23" s="155"/>
      <c r="N23" s="155"/>
      <c r="O23" s="155"/>
    </row>
    <row r="24" spans="2:15">
      <c r="B24" s="121"/>
      <c r="C24" s="121"/>
      <c r="D24" s="121"/>
      <c r="E24" s="121"/>
      <c r="F24" s="122"/>
      <c r="G24" s="121"/>
      <c r="H24" s="121"/>
      <c r="I24" s="121"/>
      <c r="J24" s="121"/>
      <c r="K24" s="153"/>
      <c r="L24" s="155"/>
      <c r="M24" s="155"/>
      <c r="N24" s="155"/>
      <c r="O24" s="155"/>
    </row>
    <row r="25" spans="2:15">
      <c r="B25" s="124" t="s">
        <v>8</v>
      </c>
      <c r="C25" s="124" t="s">
        <v>136</v>
      </c>
      <c r="D25" s="125">
        <f>'Existing Rates &amp; Forecast Vols'!F21</f>
        <v>8152</v>
      </c>
      <c r="E25" s="126">
        <f>'Existing Rates &amp; Forecast Vols'!G21</f>
        <v>64161933</v>
      </c>
      <c r="F25" s="127"/>
      <c r="G25" s="128">
        <f>'2014 Area Rate Design'!P7</f>
        <v>17.405820102223117</v>
      </c>
      <c r="H25" s="129">
        <f>'2014 Area Rate Design'!Q7</f>
        <v>2.2478313294783673E-2</v>
      </c>
      <c r="I25" s="129"/>
      <c r="J25" s="130">
        <f t="shared" ref="J25:J30" si="1">G25*D25*12+H25*E25+I25*F25</f>
        <v>3144958.9772527935</v>
      </c>
      <c r="K25" s="153"/>
      <c r="L25" s="156"/>
      <c r="M25" s="156"/>
      <c r="N25" s="157"/>
      <c r="O25" s="157"/>
    </row>
    <row r="26" spans="2:15">
      <c r="B26" s="124" t="s">
        <v>10</v>
      </c>
      <c r="C26" s="124" t="s">
        <v>136</v>
      </c>
      <c r="D26" s="125">
        <f>'Existing Rates &amp; Forecast Vols'!F22</f>
        <v>888</v>
      </c>
      <c r="E26" s="126">
        <f>'Existing Rates &amp; Forecast Vols'!G22</f>
        <v>23558821</v>
      </c>
      <c r="F26" s="127"/>
      <c r="G26" s="128">
        <f>'2014 Area Rate Design'!P11</f>
        <v>29.018319794018332</v>
      </c>
      <c r="H26" s="129">
        <f>'2014 Area Rate Design'!Q11</f>
        <v>2.0584164377304495E-2</v>
      </c>
      <c r="I26" s="129"/>
      <c r="J26" s="130">
        <f t="shared" si="1"/>
        <v>794157.85972455237</v>
      </c>
      <c r="K26" s="153"/>
      <c r="L26" s="156"/>
      <c r="M26" s="156"/>
      <c r="N26" s="157"/>
      <c r="O26" s="157"/>
    </row>
    <row r="27" spans="2:15">
      <c r="B27" s="124" t="s">
        <v>11</v>
      </c>
      <c r="C27" s="124" t="s">
        <v>136</v>
      </c>
      <c r="D27" s="125">
        <f>'Existing Rates &amp; Forecast Vols'!F23</f>
        <v>79</v>
      </c>
      <c r="E27" s="126">
        <f>'Existing Rates &amp; Forecast Vols'!G23</f>
        <v>88694743</v>
      </c>
      <c r="F27" s="127">
        <f>'Existing Rates &amp; Forecast Vols'!H23</f>
        <v>311664</v>
      </c>
      <c r="G27" s="128">
        <f>'2014 Area Rate Design'!P15</f>
        <v>283.19333333333327</v>
      </c>
      <c r="H27" s="129"/>
      <c r="I27" s="129">
        <f>'2014 Area Rate Design'!Q15</f>
        <v>5.5284823960889478</v>
      </c>
      <c r="J27" s="130">
        <f t="shared" si="1"/>
        <v>1991496.2174946656</v>
      </c>
      <c r="K27" s="153"/>
      <c r="L27" s="156"/>
      <c r="M27" s="156"/>
      <c r="N27" s="157"/>
      <c r="O27" s="157"/>
    </row>
    <row r="28" spans="2:15">
      <c r="B28" s="124" t="s">
        <v>13</v>
      </c>
      <c r="C28" s="124" t="s">
        <v>136</v>
      </c>
      <c r="D28" s="125">
        <f>'Existing Rates &amp; Forecast Vols'!F24</f>
        <v>14</v>
      </c>
      <c r="E28" s="126">
        <f>'Existing Rates &amp; Forecast Vols'!G24</f>
        <v>581815</v>
      </c>
      <c r="F28" s="127"/>
      <c r="G28" s="128">
        <f>'2014 Area Rate Design'!P19</f>
        <v>41.64</v>
      </c>
      <c r="H28" s="129">
        <f>'2014 Area Rate Design'!Q19</f>
        <v>2.5152876294691595E-2</v>
      </c>
      <c r="I28" s="129"/>
      <c r="J28" s="130">
        <f t="shared" si="1"/>
        <v>21629.840721395991</v>
      </c>
      <c r="K28" s="153"/>
      <c r="L28" s="156"/>
      <c r="M28" s="156"/>
      <c r="N28" s="157"/>
      <c r="O28" s="157"/>
    </row>
    <row r="29" spans="2:15">
      <c r="B29" s="124" t="s">
        <v>14</v>
      </c>
      <c r="C29" s="124" t="s">
        <v>137</v>
      </c>
      <c r="D29" s="125">
        <f>'Existing Rates &amp; Forecast Vols'!F25</f>
        <v>41</v>
      </c>
      <c r="E29" s="126">
        <f>'Existing Rates &amp; Forecast Vols'!G25</f>
        <v>13331</v>
      </c>
      <c r="F29" s="127">
        <f>'Existing Rates &amp; Forecast Vols'!H25</f>
        <v>40</v>
      </c>
      <c r="G29" s="128">
        <f>'2014 Area Rate Design'!P23</f>
        <v>5.0199999999999996</v>
      </c>
      <c r="H29" s="129"/>
      <c r="I29" s="129">
        <f>'2014 Area Rate Design'!Q23</f>
        <v>4.9489597257926565</v>
      </c>
      <c r="J29" s="130">
        <f t="shared" si="1"/>
        <v>2667.7983890317064</v>
      </c>
      <c r="K29" s="153"/>
      <c r="L29" s="156"/>
      <c r="M29" s="156"/>
      <c r="N29" s="157"/>
      <c r="O29" s="157"/>
    </row>
    <row r="30" spans="2:15">
      <c r="B30" s="124" t="s">
        <v>15</v>
      </c>
      <c r="C30" s="124" t="s">
        <v>137</v>
      </c>
      <c r="D30" s="125">
        <f>'Existing Rates &amp; Forecast Vols'!F26</f>
        <v>2000</v>
      </c>
      <c r="E30" s="126">
        <f>'Existing Rates &amp; Forecast Vols'!G26</f>
        <v>1787582</v>
      </c>
      <c r="F30" s="127">
        <f>'Existing Rates &amp; Forecast Vols'!H26</f>
        <v>4119</v>
      </c>
      <c r="G30" s="128">
        <f>'2014 Area Rate Design'!P27</f>
        <v>3.9891685345131802</v>
      </c>
      <c r="H30" s="129"/>
      <c r="I30" s="129">
        <f>'2014 Area Rate Design'!Q27</f>
        <v>9.9946509058406221</v>
      </c>
      <c r="J30" s="130">
        <f t="shared" si="1"/>
        <v>136908.01190947383</v>
      </c>
      <c r="K30" s="153"/>
      <c r="L30" s="156"/>
      <c r="M30" s="156"/>
      <c r="N30" s="157"/>
      <c r="O30" s="157"/>
    </row>
    <row r="31" spans="2:15" ht="15.75" thickBot="1">
      <c r="B31" s="134"/>
      <c r="C31" s="134"/>
      <c r="D31" s="135"/>
      <c r="E31" s="126"/>
      <c r="F31" s="127"/>
      <c r="G31" s="128"/>
      <c r="H31" s="129"/>
      <c r="I31" s="129"/>
      <c r="J31" s="136"/>
      <c r="K31" s="153"/>
      <c r="L31" s="156"/>
      <c r="M31" s="156"/>
      <c r="N31" s="157"/>
      <c r="O31" s="157"/>
    </row>
    <row r="32" spans="2:15" ht="15.75" thickTop="1">
      <c r="B32" s="121"/>
      <c r="C32" s="121"/>
      <c r="D32" s="121"/>
      <c r="E32" s="134"/>
      <c r="F32" s="138"/>
      <c r="G32" s="134"/>
      <c r="H32" s="134"/>
      <c r="I32" s="134"/>
      <c r="J32" s="139"/>
      <c r="K32" s="153"/>
      <c r="L32" s="155"/>
      <c r="M32" s="155"/>
      <c r="N32" s="155"/>
      <c r="O32" s="155"/>
    </row>
    <row r="33" spans="2:15" ht="15.75" thickBot="1">
      <c r="B33" s="141" t="s">
        <v>27</v>
      </c>
      <c r="C33" s="142"/>
      <c r="D33" s="143">
        <f>SUM(D25:D30)</f>
        <v>11174</v>
      </c>
      <c r="E33" s="143">
        <f>SUM(E25:E30)</f>
        <v>178798225</v>
      </c>
      <c r="F33" s="143">
        <f>SUM(F25:F30)</f>
        <v>315823</v>
      </c>
      <c r="G33" s="144"/>
      <c r="H33" s="144"/>
      <c r="I33" s="144"/>
      <c r="J33" s="145">
        <f>SUM(J25:J30)</f>
        <v>6091818.7054919126</v>
      </c>
      <c r="K33" s="154"/>
      <c r="L33" s="158"/>
      <c r="M33" s="158"/>
      <c r="N33" s="158"/>
      <c r="O33" s="159"/>
    </row>
    <row r="36" spans="2:15" ht="15.75" thickBot="1">
      <c r="B36" s="149" t="s">
        <v>177</v>
      </c>
    </row>
    <row r="37" spans="2:15" ht="15.75" thickBot="1">
      <c r="B37" s="108" t="s">
        <v>125</v>
      </c>
      <c r="C37" s="227" t="s">
        <v>126</v>
      </c>
      <c r="D37" s="109"/>
      <c r="E37" s="229" t="s">
        <v>127</v>
      </c>
      <c r="F37" s="230"/>
      <c r="G37" s="229" t="s">
        <v>128</v>
      </c>
      <c r="H37" s="232"/>
      <c r="I37" s="230"/>
      <c r="J37" s="227" t="s">
        <v>129</v>
      </c>
      <c r="K37" s="110"/>
      <c r="L37" s="227" t="s">
        <v>130</v>
      </c>
      <c r="M37" s="227" t="s">
        <v>131</v>
      </c>
      <c r="N37" s="227" t="s">
        <v>27</v>
      </c>
      <c r="O37" s="227" t="s">
        <v>132</v>
      </c>
    </row>
    <row r="38" spans="2:15" ht="39" thickBot="1">
      <c r="B38" s="111"/>
      <c r="C38" s="228"/>
      <c r="D38" s="162" t="s">
        <v>133</v>
      </c>
      <c r="E38" s="113" t="s">
        <v>9</v>
      </c>
      <c r="F38" s="114" t="s">
        <v>12</v>
      </c>
      <c r="G38" s="162" t="s">
        <v>134</v>
      </c>
      <c r="H38" s="229" t="s">
        <v>135</v>
      </c>
      <c r="I38" s="230"/>
      <c r="J38" s="228"/>
      <c r="K38" s="115"/>
      <c r="L38" s="228"/>
      <c r="M38" s="228"/>
      <c r="N38" s="228"/>
      <c r="O38" s="228"/>
    </row>
    <row r="39" spans="2:15">
      <c r="B39" s="116"/>
      <c r="C39" s="116"/>
      <c r="D39" s="116"/>
      <c r="E39" s="116"/>
      <c r="F39" s="117"/>
      <c r="G39" s="116"/>
      <c r="H39" s="118" t="s">
        <v>9</v>
      </c>
      <c r="I39" s="118" t="s">
        <v>12</v>
      </c>
      <c r="J39" s="119"/>
      <c r="K39" s="120"/>
      <c r="L39" s="119"/>
      <c r="M39" s="119"/>
      <c r="N39" s="119"/>
      <c r="O39" s="117"/>
    </row>
    <row r="40" spans="2:15">
      <c r="B40" s="121"/>
      <c r="C40" s="121"/>
      <c r="D40" s="121"/>
      <c r="E40" s="121"/>
      <c r="F40" s="122"/>
      <c r="G40" s="121"/>
      <c r="H40" s="121"/>
      <c r="I40" s="121"/>
      <c r="J40" s="121"/>
      <c r="K40" s="123"/>
      <c r="L40" s="121"/>
      <c r="M40" s="121"/>
      <c r="N40" s="121"/>
      <c r="O40" s="122"/>
    </row>
    <row r="41" spans="2:15">
      <c r="B41" s="124" t="s">
        <v>8</v>
      </c>
      <c r="C41" s="124" t="s">
        <v>136</v>
      </c>
      <c r="D41" s="125">
        <f>D9+D25</f>
        <v>25689</v>
      </c>
      <c r="E41" s="125">
        <f>E9+E25</f>
        <v>208287976</v>
      </c>
      <c r="F41" s="125"/>
      <c r="G41" s="128"/>
      <c r="H41" s="129"/>
      <c r="I41" s="129"/>
      <c r="J41" s="125">
        <f>J9+J25</f>
        <v>9944371.1640000008</v>
      </c>
      <c r="K41" s="123"/>
      <c r="L41" s="125">
        <f>'2014 R|C Ratio Adj.'!H5</f>
        <v>9944371.1640000008</v>
      </c>
      <c r="M41" s="131"/>
      <c r="N41" s="132">
        <f t="shared" ref="N41:N46" si="2">SUM(L41:M41)</f>
        <v>9944371.1640000008</v>
      </c>
      <c r="O41" s="133">
        <f t="shared" ref="O41:O46" si="3">N41-J41</f>
        <v>0</v>
      </c>
    </row>
    <row r="42" spans="2:15">
      <c r="B42" s="124" t="s">
        <v>10</v>
      </c>
      <c r="C42" s="124" t="s">
        <v>136</v>
      </c>
      <c r="D42" s="125">
        <f t="shared" ref="D42:F46" si="4">D10+D26</f>
        <v>2521</v>
      </c>
      <c r="E42" s="125">
        <f t="shared" si="4"/>
        <v>72454602</v>
      </c>
      <c r="F42" s="125"/>
      <c r="G42" s="128"/>
      <c r="H42" s="129"/>
      <c r="I42" s="129"/>
      <c r="J42" s="125">
        <f t="shared" ref="J42:J46" si="5">J10+J26</f>
        <v>2426082</v>
      </c>
      <c r="K42" s="123"/>
      <c r="L42" s="125">
        <f>'2014 R|C Ratio Adj.'!H6</f>
        <v>2426082</v>
      </c>
      <c r="M42" s="131"/>
      <c r="N42" s="132">
        <f t="shared" si="2"/>
        <v>2426082</v>
      </c>
      <c r="O42" s="133">
        <f t="shared" si="3"/>
        <v>0</v>
      </c>
    </row>
    <row r="43" spans="2:15">
      <c r="B43" s="124" t="s">
        <v>11</v>
      </c>
      <c r="C43" s="124" t="s">
        <v>136</v>
      </c>
      <c r="D43" s="125">
        <f t="shared" si="4"/>
        <v>228</v>
      </c>
      <c r="E43" s="125">
        <f t="shared" si="4"/>
        <v>224300691</v>
      </c>
      <c r="F43" s="125">
        <f t="shared" si="4"/>
        <v>691366</v>
      </c>
      <c r="G43" s="128"/>
      <c r="H43" s="129"/>
      <c r="I43" s="129"/>
      <c r="J43" s="125">
        <f t="shared" si="5"/>
        <v>4841010.8</v>
      </c>
      <c r="K43" s="123"/>
      <c r="L43" s="125">
        <f>'2014 R|C Ratio Adj.'!H7</f>
        <v>4608377</v>
      </c>
      <c r="M43" s="131">
        <f>'2014 Rate Design'!D14</f>
        <v>232633.8</v>
      </c>
      <c r="N43" s="132">
        <f t="shared" si="2"/>
        <v>4841010.8</v>
      </c>
      <c r="O43" s="133">
        <f t="shared" si="3"/>
        <v>0</v>
      </c>
    </row>
    <row r="44" spans="2:15">
      <c r="B44" s="124" t="s">
        <v>13</v>
      </c>
      <c r="C44" s="124" t="s">
        <v>136</v>
      </c>
      <c r="D44" s="125">
        <f t="shared" si="4"/>
        <v>39</v>
      </c>
      <c r="E44" s="125">
        <f t="shared" si="4"/>
        <v>1527929</v>
      </c>
      <c r="F44" s="125"/>
      <c r="G44" s="128"/>
      <c r="H44" s="129"/>
      <c r="I44" s="129"/>
      <c r="J44" s="125">
        <f t="shared" si="5"/>
        <v>67177.324000000008</v>
      </c>
      <c r="K44" s="123"/>
      <c r="L44" s="125">
        <f>'2014 R|C Ratio Adj.'!H8</f>
        <v>67177.324000000008</v>
      </c>
      <c r="M44" s="131"/>
      <c r="N44" s="132">
        <f t="shared" si="2"/>
        <v>67177.324000000008</v>
      </c>
      <c r="O44" s="133">
        <f t="shared" si="3"/>
        <v>0</v>
      </c>
    </row>
    <row r="45" spans="2:15">
      <c r="B45" s="124" t="s">
        <v>14</v>
      </c>
      <c r="C45" s="124" t="s">
        <v>137</v>
      </c>
      <c r="D45" s="125">
        <f t="shared" si="4"/>
        <v>961</v>
      </c>
      <c r="E45" s="125">
        <f t="shared" si="4"/>
        <v>761037</v>
      </c>
      <c r="F45" s="125">
        <f t="shared" si="4"/>
        <v>2334</v>
      </c>
      <c r="G45" s="128"/>
      <c r="H45" s="129"/>
      <c r="I45" s="129"/>
      <c r="J45" s="125">
        <f t="shared" si="5"/>
        <v>69441.512000000002</v>
      </c>
      <c r="K45" s="123"/>
      <c r="L45" s="125">
        <f>'2014 R|C Ratio Adj.'!H9</f>
        <v>69441.512000000002</v>
      </c>
      <c r="M45" s="131"/>
      <c r="N45" s="132">
        <f t="shared" si="2"/>
        <v>69441.512000000002</v>
      </c>
      <c r="O45" s="133">
        <f t="shared" si="3"/>
        <v>0</v>
      </c>
    </row>
    <row r="46" spans="2:15">
      <c r="B46" s="124" t="s">
        <v>15</v>
      </c>
      <c r="C46" s="124" t="s">
        <v>137</v>
      </c>
      <c r="D46" s="125">
        <f t="shared" si="4"/>
        <v>5696</v>
      </c>
      <c r="E46" s="125">
        <f t="shared" si="4"/>
        <v>4475403</v>
      </c>
      <c r="F46" s="125">
        <f t="shared" si="4"/>
        <v>11789</v>
      </c>
      <c r="G46" s="128"/>
      <c r="H46" s="129"/>
      <c r="I46" s="129"/>
      <c r="J46" s="125">
        <f t="shared" si="5"/>
        <v>447549</v>
      </c>
      <c r="K46" s="123"/>
      <c r="L46" s="125">
        <f>'2014 R|C Ratio Adj.'!H10</f>
        <v>447549</v>
      </c>
      <c r="M46" s="131"/>
      <c r="N46" s="132">
        <f t="shared" si="2"/>
        <v>447549</v>
      </c>
      <c r="O46" s="133">
        <f t="shared" si="3"/>
        <v>0</v>
      </c>
    </row>
    <row r="47" spans="2:15" ht="15.75" thickBot="1">
      <c r="B47" s="134"/>
      <c r="C47" s="134"/>
      <c r="D47" s="135"/>
      <c r="E47" s="126"/>
      <c r="F47" s="127"/>
      <c r="G47" s="128"/>
      <c r="H47" s="129"/>
      <c r="I47" s="129"/>
      <c r="J47" s="136"/>
      <c r="K47" s="123"/>
      <c r="L47" s="131"/>
      <c r="M47" s="131"/>
      <c r="N47" s="137"/>
      <c r="O47" s="137"/>
    </row>
    <row r="48" spans="2:15" ht="15.75" thickTop="1">
      <c r="B48" s="121"/>
      <c r="C48" s="121"/>
      <c r="D48" s="121"/>
      <c r="E48" s="134"/>
      <c r="F48" s="138"/>
      <c r="G48" s="134"/>
      <c r="H48" s="134"/>
      <c r="I48" s="134"/>
      <c r="J48" s="139"/>
      <c r="K48" s="123"/>
      <c r="L48" s="140"/>
      <c r="M48" s="140"/>
      <c r="N48" s="121"/>
      <c r="O48" s="122"/>
    </row>
    <row r="49" spans="2:15" ht="15.75" thickBot="1">
      <c r="B49" s="141" t="s">
        <v>27</v>
      </c>
      <c r="C49" s="142"/>
      <c r="D49" s="143">
        <f>SUM(D41:D46)</f>
        <v>35134</v>
      </c>
      <c r="E49" s="143">
        <f>SUM(E41:E46)</f>
        <v>511807638</v>
      </c>
      <c r="F49" s="143">
        <f>SUM(F41:F46)</f>
        <v>705489</v>
      </c>
      <c r="G49" s="144"/>
      <c r="H49" s="144"/>
      <c r="I49" s="144"/>
      <c r="J49" s="147">
        <f>SUM(J41:J46)</f>
        <v>17795631.800000001</v>
      </c>
      <c r="K49" s="146"/>
      <c r="L49" s="147">
        <f>SUM(L41:L47)</f>
        <v>17562998</v>
      </c>
      <c r="M49" s="147">
        <f>SUM(M41:M47)</f>
        <v>232633.8</v>
      </c>
      <c r="N49" s="147">
        <f>L49+M49</f>
        <v>17795631.800000001</v>
      </c>
      <c r="O49" s="148">
        <f>N49-J49</f>
        <v>0</v>
      </c>
    </row>
  </sheetData>
  <mergeCells count="28">
    <mergeCell ref="B3:O3"/>
    <mergeCell ref="C5:C6"/>
    <mergeCell ref="E5:F5"/>
    <mergeCell ref="G5:I5"/>
    <mergeCell ref="J5:J6"/>
    <mergeCell ref="L5:L6"/>
    <mergeCell ref="M5:M6"/>
    <mergeCell ref="N5:N6"/>
    <mergeCell ref="O5:O6"/>
    <mergeCell ref="H6:I6"/>
    <mergeCell ref="C21:C22"/>
    <mergeCell ref="E21:F21"/>
    <mergeCell ref="G21:I21"/>
    <mergeCell ref="J21:J22"/>
    <mergeCell ref="L21:L22"/>
    <mergeCell ref="C37:C38"/>
    <mergeCell ref="E37:F37"/>
    <mergeCell ref="G37:I37"/>
    <mergeCell ref="J37:J38"/>
    <mergeCell ref="L37:L38"/>
    <mergeCell ref="O37:O38"/>
    <mergeCell ref="H38:I38"/>
    <mergeCell ref="N21:N22"/>
    <mergeCell ref="O21:O22"/>
    <mergeCell ref="H22:I22"/>
    <mergeCell ref="M37:M38"/>
    <mergeCell ref="N37:N38"/>
    <mergeCell ref="M21:M22"/>
  </mergeCells>
  <pageMargins left="0.7" right="0.7" top="0.75" bottom="0.75" header="0.3" footer="0.3"/>
  <pageSetup scale="52" orientation="portrait" r:id="rId1"/>
</worksheet>
</file>

<file path=xl/worksheets/sheet17.xml><?xml version="1.0" encoding="utf-8"?>
<worksheet xmlns="http://schemas.openxmlformats.org/spreadsheetml/2006/main" xmlns:r="http://schemas.openxmlformats.org/officeDocument/2006/relationships">
  <dimension ref="B1:H14"/>
  <sheetViews>
    <sheetView view="pageBreakPreview" zoomScale="60" zoomScaleNormal="100" workbookViewId="0">
      <selection sqref="A1:I15"/>
    </sheetView>
  </sheetViews>
  <sheetFormatPr defaultRowHeight="15"/>
  <cols>
    <col min="1" max="1" width="2.7109375" customWidth="1"/>
    <col min="2" max="2" width="21.85546875" customWidth="1"/>
    <col min="3" max="3" width="14.42578125" customWidth="1"/>
    <col min="4" max="5" width="13.5703125" customWidth="1"/>
    <col min="6" max="6" width="14.42578125" bestFit="1" customWidth="1"/>
    <col min="7" max="7" width="11.140625" customWidth="1"/>
    <col min="8" max="8" width="14.42578125" bestFit="1" customWidth="1"/>
  </cols>
  <sheetData>
    <row r="1" spans="2:8" ht="15.75" thickBot="1"/>
    <row r="2" spans="2:8" ht="18">
      <c r="B2" s="221" t="s">
        <v>151</v>
      </c>
      <c r="C2" s="222"/>
      <c r="D2" s="222"/>
      <c r="E2" s="222"/>
      <c r="F2" s="222"/>
      <c r="G2" s="222"/>
      <c r="H2" s="223"/>
    </row>
    <row r="3" spans="2:8">
      <c r="B3" s="20"/>
      <c r="C3" s="21"/>
      <c r="D3" s="21"/>
      <c r="E3" s="21"/>
      <c r="F3" s="21"/>
      <c r="G3" s="21"/>
      <c r="H3" s="11"/>
    </row>
    <row r="4" spans="2:8" ht="85.5">
      <c r="B4" s="160" t="s">
        <v>21</v>
      </c>
      <c r="C4" s="32" t="s">
        <v>36</v>
      </c>
      <c r="D4" s="32" t="s">
        <v>39</v>
      </c>
      <c r="E4" s="32" t="s">
        <v>55</v>
      </c>
      <c r="F4" s="32" t="s">
        <v>38</v>
      </c>
      <c r="G4" s="32" t="s">
        <v>51</v>
      </c>
      <c r="H4" s="33" t="s">
        <v>52</v>
      </c>
    </row>
    <row r="5" spans="2:8">
      <c r="B5" s="19" t="s">
        <v>8</v>
      </c>
      <c r="C5" s="34">
        <f>'R|C Ratio'!C$8</f>
        <v>11876815.4</v>
      </c>
      <c r="D5" s="34">
        <f>'R|C Ratio'!F$8</f>
        <v>887426.5</v>
      </c>
      <c r="E5" s="34">
        <f>C5-D5</f>
        <v>10989388.9</v>
      </c>
      <c r="F5" s="34">
        <f>'R|C Ratio'!E$8</f>
        <v>9927778</v>
      </c>
      <c r="G5" s="67">
        <f t="shared" ref="G5:G10" si="0">(H5+D5)/C5</f>
        <v>0.91310266196441847</v>
      </c>
      <c r="H5" s="63">
        <f>H12-(H6+H7+H8+H9+H10)</f>
        <v>9957325.2574000005</v>
      </c>
    </row>
    <row r="6" spans="2:8">
      <c r="B6" s="19" t="s">
        <v>10</v>
      </c>
      <c r="C6" s="34">
        <f>'R|C Ratio'!C$9</f>
        <v>2376032.2000000002</v>
      </c>
      <c r="D6" s="34">
        <f>'R|C Ratio'!F$9</f>
        <v>171803</v>
      </c>
      <c r="E6" s="34">
        <f t="shared" ref="E6:E10" si="1">C6-D6</f>
        <v>2204229.2000000002</v>
      </c>
      <c r="F6" s="34">
        <f>'R|C Ratio'!E$9</f>
        <v>2426082</v>
      </c>
      <c r="G6" s="62">
        <f t="shared" si="0"/>
        <v>1.0933711251892966</v>
      </c>
      <c r="H6" s="63">
        <v>2426082</v>
      </c>
    </row>
    <row r="7" spans="2:8">
      <c r="B7" s="19" t="s">
        <v>11</v>
      </c>
      <c r="C7" s="34">
        <f>'R|C Ratio'!C$10</f>
        <v>4090319.3</v>
      </c>
      <c r="D7" s="34">
        <f>'R|C Ratio'!F$10</f>
        <v>297617.5</v>
      </c>
      <c r="E7" s="34">
        <f t="shared" si="1"/>
        <v>3792701.8</v>
      </c>
      <c r="F7" s="34">
        <f>'R|C Ratio'!E$10</f>
        <v>4608377</v>
      </c>
      <c r="G7" s="62">
        <f t="shared" si="0"/>
        <v>1.1994160211404523</v>
      </c>
      <c r="H7" s="63">
        <v>4608377</v>
      </c>
    </row>
    <row r="8" spans="2:8">
      <c r="B8" s="19" t="s">
        <v>13</v>
      </c>
      <c r="C8" s="34">
        <f>'R|C Ratio'!C$11</f>
        <v>36954</v>
      </c>
      <c r="D8" s="34">
        <f>'R|C Ratio'!F$11</f>
        <v>3257</v>
      </c>
      <c r="E8" s="34">
        <f t="shared" si="1"/>
        <v>33697</v>
      </c>
      <c r="F8" s="34">
        <f>'R|C Ratio'!E$11</f>
        <v>93264</v>
      </c>
      <c r="G8" s="171">
        <f t="shared" si="0"/>
        <v>1.5530000000000002</v>
      </c>
      <c r="H8" s="63">
        <v>54132.562000000005</v>
      </c>
    </row>
    <row r="9" spans="2:8">
      <c r="B9" s="19" t="s">
        <v>14</v>
      </c>
      <c r="C9" s="34">
        <f>'R|C Ratio'!C$12</f>
        <v>82426</v>
      </c>
      <c r="D9" s="34">
        <f>'R|C Ratio'!F$12</f>
        <v>5731</v>
      </c>
      <c r="E9" s="34">
        <f t="shared" si="1"/>
        <v>76695</v>
      </c>
      <c r="F9" s="34">
        <f>'R|C Ratio'!E$12</f>
        <v>59948</v>
      </c>
      <c r="G9" s="67">
        <f t="shared" si="0"/>
        <v>0.91310000000000013</v>
      </c>
      <c r="H9" s="63">
        <v>69532.180600000007</v>
      </c>
    </row>
    <row r="10" spans="2:8">
      <c r="B10" s="19" t="s">
        <v>15</v>
      </c>
      <c r="C10" s="34">
        <f>'R|C Ratio'!C$13</f>
        <v>503635</v>
      </c>
      <c r="D10" s="34">
        <f>'R|C Ratio'!F$13</f>
        <v>37349</v>
      </c>
      <c r="E10" s="34">
        <f t="shared" si="1"/>
        <v>466286</v>
      </c>
      <c r="F10" s="34">
        <f>'R|C Ratio'!E$13</f>
        <v>447549</v>
      </c>
      <c r="G10" s="62">
        <f t="shared" si="0"/>
        <v>0.96279646966553156</v>
      </c>
      <c r="H10" s="63">
        <v>447549</v>
      </c>
    </row>
    <row r="11" spans="2:8">
      <c r="B11" s="19"/>
      <c r="C11" s="35"/>
      <c r="D11" s="35"/>
      <c r="E11" s="35"/>
      <c r="F11" s="35"/>
      <c r="G11" s="35"/>
      <c r="H11" s="57"/>
    </row>
    <row r="12" spans="2:8" ht="15.75" thickBot="1">
      <c r="B12" s="22" t="s">
        <v>27</v>
      </c>
      <c r="C12" s="58">
        <f>SUM(C5:C10)</f>
        <v>18966181.900000002</v>
      </c>
      <c r="D12" s="58">
        <f>SUM(D5:D10)</f>
        <v>1403184</v>
      </c>
      <c r="E12" s="58">
        <f>SUM(E5:E10)</f>
        <v>17562997.900000002</v>
      </c>
      <c r="F12" s="58">
        <f>SUM(F5:F10)</f>
        <v>17562998</v>
      </c>
      <c r="G12" s="23"/>
      <c r="H12" s="64">
        <f>F12</f>
        <v>17562998</v>
      </c>
    </row>
    <row r="14" spans="2:8">
      <c r="B14" s="65" t="s">
        <v>53</v>
      </c>
      <c r="C14" s="161" t="str">
        <f>IF((H5+H6+H7+H8+H9+H10)-F12&lt;1,"YES","NO")</f>
        <v>YES</v>
      </c>
    </row>
  </sheetData>
  <mergeCells count="1">
    <mergeCell ref="B2:H2"/>
  </mergeCells>
  <pageMargins left="0.7" right="0.7" top="0.75" bottom="0.75" header="0.3" footer="0.3"/>
  <pageSetup scale="77" orientation="portrait" r:id="rId1"/>
</worksheet>
</file>

<file path=xl/worksheets/sheet18.xml><?xml version="1.0" encoding="utf-8"?>
<worksheet xmlns="http://schemas.openxmlformats.org/spreadsheetml/2006/main" xmlns:r="http://schemas.openxmlformats.org/officeDocument/2006/relationships">
  <dimension ref="B1:G28"/>
  <sheetViews>
    <sheetView view="pageBreakPreview" zoomScale="60" zoomScaleNormal="100" workbookViewId="0">
      <selection sqref="A1:H28"/>
    </sheetView>
  </sheetViews>
  <sheetFormatPr defaultRowHeight="14.25"/>
  <cols>
    <col min="1" max="1" width="2.7109375" style="3" customWidth="1"/>
    <col min="2" max="2" width="21.85546875" style="3" customWidth="1"/>
    <col min="3" max="3" width="14.42578125" style="3" bestFit="1" customWidth="1"/>
    <col min="4" max="7" width="14.5703125" style="3" bestFit="1" customWidth="1"/>
    <col min="8" max="16384" width="9.140625" style="3"/>
  </cols>
  <sheetData>
    <row r="1" spans="2:7" ht="15" thickBot="1"/>
    <row r="2" spans="2:7" ht="15">
      <c r="B2" s="197" t="s">
        <v>154</v>
      </c>
      <c r="C2" s="198"/>
      <c r="D2" s="198"/>
      <c r="E2" s="198"/>
      <c r="F2" s="198"/>
      <c r="G2" s="199"/>
    </row>
    <row r="3" spans="2:7">
      <c r="B3" s="20"/>
      <c r="C3" s="21"/>
      <c r="D3" s="21"/>
      <c r="E3" s="21"/>
      <c r="F3" s="21"/>
      <c r="G3" s="11"/>
    </row>
    <row r="4" spans="2:7" ht="57">
      <c r="B4" s="160" t="s">
        <v>21</v>
      </c>
      <c r="C4" s="32" t="s">
        <v>86</v>
      </c>
      <c r="D4" s="32" t="s">
        <v>87</v>
      </c>
      <c r="E4" s="32" t="s">
        <v>88</v>
      </c>
      <c r="F4" s="32" t="s">
        <v>31</v>
      </c>
      <c r="G4" s="33" t="s">
        <v>23</v>
      </c>
    </row>
    <row r="5" spans="2:7">
      <c r="B5" s="19" t="s">
        <v>8</v>
      </c>
      <c r="C5" s="34">
        <f>'2015 R|C Ratio Adj.'!H5</f>
        <v>9957325.2574000005</v>
      </c>
      <c r="D5" s="34">
        <f>C5*'Existing F_V Ratios'!F74</f>
        <v>5949235.6389147155</v>
      </c>
      <c r="E5" s="34">
        <f>C5*'Existing F_V Ratios'!G74</f>
        <v>4008089.6184852854</v>
      </c>
      <c r="F5" s="90">
        <f>D5/'Existing Rates &amp; Forecast Vols'!F35/12</f>
        <v>19.298907570408591</v>
      </c>
      <c r="G5" s="91">
        <f>E5/'Existing Rates &amp; Forecast Vols'!G35</f>
        <v>1.9243019666604688E-2</v>
      </c>
    </row>
    <row r="6" spans="2:7">
      <c r="B6" s="19" t="s">
        <v>10</v>
      </c>
      <c r="C6" s="34">
        <f>'2015 R|C Ratio Adj.'!H6</f>
        <v>2426082</v>
      </c>
      <c r="D6" s="34">
        <f>C6*'Existing F_V Ratios'!F75</f>
        <v>821240.14081728505</v>
      </c>
      <c r="E6" s="34">
        <f>C6*'Existing F_V Ratios'!G75</f>
        <v>1604841.8591827147</v>
      </c>
      <c r="F6" s="90">
        <f>D6/'Existing Rates &amp; Forecast Vols'!F36/12</f>
        <v>27.14663958803666</v>
      </c>
      <c r="G6" s="91">
        <f>E6/'Existing Rates &amp; Forecast Vols'!G36</f>
        <v>2.2149619415240383E-2</v>
      </c>
    </row>
    <row r="7" spans="2:7">
      <c r="B7" s="19" t="s">
        <v>11</v>
      </c>
      <c r="C7" s="34">
        <f>'2015 R|C Ratio Adj.'!H7</f>
        <v>4608377</v>
      </c>
      <c r="D7" s="34">
        <f>C7*'Existing F_V Ratios'!F76</f>
        <v>851881.81848249643</v>
      </c>
      <c r="E7" s="34">
        <f>C7*'Existing F_V Ratios'!G76</f>
        <v>3756495.1815175032</v>
      </c>
      <c r="F7" s="90">
        <f>D7/'Existing Rates &amp; Forecast Vols'!F37/12</f>
        <v>311.36031377284229</v>
      </c>
      <c r="G7" s="91">
        <f>E7/'Existing Rates &amp; Forecast Vols'!H37</f>
        <v>5.4334392803775469</v>
      </c>
    </row>
    <row r="8" spans="2:7">
      <c r="B8" s="19" t="s">
        <v>13</v>
      </c>
      <c r="C8" s="34">
        <f>'2015 R|C Ratio Adj.'!H8</f>
        <v>54132.562000000005</v>
      </c>
      <c r="D8" s="34">
        <f>C8*'Existing F_V Ratios'!F77</f>
        <v>19120.222028258475</v>
      </c>
      <c r="E8" s="34">
        <f>C8*'Existing F_V Ratios'!G77</f>
        <v>35012.33997174153</v>
      </c>
      <c r="F8" s="90">
        <f>D8/'Existing Rates &amp; Forecast Vols'!F38/12</f>
        <v>40.85517527405657</v>
      </c>
      <c r="G8" s="91">
        <f>E8/'Existing Rates &amp; Forecast Vols'!G38</f>
        <v>2.2914899823055605E-2</v>
      </c>
    </row>
    <row r="9" spans="2:7">
      <c r="B9" s="19" t="s">
        <v>14</v>
      </c>
      <c r="C9" s="34">
        <f>'2015 R|C Ratio Adj.'!H9</f>
        <v>69532.180600000007</v>
      </c>
      <c r="D9" s="34">
        <f>C9*'Existing F_V Ratios'!F78</f>
        <v>56560.390823087422</v>
      </c>
      <c r="E9" s="34">
        <f>C9*'Existing F_V Ratios'!G78</f>
        <v>12971.789776912587</v>
      </c>
      <c r="F9" s="90">
        <f>D9/'Existing Rates &amp; Forecast Vols'!F39/12</f>
        <v>4.9046471403995335</v>
      </c>
      <c r="G9" s="91">
        <f>E9/'Existing Rates &amp; Forecast Vols'!H39</f>
        <v>5.5577505470919393</v>
      </c>
    </row>
    <row r="10" spans="2:7">
      <c r="B10" s="19" t="s">
        <v>15</v>
      </c>
      <c r="C10" s="34">
        <f>'2015 R|C Ratio Adj.'!H10</f>
        <v>447549</v>
      </c>
      <c r="D10" s="34">
        <f>C10*'Existing F_V Ratios'!F79</f>
        <v>325286.86445771181</v>
      </c>
      <c r="E10" s="34">
        <f>C10*'Existing F_V Ratios'!G79</f>
        <v>122262.13554228815</v>
      </c>
      <c r="F10" s="90">
        <f>D10/'Existing Rates &amp; Forecast Vols'!F40/12</f>
        <v>4.7589955591308497</v>
      </c>
      <c r="G10" s="91">
        <f>E10/'Existing Rates &amp; Forecast Vols'!H40</f>
        <v>10.370865683458151</v>
      </c>
    </row>
    <row r="11" spans="2:7">
      <c r="B11" s="20"/>
      <c r="C11" s="21"/>
      <c r="D11" s="21"/>
      <c r="E11" s="21"/>
      <c r="F11" s="21"/>
      <c r="G11" s="11"/>
    </row>
    <row r="12" spans="2:7" ht="15" thickBot="1">
      <c r="B12" s="22" t="s">
        <v>27</v>
      </c>
      <c r="C12" s="58">
        <f>SUM(C5:C10)</f>
        <v>17562997.999999996</v>
      </c>
      <c r="D12" s="58">
        <f>SUM(D5:D10)</f>
        <v>8023325.0755235543</v>
      </c>
      <c r="E12" s="58">
        <f>SUM(E5:E10)</f>
        <v>9539672.9244764447</v>
      </c>
      <c r="F12" s="23"/>
      <c r="G12" s="60"/>
    </row>
    <row r="14" spans="2:7">
      <c r="B14" s="3" t="s">
        <v>89</v>
      </c>
      <c r="D14" s="89">
        <f>'Existing Rates &amp; Forecast Vols'!D42*'Existing Rates &amp; Forecast Vols'!H42</f>
        <v>232633.8</v>
      </c>
      <c r="E14" s="3" t="s">
        <v>90</v>
      </c>
    </row>
    <row r="15" spans="2:7" ht="15" thickBot="1">
      <c r="D15" s="89"/>
    </row>
    <row r="16" spans="2:7" ht="15">
      <c r="B16" s="197" t="s">
        <v>155</v>
      </c>
      <c r="C16" s="198"/>
      <c r="D16" s="198"/>
      <c r="E16" s="198"/>
      <c r="F16" s="198"/>
      <c r="G16" s="199"/>
    </row>
    <row r="17" spans="2:7">
      <c r="B17" s="20"/>
      <c r="C17" s="21"/>
      <c r="D17" s="21"/>
      <c r="E17" s="21"/>
      <c r="F17" s="21"/>
      <c r="G17" s="11"/>
    </row>
    <row r="18" spans="2:7" ht="57">
      <c r="B18" s="160" t="s">
        <v>21</v>
      </c>
      <c r="C18" s="32" t="s">
        <v>92</v>
      </c>
      <c r="D18" s="32" t="s">
        <v>87</v>
      </c>
      <c r="E18" s="32" t="s">
        <v>88</v>
      </c>
      <c r="F18" s="32" t="s">
        <v>31</v>
      </c>
      <c r="G18" s="33" t="s">
        <v>23</v>
      </c>
    </row>
    <row r="19" spans="2:7">
      <c r="B19" s="19" t="s">
        <v>8</v>
      </c>
      <c r="C19" s="34">
        <f>C5</f>
        <v>9957325.2574000005</v>
      </c>
      <c r="D19" s="34">
        <f>D5</f>
        <v>5949235.6389147155</v>
      </c>
      <c r="E19" s="34">
        <f>E5</f>
        <v>4008089.6184852854</v>
      </c>
      <c r="F19" s="90">
        <f>D19/'Existing Rates &amp; Forecast Vols'!F35/12</f>
        <v>19.298907570408591</v>
      </c>
      <c r="G19" s="91">
        <f>E19/'Existing Rates &amp; Forecast Vols'!G35</f>
        <v>1.9243019666604688E-2</v>
      </c>
    </row>
    <row r="20" spans="2:7">
      <c r="B20" s="19" t="s">
        <v>10</v>
      </c>
      <c r="C20" s="34">
        <f t="shared" ref="C20:E24" si="0">C6</f>
        <v>2426082</v>
      </c>
      <c r="D20" s="34">
        <f t="shared" si="0"/>
        <v>821240.14081728505</v>
      </c>
      <c r="E20" s="34">
        <f t="shared" si="0"/>
        <v>1604841.8591827147</v>
      </c>
      <c r="F20" s="90">
        <f>D20/'Existing Rates &amp; Forecast Vols'!F36/12</f>
        <v>27.14663958803666</v>
      </c>
      <c r="G20" s="91">
        <f>E20/'Existing Rates &amp; Forecast Vols'!G36</f>
        <v>2.2149619415240383E-2</v>
      </c>
    </row>
    <row r="21" spans="2:7">
      <c r="B21" s="19" t="s">
        <v>11</v>
      </c>
      <c r="C21" s="34">
        <f>C7+D14</f>
        <v>4841010.8</v>
      </c>
      <c r="D21" s="34">
        <f t="shared" si="0"/>
        <v>851881.81848249643</v>
      </c>
      <c r="E21" s="34">
        <f>E7+D14</f>
        <v>3989128.981517503</v>
      </c>
      <c r="F21" s="90">
        <f>D21/'Existing Rates &amp; Forecast Vols'!F37/12</f>
        <v>311.36031377284229</v>
      </c>
      <c r="G21" s="91">
        <f>E21/'Existing Rates &amp; Forecast Vols'!H37</f>
        <v>5.7699235737908765</v>
      </c>
    </row>
    <row r="22" spans="2:7">
      <c r="B22" s="19" t="s">
        <v>13</v>
      </c>
      <c r="C22" s="34">
        <f t="shared" si="0"/>
        <v>54132.562000000005</v>
      </c>
      <c r="D22" s="34">
        <f t="shared" si="0"/>
        <v>19120.222028258475</v>
      </c>
      <c r="E22" s="34">
        <f t="shared" si="0"/>
        <v>35012.33997174153</v>
      </c>
      <c r="F22" s="90">
        <f>D22/'Existing Rates &amp; Forecast Vols'!F38/12</f>
        <v>40.85517527405657</v>
      </c>
      <c r="G22" s="91">
        <f>E22/'Existing Rates &amp; Forecast Vols'!G38</f>
        <v>2.2914899823055605E-2</v>
      </c>
    </row>
    <row r="23" spans="2:7">
      <c r="B23" s="19" t="s">
        <v>14</v>
      </c>
      <c r="C23" s="34">
        <f t="shared" si="0"/>
        <v>69532.180600000007</v>
      </c>
      <c r="D23" s="34">
        <f t="shared" si="0"/>
        <v>56560.390823087422</v>
      </c>
      <c r="E23" s="34">
        <f t="shared" si="0"/>
        <v>12971.789776912587</v>
      </c>
      <c r="F23" s="90">
        <f>D23/'Existing Rates &amp; Forecast Vols'!F39/12</f>
        <v>4.9046471403995335</v>
      </c>
      <c r="G23" s="91">
        <f>E23/'Existing Rates &amp; Forecast Vols'!H39</f>
        <v>5.5577505470919393</v>
      </c>
    </row>
    <row r="24" spans="2:7">
      <c r="B24" s="19" t="s">
        <v>15</v>
      </c>
      <c r="C24" s="34">
        <f t="shared" si="0"/>
        <v>447549</v>
      </c>
      <c r="D24" s="34">
        <f t="shared" si="0"/>
        <v>325286.86445771181</v>
      </c>
      <c r="E24" s="34">
        <f t="shared" si="0"/>
        <v>122262.13554228815</v>
      </c>
      <c r="F24" s="90">
        <f>D24/'Existing Rates &amp; Forecast Vols'!F40/12</f>
        <v>4.7589955591308497</v>
      </c>
      <c r="G24" s="91">
        <f>E24/'Existing Rates &amp; Forecast Vols'!H40</f>
        <v>10.370865683458151</v>
      </c>
    </row>
    <row r="25" spans="2:7">
      <c r="B25" s="20"/>
      <c r="C25" s="21"/>
      <c r="D25" s="21"/>
      <c r="E25" s="21"/>
      <c r="F25" s="21"/>
      <c r="G25" s="11"/>
    </row>
    <row r="26" spans="2:7" ht="15" thickBot="1">
      <c r="B26" s="22" t="s">
        <v>27</v>
      </c>
      <c r="C26" s="58">
        <f>SUM(C19:C24)</f>
        <v>17795631.799999997</v>
      </c>
      <c r="D26" s="58">
        <f>SUM(D19:D24)</f>
        <v>8023325.0755235543</v>
      </c>
      <c r="E26" s="58">
        <f>SUM(E19:E24)</f>
        <v>9772306.7244764455</v>
      </c>
      <c r="F26" s="23"/>
      <c r="G26" s="60"/>
    </row>
    <row r="28" spans="2:7" ht="15">
      <c r="B28" s="65" t="s">
        <v>93</v>
      </c>
      <c r="C28" s="161" t="str">
        <f>IF(C26-(D26+E26)&lt;1,"YES","NO")</f>
        <v>YES</v>
      </c>
    </row>
  </sheetData>
  <mergeCells count="2">
    <mergeCell ref="B2:G2"/>
    <mergeCell ref="B16:G16"/>
  </mergeCells>
  <pageMargins left="0.7" right="0.7" top="0.75" bottom="0.75" header="0.3" footer="0.3"/>
  <pageSetup scale="84" orientation="portrait" r:id="rId1"/>
</worksheet>
</file>

<file path=xl/worksheets/sheet19.xml><?xml version="1.0" encoding="utf-8"?>
<worksheet xmlns="http://schemas.openxmlformats.org/spreadsheetml/2006/main" xmlns:r="http://schemas.openxmlformats.org/officeDocument/2006/relationships">
  <sheetPr>
    <pageSetUpPr fitToPage="1"/>
  </sheetPr>
  <dimension ref="B3:Q32"/>
  <sheetViews>
    <sheetView view="pageBreakPreview" zoomScale="60" zoomScaleNormal="100" workbookViewId="0">
      <selection sqref="A1:R32"/>
    </sheetView>
  </sheetViews>
  <sheetFormatPr defaultRowHeight="14.25"/>
  <cols>
    <col min="1" max="1" width="2.7109375" style="3" customWidth="1"/>
    <col min="2" max="2" width="36.5703125" style="3" bestFit="1" customWidth="1"/>
    <col min="3" max="3" width="1.7109375" style="3" customWidth="1"/>
    <col min="4" max="4" width="10" style="3" bestFit="1" customWidth="1"/>
    <col min="5" max="5" width="10.85546875" style="3" bestFit="1" customWidth="1"/>
    <col min="6" max="6" width="9.85546875" style="3" customWidth="1"/>
    <col min="7" max="7" width="10.42578125" style="3" bestFit="1" customWidth="1"/>
    <col min="8" max="8" width="14.7109375" style="3" customWidth="1"/>
    <col min="9" max="9" width="12.140625" style="3" customWidth="1"/>
    <col min="10" max="10" width="11.85546875" style="3" bestFit="1" customWidth="1"/>
    <col min="11" max="13" width="11.140625" style="3" customWidth="1"/>
    <col min="14" max="14" width="14.7109375" style="3" bestFit="1" customWidth="1"/>
    <col min="15" max="15" width="2.7109375" style="3" customWidth="1"/>
    <col min="16" max="16" width="10.42578125" style="3" bestFit="1" customWidth="1"/>
    <col min="17" max="17" width="10.140625" style="3" bestFit="1" customWidth="1"/>
    <col min="18" max="16384" width="9.140625" style="3"/>
  </cols>
  <sheetData>
    <row r="3" spans="2:17" ht="15">
      <c r="D3" s="225" t="s">
        <v>156</v>
      </c>
      <c r="E3" s="225"/>
      <c r="F3" s="225"/>
      <c r="G3" s="225"/>
      <c r="H3" s="225"/>
      <c r="I3" s="225"/>
      <c r="J3" s="225"/>
      <c r="K3" s="225"/>
      <c r="L3" s="225"/>
      <c r="M3" s="225"/>
      <c r="N3" s="225"/>
      <c r="P3" s="226" t="s">
        <v>160</v>
      </c>
      <c r="Q3" s="226"/>
    </row>
    <row r="4" spans="2:17" ht="57">
      <c r="D4" s="1" t="s">
        <v>119</v>
      </c>
      <c r="E4" s="1" t="s">
        <v>112</v>
      </c>
      <c r="F4" s="1" t="s">
        <v>73</v>
      </c>
      <c r="G4" s="1" t="s">
        <v>159</v>
      </c>
      <c r="H4" s="1" t="s">
        <v>157</v>
      </c>
      <c r="I4" s="1" t="s">
        <v>116</v>
      </c>
      <c r="J4" s="1" t="s">
        <v>117</v>
      </c>
      <c r="K4" s="1" t="s">
        <v>120</v>
      </c>
      <c r="L4" s="1" t="s">
        <v>121</v>
      </c>
      <c r="M4" s="1" t="s">
        <v>158</v>
      </c>
      <c r="N4" s="1" t="s">
        <v>122</v>
      </c>
      <c r="P4" s="167" t="s">
        <v>159</v>
      </c>
      <c r="Q4" s="167" t="s">
        <v>163</v>
      </c>
    </row>
    <row r="5" spans="2:17" ht="15">
      <c r="B5" s="65" t="s">
        <v>21</v>
      </c>
      <c r="P5" s="168"/>
      <c r="Q5" s="168"/>
    </row>
    <row r="6" spans="2:17">
      <c r="B6" s="3" t="s">
        <v>94</v>
      </c>
      <c r="D6" s="96">
        <f>'Existing Rates &amp; Forecast Vols'!D7</f>
        <v>1.52E-2</v>
      </c>
      <c r="E6" s="4">
        <f>'Existing Rates &amp; Forecast Vols'!C7</f>
        <v>18.170000000000002</v>
      </c>
      <c r="F6" s="165">
        <f>'Target MSC Change'!D6</f>
        <v>19.241640204446238</v>
      </c>
      <c r="G6" s="4">
        <f>E6+((F6-E6)/4)+((F6-E6)/4)+((F6-E6)/4)</f>
        <v>18.973730153334682</v>
      </c>
      <c r="H6" s="93">
        <f>H8*'Existing F_V Ratios'!C89</f>
        <v>6692039.2234183047</v>
      </c>
      <c r="I6" s="93">
        <f>G6*'Existing Rates &amp; Forecast Vols'!F7*12</f>
        <v>3992907.6683883634</v>
      </c>
      <c r="J6" s="94">
        <f>H6-I6</f>
        <v>2699131.5550299413</v>
      </c>
      <c r="K6" s="96">
        <f>J6/'Existing Rates &amp; Forecast Vols'!G7</f>
        <v>1.8727576910093489E-2</v>
      </c>
      <c r="L6" s="96">
        <f>K8-K6</f>
        <v>1.3019854804490437E-3</v>
      </c>
      <c r="M6" s="96">
        <f>K6+(0.75*L6)</f>
        <v>1.9704066020430271E-2</v>
      </c>
      <c r="N6" s="101">
        <f>M6*'Existing Rates &amp; Forecast Vols'!G7</f>
        <v>2839869.0665353723</v>
      </c>
      <c r="P6" s="169">
        <f>G6</f>
        <v>18.973730153334682</v>
      </c>
      <c r="Q6" s="170">
        <f>M6</f>
        <v>1.9704066020430271E-2</v>
      </c>
    </row>
    <row r="7" spans="2:17">
      <c r="B7" s="3" t="s">
        <v>95</v>
      </c>
      <c r="D7" s="96">
        <f>'Existing Rates &amp; Forecast Vols'!D21</f>
        <v>2.1999999999999999E-2</v>
      </c>
      <c r="E7" s="4">
        <f>'Existing Rates &amp; Forecast Vols'!C21</f>
        <v>15.57</v>
      </c>
      <c r="F7" s="165">
        <f>'Target MSC Change'!D14</f>
        <v>19.241640204446238</v>
      </c>
      <c r="G7" s="4">
        <f>E7+((F7-E7)/4)+((F7-E7)/4)+((F7-E7)/4)</f>
        <v>18.323730153334676</v>
      </c>
      <c r="H7" s="94">
        <f>H8-H6</f>
        <v>3265286.0339816958</v>
      </c>
      <c r="I7" s="93">
        <f>G7*'Existing Rates &amp; Forecast Vols'!F21*12</f>
        <v>1792500.5785198114</v>
      </c>
      <c r="J7" s="94">
        <f>H7-I7</f>
        <v>1472785.4554618844</v>
      </c>
      <c r="K7" s="96">
        <f>J7/'Existing Rates &amp; Forecast Vols'!G21</f>
        <v>2.2954193968281543E-2</v>
      </c>
      <c r="L7" s="96">
        <f>K8-K7</f>
        <v>-2.9246315777390099E-3</v>
      </c>
      <c r="M7" s="96">
        <f>N7/'Existing Rates &amp; Forecast Vols'!G21</f>
        <v>2.0760720284977285E-2</v>
      </c>
      <c r="N7" s="94">
        <f>N8-N6</f>
        <v>1332047.9439564534</v>
      </c>
      <c r="P7" s="169">
        <f>G7</f>
        <v>18.323730153334676</v>
      </c>
      <c r="Q7" s="170">
        <f>M7</f>
        <v>2.0760720284977285E-2</v>
      </c>
    </row>
    <row r="8" spans="2:17">
      <c r="B8" s="3" t="s">
        <v>105</v>
      </c>
      <c r="F8" s="166"/>
      <c r="G8" s="99">
        <f>I8/'Existing Rates &amp; Forecast Vols'!F35/12</f>
        <v>18.767462879404203</v>
      </c>
      <c r="H8" s="100">
        <f>'2015 Rate Design'!C19</f>
        <v>9957325.2574000005</v>
      </c>
      <c r="I8" s="101">
        <f>I6+I7</f>
        <v>5785408.2469081748</v>
      </c>
      <c r="J8" s="101">
        <f>H8-I8</f>
        <v>4171917.0104918256</v>
      </c>
      <c r="K8" s="102">
        <f>J8/'Existing Rates &amp; Forecast Vols'!G35</f>
        <v>2.0029562390542533E-2</v>
      </c>
      <c r="L8" s="104"/>
      <c r="N8" s="94">
        <f>J8</f>
        <v>4171917.0104918256</v>
      </c>
      <c r="P8" s="168"/>
      <c r="Q8" s="168"/>
    </row>
    <row r="9" spans="2:17">
      <c r="F9" s="166"/>
      <c r="G9" s="4"/>
      <c r="H9" s="87"/>
      <c r="L9" s="105"/>
      <c r="P9" s="168"/>
      <c r="Q9" s="168"/>
    </row>
    <row r="10" spans="2:17">
      <c r="B10" s="3" t="s">
        <v>96</v>
      </c>
      <c r="D10" s="96">
        <f>'Existing Rates &amp; Forecast Vols'!D8</f>
        <v>2.2599999999999999E-2</v>
      </c>
      <c r="E10" s="4">
        <f>'Existing Rates &amp; Forecast Vols'!C8</f>
        <v>20.98</v>
      </c>
      <c r="F10" s="165">
        <f>'Target MSC Change'!D7</f>
        <v>27.14663958803666</v>
      </c>
      <c r="G10" s="4">
        <f>E10+((F10-E10)/4)+((F10-E10)/4)+((F10-E10)/4)</f>
        <v>25.604979691027495</v>
      </c>
      <c r="H10" s="93">
        <f>H12*'Existing F_V Ratios'!C90</f>
        <v>1681965.3383249969</v>
      </c>
      <c r="I10" s="93">
        <f>G10*'Existing Rates &amp; Forecast Vols'!F8*12</f>
        <v>501755.18202537473</v>
      </c>
      <c r="J10" s="94">
        <f>H10-I10</f>
        <v>1180210.1562996223</v>
      </c>
      <c r="K10" s="96">
        <f>J10/'Existing Rates &amp; Forecast Vols'!G8</f>
        <v>2.4137259537783479E-2</v>
      </c>
      <c r="L10" s="96">
        <f>K12-K10</f>
        <v>-1.7083196288038352E-3</v>
      </c>
      <c r="M10" s="96">
        <f>N10/'Existing Rates &amp; Forecast Vols'!G8</f>
        <v>2.2856019816180604E-2</v>
      </c>
      <c r="N10" s="107">
        <f>N12-N11</f>
        <v>1117562.9394636271</v>
      </c>
      <c r="P10" s="169">
        <f>G10</f>
        <v>25.604979691027495</v>
      </c>
      <c r="Q10" s="170">
        <f>M10</f>
        <v>2.2856019816180604E-2</v>
      </c>
    </row>
    <row r="11" spans="2:17">
      <c r="B11" s="3" t="s">
        <v>97</v>
      </c>
      <c r="D11" s="96">
        <f>'Existing Rates &amp; Forecast Vols'!D22</f>
        <v>1.4500000000000001E-2</v>
      </c>
      <c r="E11" s="4">
        <f>'Existing Rates &amp; Forecast Vols'!C22</f>
        <v>30.89</v>
      </c>
      <c r="F11" s="165">
        <f>'Target MSC Change'!D15</f>
        <v>27.14663958803666</v>
      </c>
      <c r="G11" s="4">
        <f>E11+((F11-E11)/4)+((F11-E11)/4)+((F11-E11)/4)</f>
        <v>28.082479691027498</v>
      </c>
      <c r="H11" s="94">
        <f>H12-H10</f>
        <v>744116.66167500312</v>
      </c>
      <c r="I11" s="93">
        <f>G11*'Existing Rates &amp; Forecast Vols'!F22*12</f>
        <v>299246.90358758898</v>
      </c>
      <c r="J11" s="94">
        <f>H11-I11</f>
        <v>444869.75808741414</v>
      </c>
      <c r="K11" s="96">
        <f>J11/'Existing Rates &amp; Forecast Vols'!G22</f>
        <v>1.8883362545494706E-2</v>
      </c>
      <c r="L11" s="96">
        <f>K12-K11</f>
        <v>3.5455773634849377E-3</v>
      </c>
      <c r="M11" s="96">
        <f>K11+(0.75*L11)</f>
        <v>2.1542545568108411E-2</v>
      </c>
      <c r="N11" s="101">
        <f>M11*'Existing Rates &amp; Forecast Vols'!G22</f>
        <v>507516.97492340935</v>
      </c>
      <c r="P11" s="169">
        <f>G11</f>
        <v>28.082479691027498</v>
      </c>
      <c r="Q11" s="170">
        <f>M11</f>
        <v>2.1542545568108411E-2</v>
      </c>
    </row>
    <row r="12" spans="2:17">
      <c r="B12" s="3" t="s">
        <v>106</v>
      </c>
      <c r="F12" s="166"/>
      <c r="G12" s="99">
        <f>I12/'Existing Rates &amp; Forecast Vols'!F36/12</f>
        <v>26.477657199952521</v>
      </c>
      <c r="H12" s="100">
        <f>'2015 Rate Design'!C20</f>
        <v>2426082</v>
      </c>
      <c r="I12" s="101">
        <f>I10+I11</f>
        <v>801002.08561296365</v>
      </c>
      <c r="J12" s="101">
        <f>H12-I12</f>
        <v>1625079.9143870363</v>
      </c>
      <c r="K12" s="102">
        <f>J12/'Existing Rates &amp; Forecast Vols'!G36</f>
        <v>2.2428939908979643E-2</v>
      </c>
      <c r="L12" s="104"/>
      <c r="N12" s="94">
        <f>J12</f>
        <v>1625079.9143870363</v>
      </c>
      <c r="P12" s="168"/>
      <c r="Q12" s="168"/>
    </row>
    <row r="13" spans="2:17">
      <c r="F13" s="166"/>
      <c r="G13" s="4"/>
      <c r="L13" s="105"/>
      <c r="P13" s="168"/>
      <c r="Q13" s="168"/>
    </row>
    <row r="14" spans="2:17">
      <c r="B14" s="3" t="s">
        <v>98</v>
      </c>
      <c r="D14" s="3">
        <f>'Existing Rates &amp; Forecast Vols'!D9</f>
        <v>7.2561</v>
      </c>
      <c r="E14" s="4">
        <f>'Existing Rates &amp; Forecast Vols'!C9</f>
        <v>133.68</v>
      </c>
      <c r="F14" s="165">
        <f>'Target MSC Change'!D8</f>
        <v>145.84</v>
      </c>
      <c r="G14" s="4">
        <f>E14+((F14-E14)/3)+((F14-E14)/3)+((F14-E14)/3)</f>
        <v>145.84000000000003</v>
      </c>
      <c r="H14" s="93">
        <f>H16*'Existing F_V Ratios'!C91</f>
        <v>3304232.6669710851</v>
      </c>
      <c r="I14" s="94">
        <f>G14*'Existing Rates &amp; Forecast Vols'!F9*12</f>
        <v>260761.92000000004</v>
      </c>
      <c r="J14" s="94">
        <f>H14-I14</f>
        <v>3043470.7469710852</v>
      </c>
      <c r="K14" s="96">
        <f>J14/'Existing Rates &amp; Forecast Vols'!H9</f>
        <v>8.0154193208650071</v>
      </c>
      <c r="L14" s="96">
        <f>K16-K14</f>
        <v>-1.5904684844050143</v>
      </c>
      <c r="M14" s="96">
        <f>K16</f>
        <v>6.4249508364599928</v>
      </c>
      <c r="N14" s="94">
        <f>N16-N15</f>
        <v>2439566.6825055322</v>
      </c>
      <c r="P14" s="169">
        <f>G14</f>
        <v>145.84000000000003</v>
      </c>
      <c r="Q14" s="170">
        <f>M14</f>
        <v>6.4249508364599928</v>
      </c>
    </row>
    <row r="15" spans="2:17">
      <c r="B15" s="3" t="s">
        <v>108</v>
      </c>
      <c r="D15" s="3">
        <f>'Existing Rates &amp; Forecast Vols'!D23</f>
        <v>2.7711999999999999</v>
      </c>
      <c r="E15" s="4">
        <f>'Existing Rates &amp; Forecast Vols'!C23</f>
        <v>557.9</v>
      </c>
      <c r="F15" s="165">
        <f>'Target MSC Change'!D16</f>
        <v>145.84</v>
      </c>
      <c r="G15" s="4">
        <f>E15+((F15-E15)/3)+((F15-E15)/3)+((F15-E15)/3)</f>
        <v>145.83999999999995</v>
      </c>
      <c r="H15" s="94">
        <f>H16-H14</f>
        <v>1536778.1330289147</v>
      </c>
      <c r="I15" s="94">
        <f>G15*'Existing Rates &amp; Forecast Vols'!F23*12</f>
        <v>138256.31999999995</v>
      </c>
      <c r="J15" s="94">
        <f>H15-I15</f>
        <v>1398521.8130289149</v>
      </c>
      <c r="K15" s="96">
        <f>J15/'Existing Rates &amp; Forecast Vols'!H23</f>
        <v>4.4872741575187218</v>
      </c>
      <c r="L15" s="96">
        <f>K16-K15</f>
        <v>1.9376766789412709</v>
      </c>
      <c r="M15" s="96">
        <f>K16</f>
        <v>6.4249508364599928</v>
      </c>
      <c r="N15" s="101">
        <f>M15*'Existing Rates &amp; Forecast Vols'!H23</f>
        <v>2002425.8774944672</v>
      </c>
      <c r="P15" s="169">
        <f>G15</f>
        <v>145.83999999999995</v>
      </c>
      <c r="Q15" s="170">
        <f>M15</f>
        <v>6.4249508364599928</v>
      </c>
    </row>
    <row r="16" spans="2:17">
      <c r="B16" s="3" t="s">
        <v>107</v>
      </c>
      <c r="F16" s="166"/>
      <c r="G16" s="99">
        <f>I16/'Existing Rates &amp; Forecast Vols'!F37/12</f>
        <v>145.84</v>
      </c>
      <c r="H16" s="100">
        <f>'2015 Rate Design'!C21</f>
        <v>4841010.8</v>
      </c>
      <c r="I16" s="101">
        <f>I14+I15</f>
        <v>399018.23999999999</v>
      </c>
      <c r="J16" s="101">
        <f>H16-I16</f>
        <v>4441992.5599999996</v>
      </c>
      <c r="K16" s="102">
        <f>J16/'Existing Rates &amp; Forecast Vols'!H37</f>
        <v>6.4249508364599928</v>
      </c>
      <c r="L16" s="104"/>
      <c r="N16" s="94">
        <f>J16</f>
        <v>4441992.5599999996</v>
      </c>
      <c r="P16" s="168"/>
      <c r="Q16" s="168"/>
    </row>
    <row r="17" spans="2:17">
      <c r="F17" s="166"/>
      <c r="G17" s="4"/>
      <c r="L17" s="105"/>
      <c r="P17" s="168"/>
      <c r="Q17" s="168"/>
    </row>
    <row r="18" spans="2:17">
      <c r="B18" s="3" t="s">
        <v>99</v>
      </c>
      <c r="D18" s="96">
        <f>'Existing Rates &amp; Forecast Vols'!D10</f>
        <v>4.1300000000000003E-2</v>
      </c>
      <c r="E18" s="4">
        <f>'Existing Rates &amp; Forecast Vols'!C10</f>
        <v>70.069999999999993</v>
      </c>
      <c r="F18" s="165">
        <v>31.66</v>
      </c>
      <c r="G18" s="4">
        <f>E18+((F18-E18)/4)+((F18-E18)/4)+((F18-E18)/4)</f>
        <v>41.262499999999996</v>
      </c>
      <c r="H18" s="93">
        <f>H20*'Existing F_V Ratios'!C92</f>
        <v>38694.920049578577</v>
      </c>
      <c r="I18" s="93">
        <f>G18*'Existing Rates &amp; Forecast Vols'!F10*12</f>
        <v>12378.75</v>
      </c>
      <c r="J18" s="94">
        <f>H18-I18</f>
        <v>26316.170049578577</v>
      </c>
      <c r="K18" s="96">
        <f>J18/'Existing Rates &amp; Forecast Vols'!G10</f>
        <v>2.781500966012402E-2</v>
      </c>
      <c r="L18" s="96">
        <f>K20-K18</f>
        <v>-4.51798996876401E-3</v>
      </c>
      <c r="M18" s="96">
        <f>N18/'Existing Rates &amp; Forecast Vols'!G10</f>
        <v>2.4403927233707195E-2</v>
      </c>
      <c r="N18" s="94">
        <f>N20-N19</f>
        <v>23088.897210791649</v>
      </c>
      <c r="P18" s="169">
        <f>G18</f>
        <v>41.262499999999996</v>
      </c>
      <c r="Q18" s="170">
        <f>M18</f>
        <v>2.4403927233707195E-2</v>
      </c>
    </row>
    <row r="19" spans="2:17">
      <c r="B19" s="3" t="s">
        <v>102</v>
      </c>
      <c r="D19" s="96">
        <f>'Existing Rates &amp; Forecast Vols'!D24</f>
        <v>2.63E-2</v>
      </c>
      <c r="E19" s="4">
        <f>'Existing Rates &amp; Forecast Vols'!C24</f>
        <v>51.63</v>
      </c>
      <c r="F19" s="165">
        <v>31.66</v>
      </c>
      <c r="G19" s="4">
        <f>E19+((F19-E19)/4)+((F19-E19)/4)+((F19-E19)/4)</f>
        <v>36.652500000000003</v>
      </c>
      <c r="H19" s="94">
        <f>H20-H18</f>
        <v>15437.641950421428</v>
      </c>
      <c r="I19" s="93">
        <f>G19*'Existing Rates &amp; Forecast Vols'!F24*12</f>
        <v>6157.62</v>
      </c>
      <c r="J19" s="94">
        <f>H19-I19</f>
        <v>9280.0219504214292</v>
      </c>
      <c r="K19" s="96">
        <f>J19/'Existing Rates &amp; Forecast Vols'!G24</f>
        <v>1.5950124954532678E-2</v>
      </c>
      <c r="L19" s="96">
        <f>K20-K19</f>
        <v>7.3468947368273314E-3</v>
      </c>
      <c r="M19" s="96">
        <f>K19+(0.755*L19)</f>
        <v>2.1497030480837315E-2</v>
      </c>
      <c r="N19" s="101">
        <f>M19*'Existing Rates &amp; Forecast Vols'!G24</f>
        <v>12507.294789208363</v>
      </c>
      <c r="P19" s="169">
        <f>G19</f>
        <v>36.652500000000003</v>
      </c>
      <c r="Q19" s="170">
        <f>M19</f>
        <v>2.1497030480837315E-2</v>
      </c>
    </row>
    <row r="20" spans="2:17">
      <c r="B20" s="3" t="s">
        <v>109</v>
      </c>
      <c r="F20" s="166"/>
      <c r="G20" s="99">
        <f>I20/'Existing Rates &amp; Forecast Vols'!F38/12</f>
        <v>39.607628205128201</v>
      </c>
      <c r="H20" s="100">
        <f>'2015 Rate Design'!C22</f>
        <v>54132.562000000005</v>
      </c>
      <c r="I20" s="101">
        <f>I18+I19</f>
        <v>18536.37</v>
      </c>
      <c r="J20" s="101">
        <f>H20-I20</f>
        <v>35596.19200000001</v>
      </c>
      <c r="K20" s="102">
        <f>J20/'Existing Rates &amp; Forecast Vols'!G38</f>
        <v>2.329701969136001E-2</v>
      </c>
      <c r="L20" s="104"/>
      <c r="N20" s="94">
        <f>J20</f>
        <v>35596.19200000001</v>
      </c>
      <c r="P20" s="168"/>
      <c r="Q20" s="168"/>
    </row>
    <row r="21" spans="2:17">
      <c r="F21" s="166"/>
      <c r="G21" s="4"/>
      <c r="L21" s="105"/>
      <c r="P21" s="168"/>
      <c r="Q21" s="168"/>
    </row>
    <row r="22" spans="2:17">
      <c r="B22" s="3" t="s">
        <v>100</v>
      </c>
      <c r="D22" s="96">
        <f>'Existing Rates &amp; Forecast Vols'!D11</f>
        <v>4.2721999999999998</v>
      </c>
      <c r="E22" s="4">
        <f>'Existing Rates &amp; Forecast Vols'!C11</f>
        <v>3.79</v>
      </c>
      <c r="F22" s="165">
        <f>'Target MSC Change'!D10</f>
        <v>4.8901117683708524</v>
      </c>
      <c r="G22" s="4">
        <v>5.05</v>
      </c>
      <c r="H22" s="93">
        <f>H24*'Existing F_V Ratios'!C93</f>
        <v>66448.573128050804</v>
      </c>
      <c r="I22" s="94">
        <f>G22*'Existing Rates &amp; Forecast Vols'!F11*12</f>
        <v>55752</v>
      </c>
      <c r="J22" s="94">
        <f>H22-I22</f>
        <v>10696.573128050804</v>
      </c>
      <c r="K22" s="95">
        <f>J22/'Existing Rates &amp; Forecast Vols'!H11</f>
        <v>4.6628479198129051</v>
      </c>
      <c r="L22" s="96">
        <f>K24-K22</f>
        <v>0.17673245722223108</v>
      </c>
      <c r="M22" s="173">
        <f>K24</f>
        <v>4.8395803770351362</v>
      </c>
      <c r="N22" s="101">
        <f>M22*'Existing Rates &amp; Forecast Vols'!H11</f>
        <v>11101.997384918603</v>
      </c>
      <c r="P22" s="169">
        <f>G22</f>
        <v>5.05</v>
      </c>
      <c r="Q22" s="170">
        <f>M22</f>
        <v>4.8395803770351362</v>
      </c>
    </row>
    <row r="23" spans="2:17">
      <c r="B23" s="3" t="s">
        <v>103</v>
      </c>
      <c r="D23" s="96">
        <f>'Existing Rates &amp; Forecast Vols'!D25</f>
        <v>7.0224000000000002</v>
      </c>
      <c r="E23" s="4">
        <f>'Existing Rates &amp; Forecast Vols'!C25</f>
        <v>4.3</v>
      </c>
      <c r="F23" s="165">
        <f>'Target MSC Change'!D18</f>
        <v>4.8901117683708524</v>
      </c>
      <c r="G23" s="4">
        <v>5.05</v>
      </c>
      <c r="H23" s="94">
        <f>H24-H22</f>
        <v>3083.6074719492026</v>
      </c>
      <c r="I23" s="94">
        <f>G23*'Existing Rates &amp; Forecast Vols'!F25*12</f>
        <v>2484.6</v>
      </c>
      <c r="J23" s="94">
        <f>H23-I23</f>
        <v>599.00747194920268</v>
      </c>
      <c r="K23" s="95">
        <f>J23/'Existing Rates &amp; Forecast Vols'!H25</f>
        <v>14.975186798730068</v>
      </c>
      <c r="L23" s="96">
        <f>K24-K23</f>
        <v>-10.135606421694931</v>
      </c>
      <c r="M23" s="173">
        <f>N23/'Existing Rates &amp; Forecast Vols'!H25</f>
        <v>4.8395803770351451</v>
      </c>
      <c r="N23" s="94">
        <f>N24-N22</f>
        <v>193.5832150814058</v>
      </c>
      <c r="P23" s="169">
        <f>G23</f>
        <v>5.05</v>
      </c>
      <c r="Q23" s="170">
        <f>M23</f>
        <v>4.8395803770351451</v>
      </c>
    </row>
    <row r="24" spans="2:17">
      <c r="B24" s="3" t="s">
        <v>110</v>
      </c>
      <c r="F24" s="166"/>
      <c r="G24" s="99">
        <f>I24/'Existing Rates &amp; Forecast Vols'!F39/12</f>
        <v>5.05</v>
      </c>
      <c r="H24" s="100">
        <f>'2015 Rate Design'!C23</f>
        <v>69532.180600000007</v>
      </c>
      <c r="I24" s="101">
        <f>I22+I23</f>
        <v>58236.6</v>
      </c>
      <c r="J24" s="101">
        <f>H24-I24</f>
        <v>11295.580600000008</v>
      </c>
      <c r="K24" s="102">
        <f>J24/'Existing Rates &amp; Forecast Vols'!H39</f>
        <v>4.8395803770351362</v>
      </c>
      <c r="L24" s="106"/>
      <c r="N24" s="94">
        <f>J24</f>
        <v>11295.580600000008</v>
      </c>
      <c r="P24" s="168"/>
      <c r="Q24" s="168"/>
    </row>
    <row r="25" spans="2:17">
      <c r="F25" s="166"/>
      <c r="G25" s="4"/>
      <c r="I25" s="94"/>
      <c r="L25" s="105"/>
      <c r="P25" s="168"/>
      <c r="Q25" s="168"/>
    </row>
    <row r="26" spans="2:17">
      <c r="B26" s="3" t="s">
        <v>101</v>
      </c>
      <c r="D26" s="104">
        <f>'Existing Rates &amp; Forecast Vols'!D12</f>
        <v>9.6593999999999998</v>
      </c>
      <c r="E26" s="163">
        <f>'Existing Rates &amp; Forecast Vols'!C12</f>
        <v>4.95</v>
      </c>
      <c r="F26" s="165">
        <f>'Target MSC Change'!D11</f>
        <v>4.7589955591308497</v>
      </c>
      <c r="G26" s="175">
        <f>'2014 Area Rate Design'!G26-('2014 Area Rate Design'!G26-'2014 Area Rate Design'!F26)*0.67</f>
        <v>4.9294646410070184</v>
      </c>
      <c r="H26" s="164">
        <f>H28*'Existing F_V Ratios'!C94</f>
        <v>307837.07412612473</v>
      </c>
      <c r="I26" s="107">
        <f>G26*'Existing Rates &amp; Forecast Vols'!F12*12</f>
        <v>218631.61575794331</v>
      </c>
      <c r="J26" s="107">
        <f>H26-I26</f>
        <v>89205.458368181426</v>
      </c>
      <c r="K26" s="106">
        <f>J26/'Existing Rates &amp; Forecast Vols'!H12</f>
        <v>11.630437857650772</v>
      </c>
      <c r="L26" s="104">
        <f>K28-K26</f>
        <v>-1.3837230508064025</v>
      </c>
      <c r="M26" s="104">
        <f>N26/'Existing Rates &amp; Forecast Vols'!H12</f>
        <v>10.24671480684437</v>
      </c>
      <c r="N26" s="107">
        <f>N28-N27</f>
        <v>78592.302568496321</v>
      </c>
      <c r="P26" s="169">
        <f>G26</f>
        <v>4.9294646410070184</v>
      </c>
      <c r="Q26" s="170">
        <f>M26</f>
        <v>10.24671480684437</v>
      </c>
    </row>
    <row r="27" spans="2:17">
      <c r="B27" s="3" t="s">
        <v>104</v>
      </c>
      <c r="D27" s="104">
        <f>'Existing Rates &amp; Forecast Vols'!D26</f>
        <v>8.7698</v>
      </c>
      <c r="E27" s="163">
        <f>'Existing Rates &amp; Forecast Vols'!C26</f>
        <v>3.07</v>
      </c>
      <c r="F27" s="165">
        <f>'Target MSC Change'!D19</f>
        <v>4.7589955591308497</v>
      </c>
      <c r="G27" s="175">
        <f>'2014 Area Rate Design'!G27+('2014 Area Rate Design'!F27-'2014 Area Rate Design'!G27)*0.67</f>
        <v>4.5049526410070184</v>
      </c>
      <c r="H27" s="107">
        <f>H28-H26</f>
        <v>139711.92587387527</v>
      </c>
      <c r="I27" s="107">
        <f>G27*'Existing Rates &amp; Forecast Vols'!F26*12</f>
        <v>108118.86338416845</v>
      </c>
      <c r="J27" s="107">
        <f>H27-I27</f>
        <v>31593.062489706819</v>
      </c>
      <c r="K27" s="106">
        <f>J27/'Existing Rates &amp; Forecast Vols'!H26</f>
        <v>7.6700807209776203</v>
      </c>
      <c r="L27" s="104">
        <f>K28-K27</f>
        <v>2.5766340858667496</v>
      </c>
      <c r="M27" s="104">
        <f>K28</f>
        <v>10.24671480684437</v>
      </c>
      <c r="N27" s="101">
        <f>M27*'Existing Rates &amp; Forecast Vols'!H26</f>
        <v>42206.21828939196</v>
      </c>
      <c r="P27" s="169">
        <f>G27</f>
        <v>4.5049526410070184</v>
      </c>
      <c r="Q27" s="170">
        <f>M27</f>
        <v>10.24671480684437</v>
      </c>
    </row>
    <row r="28" spans="2:17">
      <c r="B28" s="3" t="s">
        <v>111</v>
      </c>
      <c r="G28" s="103">
        <f>I28/'Existing Rates &amp; Forecast Vols'!F40/12</f>
        <v>4.7804084612317377</v>
      </c>
      <c r="H28" s="100">
        <f>'2015 Rate Design'!C24</f>
        <v>447549</v>
      </c>
      <c r="I28" s="101">
        <f>I26+I27</f>
        <v>326750.47914211173</v>
      </c>
      <c r="J28" s="101">
        <f>H28-I28</f>
        <v>120798.52085788827</v>
      </c>
      <c r="K28" s="102">
        <f>J28/'Existing Rates &amp; Forecast Vols'!H40</f>
        <v>10.24671480684437</v>
      </c>
      <c r="L28" s="106"/>
      <c r="N28" s="94">
        <f>J28</f>
        <v>120798.52085788827</v>
      </c>
    </row>
    <row r="30" spans="2:17">
      <c r="B30" s="3" t="s">
        <v>175</v>
      </c>
      <c r="H30" s="94">
        <f>H8+H12+H16+H20+H24+H28</f>
        <v>17795631.799999997</v>
      </c>
    </row>
    <row r="32" spans="2:17" ht="15">
      <c r="F32" s="224" t="s">
        <v>53</v>
      </c>
      <c r="G32" s="224"/>
      <c r="H32" s="161" t="str">
        <f>IF('2013 Rate Design'!C26-'2015 Area Rate Design'!H30&lt;1,"YES","NO")</f>
        <v>YES</v>
      </c>
    </row>
  </sheetData>
  <mergeCells count="3">
    <mergeCell ref="D3:N3"/>
    <mergeCell ref="P3:Q3"/>
    <mergeCell ref="F32:G32"/>
  </mergeCells>
  <pageMargins left="0.25" right="0.25"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B2:H42"/>
  <sheetViews>
    <sheetView view="pageBreakPreview" zoomScale="60" zoomScaleNormal="100" workbookViewId="0">
      <selection sqref="A1:I43"/>
    </sheetView>
  </sheetViews>
  <sheetFormatPr defaultRowHeight="15"/>
  <cols>
    <col min="1" max="1" width="2.7109375" customWidth="1"/>
    <col min="2" max="2" width="23.42578125" customWidth="1"/>
    <col min="3" max="3" width="12.5703125" customWidth="1"/>
    <col min="4" max="4" width="11.28515625" customWidth="1"/>
    <col min="5" max="5" width="6.42578125" customWidth="1"/>
    <col min="6" max="6" width="12.7109375" customWidth="1"/>
    <col min="7" max="7" width="14.140625" bestFit="1" customWidth="1"/>
    <col min="8" max="8" width="10.5703125" bestFit="1" customWidth="1"/>
    <col min="9" max="9" width="4.5703125" customWidth="1"/>
  </cols>
  <sheetData>
    <row r="2" spans="2:8" ht="30">
      <c r="B2" s="61" t="s">
        <v>0</v>
      </c>
      <c r="C2" s="1"/>
      <c r="D2" s="2"/>
      <c r="E2" s="1"/>
      <c r="F2" s="1"/>
      <c r="G2" s="1"/>
      <c r="H2" s="3"/>
    </row>
    <row r="3" spans="2:8" ht="15.75" thickBot="1">
      <c r="B3" s="4"/>
      <c r="C3" s="5"/>
      <c r="D3" s="2"/>
      <c r="E3" s="6"/>
      <c r="F3" s="6"/>
      <c r="G3" s="2"/>
      <c r="H3" s="3"/>
    </row>
    <row r="4" spans="2:8">
      <c r="B4" s="190" t="s">
        <v>1</v>
      </c>
      <c r="C4" s="191"/>
      <c r="D4" s="191"/>
      <c r="E4" s="191"/>
      <c r="F4" s="191"/>
      <c r="G4" s="191"/>
      <c r="H4" s="192"/>
    </row>
    <row r="5" spans="2:8">
      <c r="B5" s="7"/>
      <c r="C5" s="8"/>
      <c r="D5" s="9"/>
      <c r="E5" s="10"/>
      <c r="F5" s="10"/>
      <c r="G5" s="10"/>
      <c r="H5" s="11"/>
    </row>
    <row r="6" spans="2:8" ht="57.75">
      <c r="B6" s="12"/>
      <c r="C6" s="13" t="s">
        <v>2</v>
      </c>
      <c r="D6" s="13" t="s">
        <v>3</v>
      </c>
      <c r="E6" s="14" t="s">
        <v>4</v>
      </c>
      <c r="F6" s="13" t="s">
        <v>5</v>
      </c>
      <c r="G6" s="13" t="s">
        <v>6</v>
      </c>
      <c r="H6" s="15" t="s">
        <v>7</v>
      </c>
    </row>
    <row r="7" spans="2:8">
      <c r="B7" s="12" t="s">
        <v>8</v>
      </c>
      <c r="C7" s="16">
        <v>18.170000000000002</v>
      </c>
      <c r="D7" s="17">
        <v>1.52E-2</v>
      </c>
      <c r="E7" s="14" t="s">
        <v>9</v>
      </c>
      <c r="F7" s="14">
        <v>17537</v>
      </c>
      <c r="G7" s="14">
        <v>144126043</v>
      </c>
      <c r="H7" s="18"/>
    </row>
    <row r="8" spans="2:8">
      <c r="B8" s="19" t="s">
        <v>10</v>
      </c>
      <c r="C8" s="16">
        <v>20.98</v>
      </c>
      <c r="D8" s="17">
        <v>2.2599999999999999E-2</v>
      </c>
      <c r="E8" s="14" t="s">
        <v>9</v>
      </c>
      <c r="F8" s="14">
        <v>1633</v>
      </c>
      <c r="G8" s="14">
        <v>48895781</v>
      </c>
      <c r="H8" s="18"/>
    </row>
    <row r="9" spans="2:8">
      <c r="B9" s="19" t="s">
        <v>11</v>
      </c>
      <c r="C9" s="16">
        <v>133.68</v>
      </c>
      <c r="D9" s="17">
        <v>7.2561</v>
      </c>
      <c r="E9" s="14" t="s">
        <v>12</v>
      </c>
      <c r="F9" s="14">
        <v>149</v>
      </c>
      <c r="G9" s="14">
        <v>135605948</v>
      </c>
      <c r="H9" s="18">
        <v>379702</v>
      </c>
    </row>
    <row r="10" spans="2:8">
      <c r="B10" s="19" t="s">
        <v>13</v>
      </c>
      <c r="C10" s="16">
        <v>70.069999999999993</v>
      </c>
      <c r="D10" s="17">
        <v>4.1300000000000003E-2</v>
      </c>
      <c r="E10" s="14" t="s">
        <v>9</v>
      </c>
      <c r="F10" s="14">
        <v>25</v>
      </c>
      <c r="G10" s="14">
        <v>946114</v>
      </c>
      <c r="H10" s="18"/>
    </row>
    <row r="11" spans="2:8">
      <c r="B11" s="19" t="s">
        <v>14</v>
      </c>
      <c r="C11" s="16">
        <v>3.79</v>
      </c>
      <c r="D11" s="17">
        <v>4.2721999999999998</v>
      </c>
      <c r="E11" s="14" t="s">
        <v>12</v>
      </c>
      <c r="F11" s="14">
        <v>920</v>
      </c>
      <c r="G11" s="14">
        <v>747706</v>
      </c>
      <c r="H11" s="18">
        <v>2294</v>
      </c>
    </row>
    <row r="12" spans="2:8">
      <c r="B12" s="19" t="s">
        <v>15</v>
      </c>
      <c r="C12" s="16">
        <v>4.95</v>
      </c>
      <c r="D12" s="17">
        <v>9.6593999999999998</v>
      </c>
      <c r="E12" s="14" t="s">
        <v>12</v>
      </c>
      <c r="F12" s="14">
        <v>3696</v>
      </c>
      <c r="G12" s="14">
        <v>2687821</v>
      </c>
      <c r="H12" s="18">
        <v>7670</v>
      </c>
    </row>
    <row r="13" spans="2:8">
      <c r="B13" s="20"/>
      <c r="C13" s="21"/>
      <c r="D13" s="21"/>
      <c r="E13" s="21"/>
      <c r="F13" s="21"/>
      <c r="G13" s="21"/>
      <c r="H13" s="11"/>
    </row>
    <row r="14" spans="2:8" ht="15.75" thickBot="1">
      <c r="B14" s="22" t="s">
        <v>16</v>
      </c>
      <c r="C14" s="23"/>
      <c r="D14" s="24">
        <v>0.6</v>
      </c>
      <c r="E14" s="25" t="s">
        <v>12</v>
      </c>
      <c r="F14" s="23"/>
      <c r="G14" s="23"/>
      <c r="H14" s="26">
        <v>176641</v>
      </c>
    </row>
    <row r="16" spans="2:8">
      <c r="B16" s="61" t="s">
        <v>17</v>
      </c>
      <c r="C16" s="1"/>
      <c r="D16" s="2"/>
      <c r="E16" s="1"/>
      <c r="F16" s="1"/>
      <c r="G16" s="1"/>
      <c r="H16" s="3"/>
    </row>
    <row r="17" spans="2:8" ht="15.75" thickBot="1">
      <c r="B17" s="4"/>
      <c r="C17" s="5"/>
      <c r="D17" s="2"/>
      <c r="E17" s="6"/>
      <c r="F17" s="6"/>
      <c r="G17" s="2"/>
      <c r="H17" s="3"/>
    </row>
    <row r="18" spans="2:8">
      <c r="B18" s="190" t="s">
        <v>1</v>
      </c>
      <c r="C18" s="191"/>
      <c r="D18" s="191"/>
      <c r="E18" s="191"/>
      <c r="F18" s="191"/>
      <c r="G18" s="191"/>
      <c r="H18" s="192"/>
    </row>
    <row r="19" spans="2:8">
      <c r="B19" s="7"/>
      <c r="C19" s="8"/>
      <c r="D19" s="9"/>
      <c r="E19" s="10"/>
      <c r="F19" s="10"/>
      <c r="G19" s="10"/>
      <c r="H19" s="11"/>
    </row>
    <row r="20" spans="2:8" ht="57.75">
      <c r="B20" s="12"/>
      <c r="C20" s="13" t="s">
        <v>2</v>
      </c>
      <c r="D20" s="13" t="s">
        <v>3</v>
      </c>
      <c r="E20" s="14" t="s">
        <v>4</v>
      </c>
      <c r="F20" s="13" t="s">
        <v>5</v>
      </c>
      <c r="G20" s="13" t="s">
        <v>6</v>
      </c>
      <c r="H20" s="15" t="s">
        <v>7</v>
      </c>
    </row>
    <row r="21" spans="2:8">
      <c r="B21" s="12" t="s">
        <v>8</v>
      </c>
      <c r="C21" s="16">
        <v>15.57</v>
      </c>
      <c r="D21" s="17">
        <v>2.1999999999999999E-2</v>
      </c>
      <c r="E21" s="14" t="s">
        <v>9</v>
      </c>
      <c r="F21" s="14">
        <v>8152</v>
      </c>
      <c r="G21" s="14">
        <v>64161933</v>
      </c>
      <c r="H21" s="18"/>
    </row>
    <row r="22" spans="2:8">
      <c r="B22" s="19" t="s">
        <v>10</v>
      </c>
      <c r="C22" s="16">
        <v>30.89</v>
      </c>
      <c r="D22" s="17">
        <v>1.4500000000000001E-2</v>
      </c>
      <c r="E22" s="14" t="s">
        <v>9</v>
      </c>
      <c r="F22" s="14">
        <v>888</v>
      </c>
      <c r="G22" s="14">
        <v>23558821</v>
      </c>
      <c r="H22" s="18"/>
    </row>
    <row r="23" spans="2:8">
      <c r="B23" s="19" t="s">
        <v>11</v>
      </c>
      <c r="C23" s="16">
        <v>557.9</v>
      </c>
      <c r="D23" s="17">
        <v>2.7711999999999999</v>
      </c>
      <c r="E23" s="14" t="s">
        <v>12</v>
      </c>
      <c r="F23" s="14">
        <v>79</v>
      </c>
      <c r="G23" s="14">
        <v>88694743</v>
      </c>
      <c r="H23" s="18">
        <v>311664</v>
      </c>
    </row>
    <row r="24" spans="2:8">
      <c r="B24" s="19" t="s">
        <v>13</v>
      </c>
      <c r="C24" s="16">
        <v>51.63</v>
      </c>
      <c r="D24" s="17">
        <v>2.63E-2</v>
      </c>
      <c r="E24" s="14" t="s">
        <v>9</v>
      </c>
      <c r="F24" s="14">
        <v>14</v>
      </c>
      <c r="G24" s="14">
        <v>581815</v>
      </c>
      <c r="H24" s="18"/>
    </row>
    <row r="25" spans="2:8">
      <c r="B25" s="19" t="s">
        <v>14</v>
      </c>
      <c r="C25" s="16">
        <v>4.3</v>
      </c>
      <c r="D25" s="17">
        <v>7.0224000000000002</v>
      </c>
      <c r="E25" s="14" t="s">
        <v>12</v>
      </c>
      <c r="F25" s="14">
        <v>41</v>
      </c>
      <c r="G25" s="14">
        <v>13331</v>
      </c>
      <c r="H25" s="18">
        <v>40</v>
      </c>
    </row>
    <row r="26" spans="2:8">
      <c r="B26" s="19" t="s">
        <v>15</v>
      </c>
      <c r="C26" s="16">
        <v>3.07</v>
      </c>
      <c r="D26" s="17">
        <v>8.7698</v>
      </c>
      <c r="E26" s="14" t="s">
        <v>12</v>
      </c>
      <c r="F26" s="14">
        <v>2000</v>
      </c>
      <c r="G26" s="14">
        <v>1787582</v>
      </c>
      <c r="H26" s="18">
        <v>4119</v>
      </c>
    </row>
    <row r="27" spans="2:8">
      <c r="B27" s="20"/>
      <c r="C27" s="21"/>
      <c r="D27" s="21"/>
      <c r="E27" s="21"/>
      <c r="F27" s="21"/>
      <c r="G27" s="21"/>
      <c r="H27" s="11"/>
    </row>
    <row r="28" spans="2:8" ht="15.75" thickBot="1">
      <c r="B28" s="22" t="s">
        <v>16</v>
      </c>
      <c r="C28" s="23"/>
      <c r="D28" s="24">
        <v>0.6</v>
      </c>
      <c r="E28" s="25" t="s">
        <v>12</v>
      </c>
      <c r="F28" s="23"/>
      <c r="G28" s="23"/>
      <c r="H28" s="26">
        <v>211082</v>
      </c>
    </row>
    <row r="30" spans="2:8">
      <c r="B30" s="61" t="s">
        <v>18</v>
      </c>
      <c r="C30" s="1"/>
      <c r="D30" s="2"/>
      <c r="E30" s="1"/>
      <c r="F30" s="1"/>
      <c r="G30" s="1"/>
      <c r="H30" s="3"/>
    </row>
    <row r="31" spans="2:8" ht="15.75" thickBot="1">
      <c r="B31" s="27"/>
      <c r="C31" s="5"/>
      <c r="D31" s="2"/>
      <c r="E31" s="6"/>
      <c r="F31" s="6"/>
      <c r="G31" s="2"/>
      <c r="H31" s="3"/>
    </row>
    <row r="32" spans="2:8">
      <c r="B32" s="193" t="s">
        <v>1</v>
      </c>
      <c r="C32" s="194"/>
      <c r="D32" s="194"/>
      <c r="E32" s="194"/>
      <c r="F32" s="194"/>
      <c r="G32" s="194"/>
      <c r="H32" s="195"/>
    </row>
    <row r="33" spans="2:8">
      <c r="B33" s="28"/>
      <c r="C33" s="8"/>
      <c r="D33" s="9"/>
      <c r="E33" s="10"/>
      <c r="F33" s="10"/>
      <c r="G33" s="10"/>
      <c r="H33" s="11"/>
    </row>
    <row r="34" spans="2:8" ht="57.75">
      <c r="B34" s="29"/>
      <c r="C34" s="13" t="s">
        <v>2</v>
      </c>
      <c r="D34" s="13" t="s">
        <v>3</v>
      </c>
      <c r="E34" s="14" t="s">
        <v>4</v>
      </c>
      <c r="F34" s="13" t="s">
        <v>5</v>
      </c>
      <c r="G34" s="13" t="s">
        <v>6</v>
      </c>
      <c r="H34" s="15" t="s">
        <v>7</v>
      </c>
    </row>
    <row r="35" spans="2:8">
      <c r="B35" s="29" t="s">
        <v>8</v>
      </c>
      <c r="C35" s="30" t="s">
        <v>19</v>
      </c>
      <c r="D35" s="30" t="s">
        <v>19</v>
      </c>
      <c r="E35" s="14" t="s">
        <v>9</v>
      </c>
      <c r="F35" s="14">
        <f>F7+F21</f>
        <v>25689</v>
      </c>
      <c r="G35" s="14">
        <f>G7+G21</f>
        <v>208287976</v>
      </c>
      <c r="H35" s="18"/>
    </row>
    <row r="36" spans="2:8">
      <c r="B36" s="19" t="s">
        <v>10</v>
      </c>
      <c r="C36" s="30" t="s">
        <v>19</v>
      </c>
      <c r="D36" s="30" t="s">
        <v>19</v>
      </c>
      <c r="E36" s="14" t="s">
        <v>9</v>
      </c>
      <c r="F36" s="14">
        <f t="shared" ref="F36:H40" si="0">F8+F22</f>
        <v>2521</v>
      </c>
      <c r="G36" s="14">
        <f t="shared" si="0"/>
        <v>72454602</v>
      </c>
      <c r="H36" s="18"/>
    </row>
    <row r="37" spans="2:8">
      <c r="B37" s="19" t="s">
        <v>11</v>
      </c>
      <c r="C37" s="30" t="s">
        <v>19</v>
      </c>
      <c r="D37" s="30" t="s">
        <v>19</v>
      </c>
      <c r="E37" s="14" t="s">
        <v>12</v>
      </c>
      <c r="F37" s="14">
        <f t="shared" si="0"/>
        <v>228</v>
      </c>
      <c r="G37" s="14">
        <f t="shared" si="0"/>
        <v>224300691</v>
      </c>
      <c r="H37" s="18">
        <f t="shared" si="0"/>
        <v>691366</v>
      </c>
    </row>
    <row r="38" spans="2:8">
      <c r="B38" s="19" t="s">
        <v>13</v>
      </c>
      <c r="C38" s="30" t="s">
        <v>19</v>
      </c>
      <c r="D38" s="30" t="s">
        <v>19</v>
      </c>
      <c r="E38" s="14" t="s">
        <v>9</v>
      </c>
      <c r="F38" s="14">
        <f t="shared" si="0"/>
        <v>39</v>
      </c>
      <c r="G38" s="14">
        <f t="shared" si="0"/>
        <v>1527929</v>
      </c>
      <c r="H38" s="18"/>
    </row>
    <row r="39" spans="2:8">
      <c r="B39" s="19" t="s">
        <v>14</v>
      </c>
      <c r="C39" s="30" t="s">
        <v>19</v>
      </c>
      <c r="D39" s="30" t="s">
        <v>19</v>
      </c>
      <c r="E39" s="14" t="s">
        <v>12</v>
      </c>
      <c r="F39" s="14">
        <f t="shared" si="0"/>
        <v>961</v>
      </c>
      <c r="G39" s="14">
        <f t="shared" si="0"/>
        <v>761037</v>
      </c>
      <c r="H39" s="18">
        <f t="shared" ref="H39" si="1">H11+H25</f>
        <v>2334</v>
      </c>
    </row>
    <row r="40" spans="2:8">
      <c r="B40" s="19" t="s">
        <v>15</v>
      </c>
      <c r="C40" s="30" t="s">
        <v>19</v>
      </c>
      <c r="D40" s="30" t="s">
        <v>19</v>
      </c>
      <c r="E40" s="14" t="s">
        <v>12</v>
      </c>
      <c r="F40" s="14">
        <f t="shared" si="0"/>
        <v>5696</v>
      </c>
      <c r="G40" s="14">
        <f t="shared" si="0"/>
        <v>4475403</v>
      </c>
      <c r="H40" s="18">
        <f t="shared" ref="H40" si="2">H12+H26</f>
        <v>11789</v>
      </c>
    </row>
    <row r="41" spans="2:8">
      <c r="B41" s="20"/>
      <c r="C41" s="21"/>
      <c r="D41" s="21"/>
      <c r="E41" s="21"/>
      <c r="F41" s="21"/>
      <c r="G41" s="21"/>
      <c r="H41" s="11"/>
    </row>
    <row r="42" spans="2:8" ht="15.75" thickBot="1">
      <c r="B42" s="22" t="s">
        <v>16</v>
      </c>
      <c r="C42" s="23"/>
      <c r="D42" s="24">
        <v>0.6</v>
      </c>
      <c r="E42" s="25" t="s">
        <v>12</v>
      </c>
      <c r="F42" s="23"/>
      <c r="G42" s="23"/>
      <c r="H42" s="26">
        <v>387723</v>
      </c>
    </row>
  </sheetData>
  <mergeCells count="3">
    <mergeCell ref="B4:H4"/>
    <mergeCell ref="B18:H18"/>
    <mergeCell ref="B32:H32"/>
  </mergeCells>
  <pageMargins left="0.7" right="0.7" top="0.75" bottom="0.75" header="0.3" footer="0.3"/>
  <pageSetup scale="89" orientation="portrait" r:id="rId1"/>
</worksheet>
</file>

<file path=xl/worksheets/sheet20.xml><?xml version="1.0" encoding="utf-8"?>
<worksheet xmlns="http://schemas.openxmlformats.org/spreadsheetml/2006/main" xmlns:r="http://schemas.openxmlformats.org/officeDocument/2006/relationships">
  <dimension ref="B3:O49"/>
  <sheetViews>
    <sheetView view="pageBreakPreview" zoomScale="60" zoomScaleNormal="100" workbookViewId="0">
      <selection sqref="A1:O49"/>
    </sheetView>
  </sheetViews>
  <sheetFormatPr defaultRowHeight="15"/>
  <cols>
    <col min="1" max="1" width="2.7109375" customWidth="1"/>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s>
  <sheetData>
    <row r="3" spans="2:15" ht="18">
      <c r="B3" s="233" t="s">
        <v>138</v>
      </c>
      <c r="C3" s="233"/>
      <c r="D3" s="233"/>
      <c r="E3" s="233"/>
      <c r="F3" s="233"/>
      <c r="G3" s="233"/>
      <c r="H3" s="233"/>
      <c r="I3" s="233"/>
      <c r="J3" s="233"/>
      <c r="K3" s="233"/>
      <c r="L3" s="233"/>
      <c r="M3" s="233"/>
      <c r="N3" s="233"/>
      <c r="O3" s="233"/>
    </row>
    <row r="4" spans="2:15" ht="15.75" thickBot="1">
      <c r="B4" s="149" t="s">
        <v>139</v>
      </c>
    </row>
    <row r="5" spans="2:15" ht="15.75" thickBot="1">
      <c r="B5" s="108" t="s">
        <v>125</v>
      </c>
      <c r="C5" s="227" t="s">
        <v>126</v>
      </c>
      <c r="D5" s="109"/>
      <c r="E5" s="229" t="s">
        <v>127</v>
      </c>
      <c r="F5" s="230"/>
      <c r="G5" s="229" t="s">
        <v>128</v>
      </c>
      <c r="H5" s="232"/>
      <c r="I5" s="230"/>
      <c r="J5" s="227" t="s">
        <v>129</v>
      </c>
      <c r="K5" s="150"/>
      <c r="L5" s="231"/>
      <c r="M5" s="231"/>
      <c r="N5" s="231"/>
      <c r="O5" s="231"/>
    </row>
    <row r="6" spans="2:15" ht="39" thickBot="1">
      <c r="B6" s="111"/>
      <c r="C6" s="228"/>
      <c r="D6" s="162" t="s">
        <v>133</v>
      </c>
      <c r="E6" s="113" t="s">
        <v>9</v>
      </c>
      <c r="F6" s="114" t="s">
        <v>12</v>
      </c>
      <c r="G6" s="162" t="s">
        <v>134</v>
      </c>
      <c r="H6" s="229" t="s">
        <v>135</v>
      </c>
      <c r="I6" s="230"/>
      <c r="J6" s="228"/>
      <c r="K6" s="151"/>
      <c r="L6" s="231"/>
      <c r="M6" s="231"/>
      <c r="N6" s="231"/>
      <c r="O6" s="231"/>
    </row>
    <row r="7" spans="2:15">
      <c r="B7" s="116"/>
      <c r="C7" s="116"/>
      <c r="D7" s="116"/>
      <c r="E7" s="116"/>
      <c r="F7" s="117"/>
      <c r="G7" s="116"/>
      <c r="H7" s="118" t="s">
        <v>9</v>
      </c>
      <c r="I7" s="118" t="s">
        <v>12</v>
      </c>
      <c r="J7" s="119"/>
      <c r="K7" s="152"/>
      <c r="L7" s="155"/>
      <c r="M7" s="155"/>
      <c r="N7" s="155"/>
      <c r="O7" s="155"/>
    </row>
    <row r="8" spans="2:15">
      <c r="B8" s="121"/>
      <c r="C8" s="121"/>
      <c r="D8" s="121"/>
      <c r="E8" s="121"/>
      <c r="F8" s="122"/>
      <c r="G8" s="121"/>
      <c r="H8" s="121"/>
      <c r="I8" s="121"/>
      <c r="J8" s="121"/>
      <c r="K8" s="153"/>
      <c r="L8" s="155"/>
      <c r="M8" s="155"/>
      <c r="N8" s="155"/>
      <c r="O8" s="155"/>
    </row>
    <row r="9" spans="2:15">
      <c r="B9" s="124" t="s">
        <v>8</v>
      </c>
      <c r="C9" s="124" t="s">
        <v>136</v>
      </c>
      <c r="D9" s="125">
        <f>'Existing Rates &amp; Forecast Vols'!F7</f>
        <v>17537</v>
      </c>
      <c r="E9" s="126">
        <f>'Existing Rates &amp; Forecast Vols'!G7</f>
        <v>144126043</v>
      </c>
      <c r="F9" s="127"/>
      <c r="G9" s="128">
        <f>'2015 Area Rate Design'!P6</f>
        <v>18.973730153334682</v>
      </c>
      <c r="H9" s="129">
        <f>'2015 Area Rate Design'!Q6</f>
        <v>1.9704066020430271E-2</v>
      </c>
      <c r="I9" s="129"/>
      <c r="J9" s="130">
        <f t="shared" ref="J9:J14" si="0">G9*D9*12+H9*E9+I9*F9</f>
        <v>6832776.7349237353</v>
      </c>
      <c r="K9" s="153"/>
      <c r="L9" s="156"/>
      <c r="M9" s="156"/>
      <c r="N9" s="157"/>
      <c r="O9" s="157"/>
    </row>
    <row r="10" spans="2:15">
      <c r="B10" s="124" t="s">
        <v>10</v>
      </c>
      <c r="C10" s="124" t="s">
        <v>136</v>
      </c>
      <c r="D10" s="125">
        <f>'Existing Rates &amp; Forecast Vols'!F8</f>
        <v>1633</v>
      </c>
      <c r="E10" s="126">
        <f>'Existing Rates &amp; Forecast Vols'!G8</f>
        <v>48895781</v>
      </c>
      <c r="F10" s="127"/>
      <c r="G10" s="128">
        <f>'2015 Area Rate Design'!P10</f>
        <v>25.604979691027495</v>
      </c>
      <c r="H10" s="129">
        <f>'2015 Area Rate Design'!Q10</f>
        <v>2.2856019816180604E-2</v>
      </c>
      <c r="I10" s="129"/>
      <c r="J10" s="130">
        <f t="shared" si="0"/>
        <v>1619318.1214890019</v>
      </c>
      <c r="K10" s="153"/>
      <c r="L10" s="156"/>
      <c r="M10" s="156"/>
      <c r="N10" s="157"/>
      <c r="O10" s="157"/>
    </row>
    <row r="11" spans="2:15">
      <c r="B11" s="124" t="s">
        <v>11</v>
      </c>
      <c r="C11" s="124" t="s">
        <v>136</v>
      </c>
      <c r="D11" s="125">
        <f>'Existing Rates &amp; Forecast Vols'!F9</f>
        <v>149</v>
      </c>
      <c r="E11" s="126">
        <f>'Existing Rates &amp; Forecast Vols'!G9</f>
        <v>135605948</v>
      </c>
      <c r="F11" s="127">
        <f>'Existing Rates &amp; Forecast Vols'!H9</f>
        <v>379702</v>
      </c>
      <c r="G11" s="128">
        <f>'2015 Area Rate Design'!P14</f>
        <v>145.84000000000003</v>
      </c>
      <c r="H11" s="129"/>
      <c r="I11" s="129">
        <f>'2015 Area Rate Design'!Q14</f>
        <v>6.4249508364599928</v>
      </c>
      <c r="J11" s="130">
        <f t="shared" si="0"/>
        <v>2700328.6025055321</v>
      </c>
      <c r="K11" s="153"/>
      <c r="L11" s="156"/>
      <c r="M11" s="156"/>
      <c r="N11" s="157"/>
      <c r="O11" s="157"/>
    </row>
    <row r="12" spans="2:15">
      <c r="B12" s="124" t="s">
        <v>13</v>
      </c>
      <c r="C12" s="124" t="s">
        <v>136</v>
      </c>
      <c r="D12" s="125">
        <f>'Existing Rates &amp; Forecast Vols'!F10</f>
        <v>25</v>
      </c>
      <c r="E12" s="126">
        <f>'Existing Rates &amp; Forecast Vols'!G10</f>
        <v>946114</v>
      </c>
      <c r="F12" s="127"/>
      <c r="G12" s="128">
        <f>'2015 Area Rate Design'!P18</f>
        <v>41.262499999999996</v>
      </c>
      <c r="H12" s="129">
        <f>'2015 Area Rate Design'!Q18</f>
        <v>2.4403927233707195E-2</v>
      </c>
      <c r="I12" s="129"/>
      <c r="J12" s="130">
        <f t="shared" si="0"/>
        <v>35467.647210791649</v>
      </c>
      <c r="K12" s="153"/>
      <c r="L12" s="156"/>
      <c r="M12" s="156"/>
      <c r="N12" s="157"/>
      <c r="O12" s="157"/>
    </row>
    <row r="13" spans="2:15">
      <c r="B13" s="124" t="s">
        <v>14</v>
      </c>
      <c r="C13" s="124" t="s">
        <v>137</v>
      </c>
      <c r="D13" s="125">
        <f>'Existing Rates &amp; Forecast Vols'!F11</f>
        <v>920</v>
      </c>
      <c r="E13" s="126">
        <f>'Existing Rates &amp; Forecast Vols'!G11</f>
        <v>747706</v>
      </c>
      <c r="F13" s="127">
        <f>'Existing Rates &amp; Forecast Vols'!H11</f>
        <v>2294</v>
      </c>
      <c r="G13" s="128">
        <f>'2015 Area Rate Design'!P22</f>
        <v>5.05</v>
      </c>
      <c r="H13" s="129"/>
      <c r="I13" s="129">
        <f>'2015 Area Rate Design'!Q22</f>
        <v>4.8395803770351362</v>
      </c>
      <c r="J13" s="130">
        <f t="shared" si="0"/>
        <v>66853.997384918606</v>
      </c>
      <c r="K13" s="153"/>
      <c r="L13" s="156"/>
      <c r="M13" s="156"/>
      <c r="N13" s="157"/>
      <c r="O13" s="157"/>
    </row>
    <row r="14" spans="2:15">
      <c r="B14" s="124" t="s">
        <v>15</v>
      </c>
      <c r="C14" s="124" t="s">
        <v>137</v>
      </c>
      <c r="D14" s="125">
        <f>'Existing Rates &amp; Forecast Vols'!F12</f>
        <v>3696</v>
      </c>
      <c r="E14" s="126">
        <f>'Existing Rates &amp; Forecast Vols'!G12</f>
        <v>2687821</v>
      </c>
      <c r="F14" s="127">
        <f>'Existing Rates &amp; Forecast Vols'!H12</f>
        <v>7670</v>
      </c>
      <c r="G14" s="128">
        <f>'2015 Area Rate Design'!P26</f>
        <v>4.9294646410070184</v>
      </c>
      <c r="H14" s="129"/>
      <c r="I14" s="129">
        <f>'2015 Area Rate Design'!Q26</f>
        <v>10.24671480684437</v>
      </c>
      <c r="J14" s="130">
        <f t="shared" si="0"/>
        <v>297223.91832643963</v>
      </c>
      <c r="K14" s="153"/>
      <c r="L14" s="156"/>
      <c r="M14" s="156"/>
      <c r="N14" s="157"/>
      <c r="O14" s="157"/>
    </row>
    <row r="15" spans="2:15" ht="15.75" thickBot="1">
      <c r="B15" s="134"/>
      <c r="C15" s="134"/>
      <c r="D15" s="135"/>
      <c r="E15" s="126"/>
      <c r="F15" s="127"/>
      <c r="G15" s="128"/>
      <c r="H15" s="129"/>
      <c r="I15" s="129"/>
      <c r="J15" s="136"/>
      <c r="K15" s="153"/>
      <c r="L15" s="156"/>
      <c r="M15" s="156"/>
      <c r="N15" s="157"/>
      <c r="O15" s="157"/>
    </row>
    <row r="16" spans="2:15" ht="15.75" thickTop="1">
      <c r="B16" s="121"/>
      <c r="C16" s="121"/>
      <c r="D16" s="121"/>
      <c r="E16" s="134"/>
      <c r="F16" s="138"/>
      <c r="G16" s="134"/>
      <c r="H16" s="134"/>
      <c r="I16" s="134"/>
      <c r="J16" s="139"/>
      <c r="K16" s="153"/>
      <c r="L16" s="155"/>
      <c r="M16" s="155"/>
      <c r="N16" s="155"/>
      <c r="O16" s="155"/>
    </row>
    <row r="17" spans="2:15" ht="15.75" thickBot="1">
      <c r="B17" s="141" t="s">
        <v>27</v>
      </c>
      <c r="C17" s="142"/>
      <c r="D17" s="143">
        <f>SUM(D9:D14)</f>
        <v>23960</v>
      </c>
      <c r="E17" s="143">
        <f>SUM(E9:E14)</f>
        <v>333009413</v>
      </c>
      <c r="F17" s="143">
        <f>SUM(F9:F14)</f>
        <v>389666</v>
      </c>
      <c r="G17" s="144"/>
      <c r="H17" s="144"/>
      <c r="I17" s="144"/>
      <c r="J17" s="145">
        <f>SUM(J9:J14)</f>
        <v>11551969.02184042</v>
      </c>
      <c r="K17" s="154"/>
      <c r="L17" s="158"/>
      <c r="M17" s="158"/>
      <c r="N17" s="158"/>
      <c r="O17" s="159"/>
    </row>
    <row r="20" spans="2:15" ht="15.75" thickBot="1">
      <c r="B20" s="149" t="s">
        <v>17</v>
      </c>
    </row>
    <row r="21" spans="2:15" ht="15.75" thickBot="1">
      <c r="B21" s="108" t="s">
        <v>125</v>
      </c>
      <c r="C21" s="227" t="s">
        <v>126</v>
      </c>
      <c r="D21" s="109"/>
      <c r="E21" s="229" t="s">
        <v>127</v>
      </c>
      <c r="F21" s="230"/>
      <c r="G21" s="229" t="s">
        <v>128</v>
      </c>
      <c r="H21" s="232"/>
      <c r="I21" s="230"/>
      <c r="J21" s="227" t="s">
        <v>129</v>
      </c>
      <c r="K21" s="150"/>
      <c r="L21" s="231"/>
      <c r="M21" s="231"/>
      <c r="N21" s="231"/>
      <c r="O21" s="231"/>
    </row>
    <row r="22" spans="2:15" ht="39" thickBot="1">
      <c r="B22" s="111"/>
      <c r="C22" s="228"/>
      <c r="D22" s="162" t="s">
        <v>133</v>
      </c>
      <c r="E22" s="113" t="s">
        <v>9</v>
      </c>
      <c r="F22" s="114" t="s">
        <v>12</v>
      </c>
      <c r="G22" s="162" t="s">
        <v>134</v>
      </c>
      <c r="H22" s="229" t="s">
        <v>135</v>
      </c>
      <c r="I22" s="230"/>
      <c r="J22" s="228"/>
      <c r="K22" s="151"/>
      <c r="L22" s="231"/>
      <c r="M22" s="231"/>
      <c r="N22" s="231"/>
      <c r="O22" s="231"/>
    </row>
    <row r="23" spans="2:15">
      <c r="B23" s="116"/>
      <c r="C23" s="116"/>
      <c r="D23" s="116"/>
      <c r="E23" s="116"/>
      <c r="F23" s="117"/>
      <c r="G23" s="116"/>
      <c r="H23" s="118" t="s">
        <v>9</v>
      </c>
      <c r="I23" s="118" t="s">
        <v>12</v>
      </c>
      <c r="J23" s="119"/>
      <c r="K23" s="152"/>
      <c r="L23" s="155"/>
      <c r="M23" s="155"/>
      <c r="N23" s="155"/>
      <c r="O23" s="155"/>
    </row>
    <row r="24" spans="2:15">
      <c r="B24" s="121"/>
      <c r="C24" s="121"/>
      <c r="D24" s="121"/>
      <c r="E24" s="121"/>
      <c r="F24" s="122"/>
      <c r="G24" s="121"/>
      <c r="H24" s="121"/>
      <c r="I24" s="121"/>
      <c r="J24" s="121"/>
      <c r="K24" s="153"/>
      <c r="L24" s="155"/>
      <c r="M24" s="155"/>
      <c r="N24" s="155"/>
      <c r="O24" s="155"/>
    </row>
    <row r="25" spans="2:15">
      <c r="B25" s="124" t="s">
        <v>8</v>
      </c>
      <c r="C25" s="124" t="s">
        <v>136</v>
      </c>
      <c r="D25" s="125">
        <f>'Existing Rates &amp; Forecast Vols'!F21</f>
        <v>8152</v>
      </c>
      <c r="E25" s="126">
        <f>'Existing Rates &amp; Forecast Vols'!G21</f>
        <v>64161933</v>
      </c>
      <c r="F25" s="127"/>
      <c r="G25" s="128">
        <f>'2015 Area Rate Design'!P7</f>
        <v>18.323730153334676</v>
      </c>
      <c r="H25" s="129">
        <f>'2015 Area Rate Design'!Q7</f>
        <v>2.0760720284977285E-2</v>
      </c>
      <c r="I25" s="129"/>
      <c r="J25" s="130">
        <f t="shared" ref="J25:J30" si="1">G25*D25*12+H25*E25+I25*F25</f>
        <v>3124548.5224762647</v>
      </c>
      <c r="K25" s="153"/>
      <c r="L25" s="156"/>
      <c r="M25" s="156"/>
      <c r="N25" s="157"/>
      <c r="O25" s="157"/>
    </row>
    <row r="26" spans="2:15">
      <c r="B26" s="124" t="s">
        <v>10</v>
      </c>
      <c r="C26" s="124" t="s">
        <v>136</v>
      </c>
      <c r="D26" s="125">
        <f>'Existing Rates &amp; Forecast Vols'!F22</f>
        <v>888</v>
      </c>
      <c r="E26" s="126">
        <f>'Existing Rates &amp; Forecast Vols'!G22</f>
        <v>23558821</v>
      </c>
      <c r="F26" s="127"/>
      <c r="G26" s="128">
        <f>'2015 Area Rate Design'!P11</f>
        <v>28.082479691027498</v>
      </c>
      <c r="H26" s="129">
        <f>'2015 Area Rate Design'!Q11</f>
        <v>2.1542545568108411E-2</v>
      </c>
      <c r="I26" s="129"/>
      <c r="J26" s="130">
        <f t="shared" si="1"/>
        <v>806763.87851099833</v>
      </c>
      <c r="K26" s="153"/>
      <c r="L26" s="156"/>
      <c r="M26" s="156"/>
      <c r="N26" s="157"/>
      <c r="O26" s="157"/>
    </row>
    <row r="27" spans="2:15">
      <c r="B27" s="124" t="s">
        <v>11</v>
      </c>
      <c r="C27" s="124" t="s">
        <v>136</v>
      </c>
      <c r="D27" s="125">
        <f>'Existing Rates &amp; Forecast Vols'!F23</f>
        <v>79</v>
      </c>
      <c r="E27" s="126">
        <f>'Existing Rates &amp; Forecast Vols'!G23</f>
        <v>88694743</v>
      </c>
      <c r="F27" s="127">
        <f>'Existing Rates &amp; Forecast Vols'!H23</f>
        <v>311664</v>
      </c>
      <c r="G27" s="128">
        <f>'2015 Area Rate Design'!P15</f>
        <v>145.83999999999995</v>
      </c>
      <c r="H27" s="129"/>
      <c r="I27" s="129">
        <f>'2015 Area Rate Design'!Q15</f>
        <v>6.4249508364599928</v>
      </c>
      <c r="J27" s="130">
        <f t="shared" si="1"/>
        <v>2140682.1974944673</v>
      </c>
      <c r="K27" s="153"/>
      <c r="L27" s="156"/>
      <c r="M27" s="156"/>
      <c r="N27" s="157"/>
      <c r="O27" s="157"/>
    </row>
    <row r="28" spans="2:15">
      <c r="B28" s="124" t="s">
        <v>13</v>
      </c>
      <c r="C28" s="124" t="s">
        <v>136</v>
      </c>
      <c r="D28" s="125">
        <f>'Existing Rates &amp; Forecast Vols'!F24</f>
        <v>14</v>
      </c>
      <c r="E28" s="126">
        <f>'Existing Rates &amp; Forecast Vols'!G24</f>
        <v>581815</v>
      </c>
      <c r="F28" s="127"/>
      <c r="G28" s="128">
        <f>'2015 Area Rate Design'!P19</f>
        <v>36.652500000000003</v>
      </c>
      <c r="H28" s="129">
        <f>'2015 Area Rate Design'!Q19</f>
        <v>2.1497030480837315E-2</v>
      </c>
      <c r="I28" s="129"/>
      <c r="J28" s="130">
        <f t="shared" si="1"/>
        <v>18664.914789208364</v>
      </c>
      <c r="K28" s="153"/>
      <c r="L28" s="156"/>
      <c r="M28" s="156"/>
      <c r="N28" s="157"/>
      <c r="O28" s="157"/>
    </row>
    <row r="29" spans="2:15">
      <c r="B29" s="124" t="s">
        <v>14</v>
      </c>
      <c r="C29" s="124" t="s">
        <v>137</v>
      </c>
      <c r="D29" s="125">
        <f>'Existing Rates &amp; Forecast Vols'!F25</f>
        <v>41</v>
      </c>
      <c r="E29" s="126">
        <f>'Existing Rates &amp; Forecast Vols'!G25</f>
        <v>13331</v>
      </c>
      <c r="F29" s="127">
        <f>'Existing Rates &amp; Forecast Vols'!H25</f>
        <v>40</v>
      </c>
      <c r="G29" s="128">
        <f>'2015 Area Rate Design'!P23</f>
        <v>5.05</v>
      </c>
      <c r="H29" s="129"/>
      <c r="I29" s="129">
        <f>'2015 Area Rate Design'!Q23</f>
        <v>4.8395803770351451</v>
      </c>
      <c r="J29" s="130">
        <f t="shared" si="1"/>
        <v>2678.1832150814057</v>
      </c>
      <c r="K29" s="153"/>
      <c r="L29" s="156"/>
      <c r="M29" s="156"/>
      <c r="N29" s="157"/>
      <c r="O29" s="157"/>
    </row>
    <row r="30" spans="2:15">
      <c r="B30" s="124" t="s">
        <v>15</v>
      </c>
      <c r="C30" s="124" t="s">
        <v>137</v>
      </c>
      <c r="D30" s="125">
        <f>'Existing Rates &amp; Forecast Vols'!F26</f>
        <v>2000</v>
      </c>
      <c r="E30" s="126">
        <f>'Existing Rates &amp; Forecast Vols'!G26</f>
        <v>1787582</v>
      </c>
      <c r="F30" s="127">
        <f>'Existing Rates &amp; Forecast Vols'!H26</f>
        <v>4119</v>
      </c>
      <c r="G30" s="128">
        <f>'2015 Area Rate Design'!P27</f>
        <v>4.5049526410070184</v>
      </c>
      <c r="H30" s="129"/>
      <c r="I30" s="129">
        <f>'2015 Area Rate Design'!Q27</f>
        <v>10.24671480684437</v>
      </c>
      <c r="J30" s="130">
        <f t="shared" si="1"/>
        <v>150325.0816735604</v>
      </c>
      <c r="K30" s="153"/>
      <c r="L30" s="156"/>
      <c r="M30" s="156"/>
      <c r="N30" s="157"/>
      <c r="O30" s="157"/>
    </row>
    <row r="31" spans="2:15" ht="15.75" thickBot="1">
      <c r="B31" s="134"/>
      <c r="C31" s="134"/>
      <c r="D31" s="135"/>
      <c r="E31" s="126"/>
      <c r="F31" s="127"/>
      <c r="G31" s="128"/>
      <c r="H31" s="129"/>
      <c r="I31" s="129"/>
      <c r="J31" s="136"/>
      <c r="K31" s="153"/>
      <c r="L31" s="156"/>
      <c r="M31" s="156"/>
      <c r="N31" s="157"/>
      <c r="O31" s="157"/>
    </row>
    <row r="32" spans="2:15" ht="15.75" thickTop="1">
      <c r="B32" s="121"/>
      <c r="C32" s="121"/>
      <c r="D32" s="121"/>
      <c r="E32" s="134"/>
      <c r="F32" s="138"/>
      <c r="G32" s="134"/>
      <c r="H32" s="134"/>
      <c r="I32" s="134"/>
      <c r="J32" s="139"/>
      <c r="K32" s="153"/>
      <c r="L32" s="155"/>
      <c r="M32" s="155"/>
      <c r="N32" s="155"/>
      <c r="O32" s="155"/>
    </row>
    <row r="33" spans="2:15" ht="15.75" thickBot="1">
      <c r="B33" s="141" t="s">
        <v>27</v>
      </c>
      <c r="C33" s="142"/>
      <c r="D33" s="143">
        <f>SUM(D25:D30)</f>
        <v>11174</v>
      </c>
      <c r="E33" s="143">
        <f>SUM(E25:E30)</f>
        <v>178798225</v>
      </c>
      <c r="F33" s="143">
        <f>SUM(F25:F30)</f>
        <v>315823</v>
      </c>
      <c r="G33" s="144"/>
      <c r="H33" s="144"/>
      <c r="I33" s="144"/>
      <c r="J33" s="145">
        <f>SUM(J25:J30)</f>
        <v>6243662.7781595802</v>
      </c>
      <c r="K33" s="154"/>
      <c r="L33" s="158"/>
      <c r="M33" s="158"/>
      <c r="N33" s="158"/>
      <c r="O33" s="159"/>
    </row>
    <row r="36" spans="2:15" ht="15.75" thickBot="1">
      <c r="B36" s="149" t="s">
        <v>177</v>
      </c>
    </row>
    <row r="37" spans="2:15" ht="15.75" thickBot="1">
      <c r="B37" s="108" t="s">
        <v>125</v>
      </c>
      <c r="C37" s="227" t="s">
        <v>126</v>
      </c>
      <c r="D37" s="109"/>
      <c r="E37" s="229" t="s">
        <v>127</v>
      </c>
      <c r="F37" s="230"/>
      <c r="G37" s="229" t="s">
        <v>128</v>
      </c>
      <c r="H37" s="232"/>
      <c r="I37" s="230"/>
      <c r="J37" s="227" t="s">
        <v>129</v>
      </c>
      <c r="K37" s="110"/>
      <c r="L37" s="227" t="s">
        <v>130</v>
      </c>
      <c r="M37" s="227" t="s">
        <v>131</v>
      </c>
      <c r="N37" s="227" t="s">
        <v>27</v>
      </c>
      <c r="O37" s="227" t="s">
        <v>132</v>
      </c>
    </row>
    <row r="38" spans="2:15" ht="39" thickBot="1">
      <c r="B38" s="111"/>
      <c r="C38" s="228"/>
      <c r="D38" s="162" t="s">
        <v>133</v>
      </c>
      <c r="E38" s="113" t="s">
        <v>9</v>
      </c>
      <c r="F38" s="114" t="s">
        <v>12</v>
      </c>
      <c r="G38" s="162" t="s">
        <v>134</v>
      </c>
      <c r="H38" s="229" t="s">
        <v>135</v>
      </c>
      <c r="I38" s="230"/>
      <c r="J38" s="228"/>
      <c r="K38" s="115"/>
      <c r="L38" s="228"/>
      <c r="M38" s="228"/>
      <c r="N38" s="228"/>
      <c r="O38" s="228"/>
    </row>
    <row r="39" spans="2:15">
      <c r="B39" s="116"/>
      <c r="C39" s="116"/>
      <c r="D39" s="116"/>
      <c r="E39" s="116"/>
      <c r="F39" s="117"/>
      <c r="G39" s="116"/>
      <c r="H39" s="118" t="s">
        <v>9</v>
      </c>
      <c r="I39" s="118" t="s">
        <v>12</v>
      </c>
      <c r="J39" s="119"/>
      <c r="K39" s="120"/>
      <c r="L39" s="119"/>
      <c r="M39" s="119"/>
      <c r="N39" s="119"/>
      <c r="O39" s="117"/>
    </row>
    <row r="40" spans="2:15">
      <c r="B40" s="121"/>
      <c r="C40" s="121"/>
      <c r="D40" s="121"/>
      <c r="E40" s="121"/>
      <c r="F40" s="122"/>
      <c r="G40" s="121"/>
      <c r="H40" s="121"/>
      <c r="I40" s="121"/>
      <c r="J40" s="121"/>
      <c r="K40" s="123"/>
      <c r="L40" s="121"/>
      <c r="M40" s="121"/>
      <c r="N40" s="121"/>
      <c r="O40" s="122"/>
    </row>
    <row r="41" spans="2:15">
      <c r="B41" s="124" t="s">
        <v>8</v>
      </c>
      <c r="C41" s="124" t="s">
        <v>136</v>
      </c>
      <c r="D41" s="125">
        <f>D9+D25</f>
        <v>25689</v>
      </c>
      <c r="E41" s="125">
        <f>E9+E25</f>
        <v>208287976</v>
      </c>
      <c r="F41" s="125"/>
      <c r="G41" s="128"/>
      <c r="H41" s="129"/>
      <c r="I41" s="129"/>
      <c r="J41" s="125">
        <f>J9+J25</f>
        <v>9957325.2574000005</v>
      </c>
      <c r="K41" s="123"/>
      <c r="L41" s="125">
        <f>'2015 R|C Ratio Adj.'!H5</f>
        <v>9957325.2574000005</v>
      </c>
      <c r="M41" s="131"/>
      <c r="N41" s="132">
        <f t="shared" ref="N41:N46" si="2">SUM(L41:M41)</f>
        <v>9957325.2574000005</v>
      </c>
      <c r="O41" s="133">
        <f t="shared" ref="O41:O46" si="3">N41-J41</f>
        <v>0</v>
      </c>
    </row>
    <row r="42" spans="2:15">
      <c r="B42" s="124" t="s">
        <v>10</v>
      </c>
      <c r="C42" s="124" t="s">
        <v>136</v>
      </c>
      <c r="D42" s="125">
        <f t="shared" ref="D42:F46" si="4">D10+D26</f>
        <v>2521</v>
      </c>
      <c r="E42" s="125">
        <f t="shared" si="4"/>
        <v>72454602</v>
      </c>
      <c r="F42" s="125"/>
      <c r="G42" s="128"/>
      <c r="H42" s="129"/>
      <c r="I42" s="129"/>
      <c r="J42" s="125">
        <f t="shared" ref="J42:J46" si="5">J10+J26</f>
        <v>2426082</v>
      </c>
      <c r="K42" s="123"/>
      <c r="L42" s="125">
        <f>'2015 R|C Ratio Adj.'!H6</f>
        <v>2426082</v>
      </c>
      <c r="M42" s="131"/>
      <c r="N42" s="132">
        <f t="shared" si="2"/>
        <v>2426082</v>
      </c>
      <c r="O42" s="133">
        <f t="shared" si="3"/>
        <v>0</v>
      </c>
    </row>
    <row r="43" spans="2:15">
      <c r="B43" s="124" t="s">
        <v>11</v>
      </c>
      <c r="C43" s="124" t="s">
        <v>136</v>
      </c>
      <c r="D43" s="125">
        <f t="shared" si="4"/>
        <v>228</v>
      </c>
      <c r="E43" s="125">
        <f t="shared" si="4"/>
        <v>224300691</v>
      </c>
      <c r="F43" s="125">
        <f t="shared" si="4"/>
        <v>691366</v>
      </c>
      <c r="G43" s="128"/>
      <c r="H43" s="129"/>
      <c r="I43" s="129"/>
      <c r="J43" s="125">
        <f t="shared" si="5"/>
        <v>4841010.7999999989</v>
      </c>
      <c r="K43" s="123"/>
      <c r="L43" s="125">
        <f>'2015 R|C Ratio Adj.'!H7</f>
        <v>4608377</v>
      </c>
      <c r="M43" s="131">
        <f>'2014 Rate Design'!D14</f>
        <v>232633.8</v>
      </c>
      <c r="N43" s="132">
        <f t="shared" si="2"/>
        <v>4841010.8</v>
      </c>
      <c r="O43" s="133">
        <f t="shared" si="3"/>
        <v>0</v>
      </c>
    </row>
    <row r="44" spans="2:15">
      <c r="B44" s="124" t="s">
        <v>13</v>
      </c>
      <c r="C44" s="124" t="s">
        <v>136</v>
      </c>
      <c r="D44" s="125">
        <f t="shared" si="4"/>
        <v>39</v>
      </c>
      <c r="E44" s="125">
        <f t="shared" si="4"/>
        <v>1527929</v>
      </c>
      <c r="F44" s="125"/>
      <c r="G44" s="128"/>
      <c r="H44" s="129"/>
      <c r="I44" s="129"/>
      <c r="J44" s="125">
        <f t="shared" si="5"/>
        <v>54132.562000000013</v>
      </c>
      <c r="K44" s="123"/>
      <c r="L44" s="125">
        <f>'2015 R|C Ratio Adj.'!H8</f>
        <v>54132.562000000005</v>
      </c>
      <c r="M44" s="131"/>
      <c r="N44" s="132">
        <f t="shared" si="2"/>
        <v>54132.562000000005</v>
      </c>
      <c r="O44" s="133">
        <f t="shared" si="3"/>
        <v>0</v>
      </c>
    </row>
    <row r="45" spans="2:15">
      <c r="B45" s="124" t="s">
        <v>14</v>
      </c>
      <c r="C45" s="124" t="s">
        <v>137</v>
      </c>
      <c r="D45" s="125">
        <f t="shared" si="4"/>
        <v>961</v>
      </c>
      <c r="E45" s="125">
        <f t="shared" si="4"/>
        <v>761037</v>
      </c>
      <c r="F45" s="125">
        <f t="shared" si="4"/>
        <v>2334</v>
      </c>
      <c r="G45" s="128"/>
      <c r="H45" s="129"/>
      <c r="I45" s="129"/>
      <c r="J45" s="125">
        <f t="shared" si="5"/>
        <v>69532.180600000007</v>
      </c>
      <c r="K45" s="123"/>
      <c r="L45" s="125">
        <f>'2015 R|C Ratio Adj.'!H9</f>
        <v>69532.180600000007</v>
      </c>
      <c r="M45" s="131"/>
      <c r="N45" s="132">
        <f t="shared" si="2"/>
        <v>69532.180600000007</v>
      </c>
      <c r="O45" s="133">
        <f t="shared" si="3"/>
        <v>0</v>
      </c>
    </row>
    <row r="46" spans="2:15">
      <c r="B46" s="124" t="s">
        <v>15</v>
      </c>
      <c r="C46" s="124" t="s">
        <v>137</v>
      </c>
      <c r="D46" s="125">
        <f t="shared" si="4"/>
        <v>5696</v>
      </c>
      <c r="E46" s="125">
        <f t="shared" si="4"/>
        <v>4475403</v>
      </c>
      <c r="F46" s="125">
        <f t="shared" si="4"/>
        <v>11789</v>
      </c>
      <c r="G46" s="128"/>
      <c r="H46" s="129"/>
      <c r="I46" s="129"/>
      <c r="J46" s="125">
        <f t="shared" si="5"/>
        <v>447549</v>
      </c>
      <c r="K46" s="123"/>
      <c r="L46" s="125">
        <f>'2015 R|C Ratio Adj.'!H10</f>
        <v>447549</v>
      </c>
      <c r="M46" s="131"/>
      <c r="N46" s="132">
        <f t="shared" si="2"/>
        <v>447549</v>
      </c>
      <c r="O46" s="133">
        <f t="shared" si="3"/>
        <v>0</v>
      </c>
    </row>
    <row r="47" spans="2:15" ht="15.75" thickBot="1">
      <c r="B47" s="134"/>
      <c r="C47" s="134"/>
      <c r="D47" s="135"/>
      <c r="E47" s="126"/>
      <c r="F47" s="127"/>
      <c r="G47" s="128"/>
      <c r="H47" s="129"/>
      <c r="I47" s="129"/>
      <c r="J47" s="136"/>
      <c r="K47" s="123"/>
      <c r="L47" s="131"/>
      <c r="M47" s="131"/>
      <c r="N47" s="137"/>
      <c r="O47" s="137"/>
    </row>
    <row r="48" spans="2:15" ht="15.75" thickTop="1">
      <c r="B48" s="121"/>
      <c r="C48" s="121"/>
      <c r="D48" s="121"/>
      <c r="E48" s="134"/>
      <c r="F48" s="138"/>
      <c r="G48" s="134"/>
      <c r="H48" s="134"/>
      <c r="I48" s="134"/>
      <c r="J48" s="139"/>
      <c r="K48" s="123"/>
      <c r="L48" s="140"/>
      <c r="M48" s="140"/>
      <c r="N48" s="121"/>
      <c r="O48" s="122"/>
    </row>
    <row r="49" spans="2:15" ht="15.75" thickBot="1">
      <c r="B49" s="141" t="s">
        <v>27</v>
      </c>
      <c r="C49" s="142"/>
      <c r="D49" s="143">
        <f>SUM(D41:D46)</f>
        <v>35134</v>
      </c>
      <c r="E49" s="143">
        <f>SUM(E41:E46)</f>
        <v>511807638</v>
      </c>
      <c r="F49" s="143">
        <f>SUM(F41:F46)</f>
        <v>705489</v>
      </c>
      <c r="G49" s="144"/>
      <c r="H49" s="144"/>
      <c r="I49" s="144"/>
      <c r="J49" s="147">
        <f>SUM(J41:J46)</f>
        <v>17795631.799999997</v>
      </c>
      <c r="K49" s="146"/>
      <c r="L49" s="147">
        <f>SUM(L41:L47)</f>
        <v>17562997.999999996</v>
      </c>
      <c r="M49" s="147">
        <f>SUM(M41:M47)</f>
        <v>232633.8</v>
      </c>
      <c r="N49" s="147">
        <f>L49+M49</f>
        <v>17795631.799999997</v>
      </c>
      <c r="O49" s="148">
        <f>N49-J49</f>
        <v>0</v>
      </c>
    </row>
  </sheetData>
  <mergeCells count="28">
    <mergeCell ref="B3:O3"/>
    <mergeCell ref="C5:C6"/>
    <mergeCell ref="E5:F5"/>
    <mergeCell ref="G5:I5"/>
    <mergeCell ref="J5:J6"/>
    <mergeCell ref="L5:L6"/>
    <mergeCell ref="M5:M6"/>
    <mergeCell ref="N5:N6"/>
    <mergeCell ref="O5:O6"/>
    <mergeCell ref="H6:I6"/>
    <mergeCell ref="C21:C22"/>
    <mergeCell ref="E21:F21"/>
    <mergeCell ref="G21:I21"/>
    <mergeCell ref="J21:J22"/>
    <mergeCell ref="L21:L22"/>
    <mergeCell ref="C37:C38"/>
    <mergeCell ref="E37:F37"/>
    <mergeCell ref="G37:I37"/>
    <mergeCell ref="J37:J38"/>
    <mergeCell ref="L37:L38"/>
    <mergeCell ref="O37:O38"/>
    <mergeCell ref="H38:I38"/>
    <mergeCell ref="N21:N22"/>
    <mergeCell ref="O21:O22"/>
    <mergeCell ref="H22:I22"/>
    <mergeCell ref="M37:M38"/>
    <mergeCell ref="N37:N38"/>
    <mergeCell ref="M21:M22"/>
  </mergeCells>
  <pageMargins left="0.7" right="0.7" top="0.75" bottom="0.75" header="0.3" footer="0.3"/>
  <pageSetup scale="55" orientation="portrait" r:id="rId1"/>
</worksheet>
</file>

<file path=xl/worksheets/sheet21.xml><?xml version="1.0" encoding="utf-8"?>
<worksheet xmlns="http://schemas.openxmlformats.org/spreadsheetml/2006/main" xmlns:r="http://schemas.openxmlformats.org/officeDocument/2006/relationships">
  <dimension ref="B1:H14"/>
  <sheetViews>
    <sheetView view="pageBreakPreview" zoomScale="60" zoomScaleNormal="100" workbookViewId="0">
      <selection sqref="A1:I15"/>
    </sheetView>
  </sheetViews>
  <sheetFormatPr defaultRowHeight="15"/>
  <cols>
    <col min="1" max="1" width="2.7109375" customWidth="1"/>
    <col min="2" max="2" width="21.85546875" customWidth="1"/>
    <col min="3" max="3" width="14.42578125" customWidth="1"/>
    <col min="4" max="5" width="13.5703125" customWidth="1"/>
    <col min="6" max="6" width="14.42578125" bestFit="1" customWidth="1"/>
    <col min="7" max="7" width="11.140625" customWidth="1"/>
    <col min="8" max="8" width="14.42578125" bestFit="1" customWidth="1"/>
  </cols>
  <sheetData>
    <row r="1" spans="2:8" ht="15.75" thickBot="1"/>
    <row r="2" spans="2:8" ht="18">
      <c r="B2" s="221" t="s">
        <v>173</v>
      </c>
      <c r="C2" s="222"/>
      <c r="D2" s="222"/>
      <c r="E2" s="222"/>
      <c r="F2" s="222"/>
      <c r="G2" s="222"/>
      <c r="H2" s="223"/>
    </row>
    <row r="3" spans="2:8">
      <c r="B3" s="20"/>
      <c r="C3" s="21"/>
      <c r="D3" s="21"/>
      <c r="E3" s="21"/>
      <c r="F3" s="21"/>
      <c r="G3" s="21"/>
      <c r="H3" s="11"/>
    </row>
    <row r="4" spans="2:8" ht="85.5">
      <c r="B4" s="160" t="s">
        <v>21</v>
      </c>
      <c r="C4" s="32" t="s">
        <v>36</v>
      </c>
      <c r="D4" s="32" t="s">
        <v>39</v>
      </c>
      <c r="E4" s="32" t="s">
        <v>55</v>
      </c>
      <c r="F4" s="32" t="s">
        <v>38</v>
      </c>
      <c r="G4" s="32" t="s">
        <v>51</v>
      </c>
      <c r="H4" s="33" t="s">
        <v>52</v>
      </c>
    </row>
    <row r="5" spans="2:8">
      <c r="B5" s="19" t="s">
        <v>8</v>
      </c>
      <c r="C5" s="34">
        <f>'R|C Ratio'!C$8</f>
        <v>11876815.4</v>
      </c>
      <c r="D5" s="34">
        <f>'R|C Ratio'!F$8</f>
        <v>887426.5</v>
      </c>
      <c r="E5" s="34">
        <f>C5-D5</f>
        <v>10989388.9</v>
      </c>
      <c r="F5" s="34">
        <f>'R|C Ratio'!E$8</f>
        <v>9927778</v>
      </c>
      <c r="G5" s="67">
        <f t="shared" ref="G5:G10" si="0">(H5+D5)/C5</f>
        <v>0.91419336624529834</v>
      </c>
      <c r="H5" s="63">
        <f>H12-(H6+H7+H8+H9+H10)</f>
        <v>9970279.3508000001</v>
      </c>
    </row>
    <row r="6" spans="2:8">
      <c r="B6" s="19" t="s">
        <v>10</v>
      </c>
      <c r="C6" s="34">
        <f>'R|C Ratio'!C$9</f>
        <v>2376032.2000000002</v>
      </c>
      <c r="D6" s="34">
        <f>'R|C Ratio'!F$9</f>
        <v>171803</v>
      </c>
      <c r="E6" s="34">
        <f t="shared" ref="E6:E10" si="1">C6-D6</f>
        <v>2204229.2000000002</v>
      </c>
      <c r="F6" s="34">
        <f>'R|C Ratio'!E$9</f>
        <v>2426082</v>
      </c>
      <c r="G6" s="62">
        <f t="shared" si="0"/>
        <v>1.0933711251892966</v>
      </c>
      <c r="H6" s="63">
        <v>2426082</v>
      </c>
    </row>
    <row r="7" spans="2:8">
      <c r="B7" s="19" t="s">
        <v>11</v>
      </c>
      <c r="C7" s="34">
        <f>'R|C Ratio'!C$10</f>
        <v>4090319.3</v>
      </c>
      <c r="D7" s="34">
        <f>'R|C Ratio'!F$10</f>
        <v>297617.5</v>
      </c>
      <c r="E7" s="34">
        <f t="shared" si="1"/>
        <v>3792701.8</v>
      </c>
      <c r="F7" s="34">
        <f>'R|C Ratio'!E$10</f>
        <v>4608377</v>
      </c>
      <c r="G7" s="62">
        <f t="shared" si="0"/>
        <v>1.1994160211404523</v>
      </c>
      <c r="H7" s="63">
        <v>4608377</v>
      </c>
    </row>
    <row r="8" spans="2:8">
      <c r="B8" s="19" t="s">
        <v>13</v>
      </c>
      <c r="C8" s="34">
        <f>'R|C Ratio'!C$11</f>
        <v>36954</v>
      </c>
      <c r="D8" s="34">
        <f>'R|C Ratio'!F$11</f>
        <v>3257</v>
      </c>
      <c r="E8" s="34">
        <f t="shared" si="1"/>
        <v>33697</v>
      </c>
      <c r="F8" s="34">
        <f>'R|C Ratio'!E$11</f>
        <v>93264</v>
      </c>
      <c r="G8" s="171">
        <f t="shared" si="0"/>
        <v>1.2</v>
      </c>
      <c r="H8" s="63">
        <v>41087.799999999996</v>
      </c>
    </row>
    <row r="9" spans="2:8">
      <c r="B9" s="19" t="s">
        <v>14</v>
      </c>
      <c r="C9" s="34">
        <f>'R|C Ratio'!C$12</f>
        <v>82426</v>
      </c>
      <c r="D9" s="34">
        <f>'R|C Ratio'!F$12</f>
        <v>5731</v>
      </c>
      <c r="E9" s="34">
        <f t="shared" si="1"/>
        <v>76695</v>
      </c>
      <c r="F9" s="34">
        <f>'R|C Ratio'!E$12</f>
        <v>59948</v>
      </c>
      <c r="G9" s="67">
        <f t="shared" si="0"/>
        <v>0.91420000000000001</v>
      </c>
      <c r="H9" s="63">
        <v>69622.849199999997</v>
      </c>
    </row>
    <row r="10" spans="2:8">
      <c r="B10" s="19" t="s">
        <v>15</v>
      </c>
      <c r="C10" s="34">
        <f>'R|C Ratio'!C$13</f>
        <v>503635</v>
      </c>
      <c r="D10" s="34">
        <f>'R|C Ratio'!F$13</f>
        <v>37349</v>
      </c>
      <c r="E10" s="34">
        <f t="shared" si="1"/>
        <v>466286</v>
      </c>
      <c r="F10" s="34">
        <f>'R|C Ratio'!E$13</f>
        <v>447549</v>
      </c>
      <c r="G10" s="62">
        <f t="shared" si="0"/>
        <v>0.96279646966553156</v>
      </c>
      <c r="H10" s="63">
        <v>447549</v>
      </c>
    </row>
    <row r="11" spans="2:8">
      <c r="B11" s="19"/>
      <c r="C11" s="35"/>
      <c r="D11" s="35"/>
      <c r="E11" s="35"/>
      <c r="F11" s="35"/>
      <c r="G11" s="35"/>
      <c r="H11" s="57"/>
    </row>
    <row r="12" spans="2:8" ht="15.75" thickBot="1">
      <c r="B12" s="22" t="s">
        <v>27</v>
      </c>
      <c r="C12" s="58">
        <f>SUM(C5:C10)</f>
        <v>18966181.900000002</v>
      </c>
      <c r="D12" s="58">
        <f>SUM(D5:D10)</f>
        <v>1403184</v>
      </c>
      <c r="E12" s="58">
        <f>SUM(E5:E10)</f>
        <v>17562997.900000002</v>
      </c>
      <c r="F12" s="58">
        <f>SUM(F5:F10)</f>
        <v>17562998</v>
      </c>
      <c r="G12" s="23"/>
      <c r="H12" s="64">
        <f>F12</f>
        <v>17562998</v>
      </c>
    </row>
    <row r="14" spans="2:8">
      <c r="B14" s="65" t="s">
        <v>53</v>
      </c>
      <c r="C14" s="161" t="str">
        <f>IF((H5+H6+H7+H8+H9+H10)-F12&lt;1,"YES","NO")</f>
        <v>YES</v>
      </c>
    </row>
  </sheetData>
  <mergeCells count="1">
    <mergeCell ref="B2:H2"/>
  </mergeCells>
  <pageMargins left="0.7" right="0.7" top="0.75" bottom="0.75" header="0.3" footer="0.3"/>
  <pageSetup scale="77" orientation="portrait" r:id="rId1"/>
</worksheet>
</file>

<file path=xl/worksheets/sheet22.xml><?xml version="1.0" encoding="utf-8"?>
<worksheet xmlns="http://schemas.openxmlformats.org/spreadsheetml/2006/main" xmlns:r="http://schemas.openxmlformats.org/officeDocument/2006/relationships">
  <dimension ref="B1:G28"/>
  <sheetViews>
    <sheetView view="pageBreakPreview" zoomScale="60" zoomScaleNormal="100" workbookViewId="0">
      <selection activeCell="F13" sqref="F13"/>
    </sheetView>
  </sheetViews>
  <sheetFormatPr defaultRowHeight="14.25"/>
  <cols>
    <col min="1" max="1" width="2.7109375" style="3" customWidth="1"/>
    <col min="2" max="2" width="21.85546875" style="3" customWidth="1"/>
    <col min="3" max="3" width="14.42578125" style="3" bestFit="1" customWidth="1"/>
    <col min="4" max="7" width="14.5703125" style="3" bestFit="1" customWidth="1"/>
    <col min="8" max="16384" width="9.140625" style="3"/>
  </cols>
  <sheetData>
    <row r="1" spans="2:7" ht="15" thickBot="1"/>
    <row r="2" spans="2:7" ht="15">
      <c r="B2" s="197" t="s">
        <v>154</v>
      </c>
      <c r="C2" s="198"/>
      <c r="D2" s="198"/>
      <c r="E2" s="198"/>
      <c r="F2" s="198"/>
      <c r="G2" s="199"/>
    </row>
    <row r="3" spans="2:7">
      <c r="B3" s="20"/>
      <c r="C3" s="21"/>
      <c r="D3" s="21"/>
      <c r="E3" s="21"/>
      <c r="F3" s="21"/>
      <c r="G3" s="11"/>
    </row>
    <row r="4" spans="2:7" ht="57">
      <c r="B4" s="160" t="s">
        <v>21</v>
      </c>
      <c r="C4" s="32" t="s">
        <v>86</v>
      </c>
      <c r="D4" s="32" t="s">
        <v>87</v>
      </c>
      <c r="E4" s="32" t="s">
        <v>88</v>
      </c>
      <c r="F4" s="32" t="s">
        <v>31</v>
      </c>
      <c r="G4" s="33" t="s">
        <v>23</v>
      </c>
    </row>
    <row r="5" spans="2:7">
      <c r="B5" s="19" t="s">
        <v>8</v>
      </c>
      <c r="C5" s="34">
        <f>'2016 R|C Ratio Adj.'!H5</f>
        <v>9970279.3508000001</v>
      </c>
      <c r="D5" s="34">
        <f>C5*'Existing F_V Ratios'!F74</f>
        <v>5956975.3634022558</v>
      </c>
      <c r="E5" s="34">
        <f>C5*'Existing F_V Ratios'!G74</f>
        <v>4013303.9873977439</v>
      </c>
      <c r="F5" s="90">
        <f>D5/'Existing Rates &amp; Forecast Vols'!F35/12</f>
        <v>19.324014699554464</v>
      </c>
      <c r="G5" s="91">
        <f>E5/'Existing Rates &amp; Forecast Vols'!G35</f>
        <v>1.9268054087758498E-2</v>
      </c>
    </row>
    <row r="6" spans="2:7">
      <c r="B6" s="19" t="s">
        <v>10</v>
      </c>
      <c r="C6" s="34">
        <f>'2016 R|C Ratio Adj.'!H6</f>
        <v>2426082</v>
      </c>
      <c r="D6" s="34">
        <f>C6*'Existing F_V Ratios'!F75</f>
        <v>821240.14081728505</v>
      </c>
      <c r="E6" s="34">
        <f>C6*'Existing F_V Ratios'!G75</f>
        <v>1604841.8591827147</v>
      </c>
      <c r="F6" s="90">
        <f>D6/'Existing Rates &amp; Forecast Vols'!F36/12</f>
        <v>27.14663958803666</v>
      </c>
      <c r="G6" s="91">
        <f>E6/'Existing Rates &amp; Forecast Vols'!G36</f>
        <v>2.2149619415240383E-2</v>
      </c>
    </row>
    <row r="7" spans="2:7">
      <c r="B7" s="19" t="s">
        <v>11</v>
      </c>
      <c r="C7" s="34">
        <f>'2016 R|C Ratio Adj.'!H7</f>
        <v>4608377</v>
      </c>
      <c r="D7" s="34">
        <f>C7*'Existing F_V Ratios'!F76</f>
        <v>851881.81848249643</v>
      </c>
      <c r="E7" s="34">
        <f>C7*'Existing F_V Ratios'!G76</f>
        <v>3756495.1815175032</v>
      </c>
      <c r="F7" s="90">
        <f>D7/'Existing Rates &amp; Forecast Vols'!F37/12</f>
        <v>311.36031377284229</v>
      </c>
      <c r="G7" s="91">
        <f>E7/'Existing Rates &amp; Forecast Vols'!H37</f>
        <v>5.4334392803775469</v>
      </c>
    </row>
    <row r="8" spans="2:7">
      <c r="B8" s="19" t="s">
        <v>13</v>
      </c>
      <c r="C8" s="34">
        <f>'2016 R|C Ratio Adj.'!H8</f>
        <v>41087.799999999996</v>
      </c>
      <c r="D8" s="34">
        <f>C8*'Existing F_V Ratios'!F77</f>
        <v>14512.667230726645</v>
      </c>
      <c r="E8" s="34">
        <f>C8*'Existing F_V Ratios'!G77</f>
        <v>26575.13276927335</v>
      </c>
      <c r="F8" s="90">
        <f>D8/'Existing Rates &amp; Forecast Vols'!F38/12</f>
        <v>31.009972715227875</v>
      </c>
      <c r="G8" s="91">
        <f>E8/'Existing Rates &amp; Forecast Vols'!G38</f>
        <v>1.7392910776137731E-2</v>
      </c>
    </row>
    <row r="9" spans="2:7">
      <c r="B9" s="19" t="s">
        <v>14</v>
      </c>
      <c r="C9" s="34">
        <f>'2016 R|C Ratio Adj.'!H9</f>
        <v>69622.849199999997</v>
      </c>
      <c r="D9" s="34">
        <f>C9*'Existing F_V Ratios'!F78</f>
        <v>56634.144463590703</v>
      </c>
      <c r="E9" s="34">
        <f>C9*'Existing F_V Ratios'!G78</f>
        <v>12988.704736409296</v>
      </c>
      <c r="F9" s="90">
        <f>D9/'Existing Rates &amp; Forecast Vols'!F39/12</f>
        <v>4.9110427040921527</v>
      </c>
      <c r="G9" s="91">
        <f>E9/'Existing Rates &amp; Forecast Vols'!H39</f>
        <v>5.5649977448197498</v>
      </c>
    </row>
    <row r="10" spans="2:7">
      <c r="B10" s="19" t="s">
        <v>15</v>
      </c>
      <c r="C10" s="34">
        <f>'2016 R|C Ratio Adj.'!H10</f>
        <v>447549</v>
      </c>
      <c r="D10" s="34">
        <f>C10*'Existing F_V Ratios'!F79</f>
        <v>325286.86445771181</v>
      </c>
      <c r="E10" s="34">
        <f>C10*'Existing F_V Ratios'!G79</f>
        <v>122262.13554228815</v>
      </c>
      <c r="F10" s="90">
        <f>D10/'Existing Rates &amp; Forecast Vols'!F40/12</f>
        <v>4.7589955591308497</v>
      </c>
      <c r="G10" s="91">
        <f>E10/'Existing Rates &amp; Forecast Vols'!H40</f>
        <v>10.370865683458151</v>
      </c>
    </row>
    <row r="11" spans="2:7">
      <c r="B11" s="20"/>
      <c r="C11" s="21"/>
      <c r="D11" s="21"/>
      <c r="E11" s="21"/>
      <c r="F11" s="21"/>
      <c r="G11" s="11"/>
    </row>
    <row r="12" spans="2:7" ht="15" thickBot="1">
      <c r="B12" s="22" t="s">
        <v>27</v>
      </c>
      <c r="C12" s="58">
        <f>SUM(C5:C10)</f>
        <v>17562998</v>
      </c>
      <c r="D12" s="58">
        <f>SUM(D5:D10)</f>
        <v>8026530.9988540662</v>
      </c>
      <c r="E12" s="58">
        <f>SUM(E5:E10)</f>
        <v>9536467.0011459328</v>
      </c>
      <c r="F12" s="23"/>
      <c r="G12" s="60"/>
    </row>
    <row r="14" spans="2:7">
      <c r="B14" s="3" t="s">
        <v>89</v>
      </c>
      <c r="D14" s="89">
        <f>'Existing Rates &amp; Forecast Vols'!D42*'Existing Rates &amp; Forecast Vols'!H42</f>
        <v>232633.8</v>
      </c>
      <c r="E14" s="3" t="s">
        <v>90</v>
      </c>
    </row>
    <row r="15" spans="2:7" ht="15" thickBot="1">
      <c r="D15" s="89"/>
    </row>
    <row r="16" spans="2:7" ht="15">
      <c r="B16" s="197" t="s">
        <v>155</v>
      </c>
      <c r="C16" s="198"/>
      <c r="D16" s="198"/>
      <c r="E16" s="198"/>
      <c r="F16" s="198"/>
      <c r="G16" s="199"/>
    </row>
    <row r="17" spans="2:7">
      <c r="B17" s="20"/>
      <c r="C17" s="21"/>
      <c r="D17" s="21"/>
      <c r="E17" s="21"/>
      <c r="F17" s="21"/>
      <c r="G17" s="11"/>
    </row>
    <row r="18" spans="2:7" ht="57">
      <c r="B18" s="160" t="s">
        <v>21</v>
      </c>
      <c r="C18" s="32" t="s">
        <v>92</v>
      </c>
      <c r="D18" s="32" t="s">
        <v>87</v>
      </c>
      <c r="E18" s="32" t="s">
        <v>88</v>
      </c>
      <c r="F18" s="32" t="s">
        <v>31</v>
      </c>
      <c r="G18" s="33" t="s">
        <v>23</v>
      </c>
    </row>
    <row r="19" spans="2:7">
      <c r="B19" s="19" t="s">
        <v>8</v>
      </c>
      <c r="C19" s="34">
        <f>C5</f>
        <v>9970279.3508000001</v>
      </c>
      <c r="D19" s="34">
        <f>D5</f>
        <v>5956975.3634022558</v>
      </c>
      <c r="E19" s="34">
        <f>E5</f>
        <v>4013303.9873977439</v>
      </c>
      <c r="F19" s="90">
        <f>D19/'Existing Rates &amp; Forecast Vols'!F35/12</f>
        <v>19.324014699554464</v>
      </c>
      <c r="G19" s="91">
        <f>E19/'Existing Rates &amp; Forecast Vols'!G35</f>
        <v>1.9268054087758498E-2</v>
      </c>
    </row>
    <row r="20" spans="2:7">
      <c r="B20" s="19" t="s">
        <v>10</v>
      </c>
      <c r="C20" s="34">
        <f t="shared" ref="C20:E24" si="0">C6</f>
        <v>2426082</v>
      </c>
      <c r="D20" s="34">
        <f t="shared" si="0"/>
        <v>821240.14081728505</v>
      </c>
      <c r="E20" s="34">
        <f t="shared" si="0"/>
        <v>1604841.8591827147</v>
      </c>
      <c r="F20" s="90">
        <f>D20/'Existing Rates &amp; Forecast Vols'!F36/12</f>
        <v>27.14663958803666</v>
      </c>
      <c r="G20" s="91">
        <f>E20/'Existing Rates &amp; Forecast Vols'!G36</f>
        <v>2.2149619415240383E-2</v>
      </c>
    </row>
    <row r="21" spans="2:7">
      <c r="B21" s="19" t="s">
        <v>11</v>
      </c>
      <c r="C21" s="34">
        <f>C7+D14</f>
        <v>4841010.8</v>
      </c>
      <c r="D21" s="34">
        <f t="shared" si="0"/>
        <v>851881.81848249643</v>
      </c>
      <c r="E21" s="34">
        <f>E7+D14</f>
        <v>3989128.981517503</v>
      </c>
      <c r="F21" s="90">
        <f>D21/'Existing Rates &amp; Forecast Vols'!F37/12</f>
        <v>311.36031377284229</v>
      </c>
      <c r="G21" s="91">
        <f>E21/'Existing Rates &amp; Forecast Vols'!H37</f>
        <v>5.7699235737908765</v>
      </c>
    </row>
    <row r="22" spans="2:7">
      <c r="B22" s="19" t="s">
        <v>13</v>
      </c>
      <c r="C22" s="34">
        <f t="shared" si="0"/>
        <v>41087.799999999996</v>
      </c>
      <c r="D22" s="34">
        <f t="shared" si="0"/>
        <v>14512.667230726645</v>
      </c>
      <c r="E22" s="34">
        <f t="shared" si="0"/>
        <v>26575.13276927335</v>
      </c>
      <c r="F22" s="90">
        <f>D22/'Existing Rates &amp; Forecast Vols'!F38/12</f>
        <v>31.009972715227875</v>
      </c>
      <c r="G22" s="91">
        <f>E22/'Existing Rates &amp; Forecast Vols'!G38</f>
        <v>1.7392910776137731E-2</v>
      </c>
    </row>
    <row r="23" spans="2:7">
      <c r="B23" s="19" t="s">
        <v>14</v>
      </c>
      <c r="C23" s="34">
        <f t="shared" si="0"/>
        <v>69622.849199999997</v>
      </c>
      <c r="D23" s="34">
        <f t="shared" si="0"/>
        <v>56634.144463590703</v>
      </c>
      <c r="E23" s="34">
        <f t="shared" si="0"/>
        <v>12988.704736409296</v>
      </c>
      <c r="F23" s="90">
        <f>D23/'Existing Rates &amp; Forecast Vols'!F39/12</f>
        <v>4.9110427040921527</v>
      </c>
      <c r="G23" s="91">
        <f>E23/'Existing Rates &amp; Forecast Vols'!H39</f>
        <v>5.5649977448197498</v>
      </c>
    </row>
    <row r="24" spans="2:7">
      <c r="B24" s="19" t="s">
        <v>15</v>
      </c>
      <c r="C24" s="34">
        <f t="shared" si="0"/>
        <v>447549</v>
      </c>
      <c r="D24" s="34">
        <f t="shared" si="0"/>
        <v>325286.86445771181</v>
      </c>
      <c r="E24" s="34">
        <f t="shared" si="0"/>
        <v>122262.13554228815</v>
      </c>
      <c r="F24" s="90">
        <f>D24/'Existing Rates &amp; Forecast Vols'!F40/12</f>
        <v>4.7589955591308497</v>
      </c>
      <c r="G24" s="91">
        <f>E24/'Existing Rates &amp; Forecast Vols'!H40</f>
        <v>10.370865683458151</v>
      </c>
    </row>
    <row r="25" spans="2:7">
      <c r="B25" s="20"/>
      <c r="C25" s="21"/>
      <c r="D25" s="21"/>
      <c r="E25" s="21"/>
      <c r="F25" s="21"/>
      <c r="G25" s="11"/>
    </row>
    <row r="26" spans="2:7" ht="15" thickBot="1">
      <c r="B26" s="22" t="s">
        <v>27</v>
      </c>
      <c r="C26" s="58">
        <f>SUM(C19:C24)</f>
        <v>17795631.800000001</v>
      </c>
      <c r="D26" s="58">
        <f>SUM(D19:D24)</f>
        <v>8026530.9988540662</v>
      </c>
      <c r="E26" s="58">
        <f>SUM(E19:E24)</f>
        <v>9769100.8011459336</v>
      </c>
      <c r="F26" s="23"/>
      <c r="G26" s="60"/>
    </row>
    <row r="28" spans="2:7" ht="15">
      <c r="B28" s="65" t="s">
        <v>93</v>
      </c>
      <c r="C28" s="161" t="str">
        <f>IF(C26-(D26+E26)&lt;1,"YES","NO")</f>
        <v>YES</v>
      </c>
    </row>
  </sheetData>
  <mergeCells count="2">
    <mergeCell ref="B2:G2"/>
    <mergeCell ref="B16:G16"/>
  </mergeCells>
  <pageMargins left="0.7" right="0.7" top="0.75" bottom="0.75" header="0.3" footer="0.3"/>
  <pageSetup scale="84"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B3:Q32"/>
  <sheetViews>
    <sheetView view="pageBreakPreview" zoomScale="60" zoomScaleNormal="100" workbookViewId="0">
      <selection sqref="A1:R32"/>
    </sheetView>
  </sheetViews>
  <sheetFormatPr defaultRowHeight="14.25"/>
  <cols>
    <col min="1" max="1" width="2.7109375" style="3" customWidth="1"/>
    <col min="2" max="2" width="36.5703125" style="3" bestFit="1" customWidth="1"/>
    <col min="3" max="3" width="1.7109375" style="3" customWidth="1"/>
    <col min="4" max="4" width="10" style="3" bestFit="1" customWidth="1"/>
    <col min="5" max="5" width="10.85546875" style="3" bestFit="1" customWidth="1"/>
    <col min="6" max="6" width="9.85546875" style="3" customWidth="1"/>
    <col min="7" max="7" width="10.42578125" style="3" bestFit="1" customWidth="1"/>
    <col min="8" max="8" width="14.7109375" style="3" customWidth="1"/>
    <col min="9" max="9" width="12.140625" style="3" customWidth="1"/>
    <col min="10" max="10" width="12.28515625" style="3" bestFit="1" customWidth="1"/>
    <col min="11" max="13" width="11.140625" style="3" customWidth="1"/>
    <col min="14" max="14" width="14.7109375" style="3" bestFit="1" customWidth="1"/>
    <col min="15" max="15" width="2.7109375" style="3" customWidth="1"/>
    <col min="16" max="16" width="10.42578125" style="3" bestFit="1" customWidth="1"/>
    <col min="17" max="17" width="10.140625" style="3" bestFit="1" customWidth="1"/>
    <col min="18" max="16384" width="9.140625" style="3"/>
  </cols>
  <sheetData>
    <row r="3" spans="2:17" ht="15">
      <c r="D3" s="225" t="s">
        <v>167</v>
      </c>
      <c r="E3" s="225"/>
      <c r="F3" s="225"/>
      <c r="G3" s="225"/>
      <c r="H3" s="225"/>
      <c r="I3" s="225"/>
      <c r="J3" s="225"/>
      <c r="K3" s="225"/>
      <c r="L3" s="225"/>
      <c r="M3" s="225"/>
      <c r="N3" s="225"/>
      <c r="P3" s="226" t="s">
        <v>170</v>
      </c>
      <c r="Q3" s="226"/>
    </row>
    <row r="4" spans="2:17" ht="57">
      <c r="D4" s="1" t="s">
        <v>119</v>
      </c>
      <c r="E4" s="1" t="s">
        <v>112</v>
      </c>
      <c r="F4" s="1" t="s">
        <v>73</v>
      </c>
      <c r="G4" s="1" t="s">
        <v>164</v>
      </c>
      <c r="H4" s="1" t="s">
        <v>166</v>
      </c>
      <c r="I4" s="1" t="s">
        <v>116</v>
      </c>
      <c r="J4" s="1" t="s">
        <v>117</v>
      </c>
      <c r="K4" s="1" t="s">
        <v>120</v>
      </c>
      <c r="L4" s="1" t="s">
        <v>121</v>
      </c>
      <c r="M4" s="1" t="s">
        <v>162</v>
      </c>
      <c r="N4" s="1" t="s">
        <v>122</v>
      </c>
      <c r="P4" s="167" t="s">
        <v>164</v>
      </c>
      <c r="Q4" s="167" t="s">
        <v>165</v>
      </c>
    </row>
    <row r="5" spans="2:17" ht="15">
      <c r="B5" s="65" t="s">
        <v>21</v>
      </c>
      <c r="P5" s="168"/>
      <c r="Q5" s="168"/>
    </row>
    <row r="6" spans="2:17">
      <c r="B6" s="3" t="s">
        <v>94</v>
      </c>
      <c r="D6" s="96">
        <f>'Existing Rates &amp; Forecast Vols'!D7</f>
        <v>1.52E-2</v>
      </c>
      <c r="E6" s="4">
        <f>'Existing Rates &amp; Forecast Vols'!C7</f>
        <v>18.170000000000002</v>
      </c>
      <c r="F6" s="165">
        <f>'Target MSC Change'!D6</f>
        <v>19.241640204446238</v>
      </c>
      <c r="G6" s="4">
        <f>E6+((F6-E6)/4)+((F6-E6)/4)+((F6-E6)/4)+((F6-E6)/4)</f>
        <v>19.241640204446242</v>
      </c>
      <c r="H6" s="93">
        <f>H8*'Existing F_V Ratios'!C89</f>
        <v>6700745.3065174976</v>
      </c>
      <c r="I6" s="93">
        <f>G6*'Existing Rates &amp; Forecast Vols'!F7*12</f>
        <v>4049287.7311844854</v>
      </c>
      <c r="J6" s="94">
        <f>H6-I6</f>
        <v>2651457.5753330123</v>
      </c>
      <c r="K6" s="96">
        <f>J6/'Existing Rates &amp; Forecast Vols'!G7</f>
        <v>1.8396797137717937E-2</v>
      </c>
      <c r="L6" s="96">
        <f>K8-K6</f>
        <v>9.9317191289959375E-4</v>
      </c>
      <c r="M6" s="96">
        <f>K8</f>
        <v>1.9389969050617531E-2</v>
      </c>
      <c r="N6" s="101">
        <f>M6*'Existing Rates &amp; Forecast Vols'!G7</f>
        <v>2794599.5131579717</v>
      </c>
      <c r="P6" s="169">
        <f>G6</f>
        <v>19.241640204446242</v>
      </c>
      <c r="Q6" s="170">
        <f>M6</f>
        <v>1.9389969050617531E-2</v>
      </c>
    </row>
    <row r="7" spans="2:17">
      <c r="B7" s="3" t="s">
        <v>95</v>
      </c>
      <c r="D7" s="96">
        <f>'Existing Rates &amp; Forecast Vols'!D21</f>
        <v>2.1999999999999999E-2</v>
      </c>
      <c r="E7" s="4">
        <f>'Existing Rates &amp; Forecast Vols'!C21</f>
        <v>15.57</v>
      </c>
      <c r="F7" s="165">
        <f>'Target MSC Change'!D14</f>
        <v>19.241640204446238</v>
      </c>
      <c r="G7" s="4">
        <f>E7+((F7-E7)/4)+((F7-E7)/4)+((F7-E7)/4)+((F7-E7)/4)</f>
        <v>19.241640204446234</v>
      </c>
      <c r="H7" s="94">
        <f>H8-H6</f>
        <v>3269534.0442825025</v>
      </c>
      <c r="I7" s="93">
        <f>G7*'Existing Rates &amp; Forecast Vols'!F21*12</f>
        <v>1882294.2113597482</v>
      </c>
      <c r="J7" s="94">
        <f>H7-I7</f>
        <v>1387239.8329227543</v>
      </c>
      <c r="K7" s="96">
        <f>J7/'Existing Rates &amp; Forecast Vols'!G21</f>
        <v>2.1620917077463272E-2</v>
      </c>
      <c r="L7" s="96">
        <f>K8-K7</f>
        <v>-2.2309480268457409E-3</v>
      </c>
      <c r="M7" s="96">
        <f>N7/'Existing Rates &amp; Forecast Vols'!G21</f>
        <v>1.9389969050617527E-2</v>
      </c>
      <c r="N7" s="94">
        <f>N8-N6</f>
        <v>1244097.8950977954</v>
      </c>
      <c r="P7" s="169">
        <f>G7</f>
        <v>19.241640204446234</v>
      </c>
      <c r="Q7" s="170">
        <f>M7</f>
        <v>1.9389969050617527E-2</v>
      </c>
    </row>
    <row r="8" spans="2:17">
      <c r="B8" s="3" t="s">
        <v>105</v>
      </c>
      <c r="F8" s="166"/>
      <c r="G8" s="99">
        <f>I8/'Existing Rates &amp; Forecast Vols'!F35/12</f>
        <v>19.241640204446238</v>
      </c>
      <c r="H8" s="100">
        <f>'2016 Rate Design'!C19</f>
        <v>9970279.3508000001</v>
      </c>
      <c r="I8" s="101">
        <f>I6+I7</f>
        <v>5931581.9425442331</v>
      </c>
      <c r="J8" s="101">
        <f>H8-I8</f>
        <v>4038697.4082557671</v>
      </c>
      <c r="K8" s="102">
        <f>J8/'Existing Rates &amp; Forecast Vols'!G35</f>
        <v>1.9389969050617531E-2</v>
      </c>
      <c r="L8" s="104"/>
      <c r="N8" s="94">
        <f>J8</f>
        <v>4038697.4082557671</v>
      </c>
      <c r="P8" s="168"/>
      <c r="Q8" s="168"/>
    </row>
    <row r="9" spans="2:17">
      <c r="F9" s="166"/>
      <c r="G9" s="4"/>
      <c r="H9" s="87"/>
      <c r="L9" s="105"/>
      <c r="P9" s="168"/>
      <c r="Q9" s="168"/>
    </row>
    <row r="10" spans="2:17">
      <c r="B10" s="3" t="s">
        <v>96</v>
      </c>
      <c r="D10" s="96">
        <f>'Existing Rates &amp; Forecast Vols'!D8</f>
        <v>2.2599999999999999E-2</v>
      </c>
      <c r="E10" s="4">
        <f>'Existing Rates &amp; Forecast Vols'!C8</f>
        <v>20.98</v>
      </c>
      <c r="F10" s="165">
        <f>'Target MSC Change'!D7</f>
        <v>27.14663958803666</v>
      </c>
      <c r="G10" s="4">
        <f>E10+((F10-E10)/4)+((F10-E10)/4)+((F10-E10)/4)+((F10-E10)/4)</f>
        <v>27.14663958803666</v>
      </c>
      <c r="H10" s="93">
        <f>H12*'Existing F_V Ratios'!C90</f>
        <v>1681965.3383249969</v>
      </c>
      <c r="I10" s="93">
        <f>G10*'Existing Rates &amp; Forecast Vols'!F8*12</f>
        <v>531965.54936716636</v>
      </c>
      <c r="J10" s="94">
        <f>H10-I10</f>
        <v>1149999.7889578305</v>
      </c>
      <c r="K10" s="96">
        <f>J10/'Existing Rates &amp; Forecast Vols'!G8</f>
        <v>2.3519407307510447E-2</v>
      </c>
      <c r="L10" s="96">
        <f>K12-K10</f>
        <v>-1.3697878922700607E-3</v>
      </c>
      <c r="M10" s="96">
        <f>N10/'Existing Rates &amp; Forecast Vols'!G8</f>
        <v>2.2149619415240386E-2</v>
      </c>
      <c r="N10" s="107">
        <f>N12-N11</f>
        <v>1083022.940160942</v>
      </c>
      <c r="P10" s="169">
        <f>G10</f>
        <v>27.14663958803666</v>
      </c>
      <c r="Q10" s="170">
        <f>M10</f>
        <v>2.2149619415240386E-2</v>
      </c>
    </row>
    <row r="11" spans="2:17">
      <c r="B11" s="3" t="s">
        <v>97</v>
      </c>
      <c r="D11" s="96">
        <f>'Existing Rates &amp; Forecast Vols'!D22</f>
        <v>1.4500000000000001E-2</v>
      </c>
      <c r="E11" s="4">
        <f>'Existing Rates &amp; Forecast Vols'!C22</f>
        <v>30.89</v>
      </c>
      <c r="F11" s="165">
        <f>'Target MSC Change'!D15</f>
        <v>27.14663958803666</v>
      </c>
      <c r="G11" s="4">
        <f>E11+((F11-E11)/4)+((F11-E11)/4)+((F11-E11)/4)+((F11-E11)/4)</f>
        <v>27.146639588036663</v>
      </c>
      <c r="H11" s="94">
        <f>H12-H10</f>
        <v>744116.66167500312</v>
      </c>
      <c r="I11" s="93">
        <f>G11*'Existing Rates &amp; Forecast Vols'!F22*12</f>
        <v>289274.59145011869</v>
      </c>
      <c r="J11" s="94">
        <f>H11-I11</f>
        <v>454842.07022488443</v>
      </c>
      <c r="K11" s="96">
        <f>J11/'Existing Rates &amp; Forecast Vols'!G22</f>
        <v>1.9306656739099315E-2</v>
      </c>
      <c r="L11" s="96">
        <f>K12-K11</f>
        <v>2.8429626761410712E-3</v>
      </c>
      <c r="M11" s="96">
        <f>K12</f>
        <v>2.2149619415240386E-2</v>
      </c>
      <c r="N11" s="101">
        <f>M11*'Existing Rates &amp; Forecast Vols'!G22</f>
        <v>521818.91902177292</v>
      </c>
      <c r="P11" s="169">
        <f>G11</f>
        <v>27.146639588036663</v>
      </c>
      <c r="Q11" s="170">
        <f>M11</f>
        <v>2.2149619415240386E-2</v>
      </c>
    </row>
    <row r="12" spans="2:17">
      <c r="B12" s="3" t="s">
        <v>106</v>
      </c>
      <c r="F12" s="166"/>
      <c r="G12" s="99">
        <f>I12/'Existing Rates &amp; Forecast Vols'!F36/12</f>
        <v>27.14663958803666</v>
      </c>
      <c r="H12" s="100">
        <f>'2016 Rate Design'!C20</f>
        <v>2426082</v>
      </c>
      <c r="I12" s="101">
        <f>I10+I11</f>
        <v>821240.14081728505</v>
      </c>
      <c r="J12" s="101">
        <f>H12-I12</f>
        <v>1604841.859182715</v>
      </c>
      <c r="K12" s="102">
        <f>J12/'Existing Rates &amp; Forecast Vols'!G36</f>
        <v>2.2149619415240386E-2</v>
      </c>
      <c r="L12" s="104"/>
      <c r="N12" s="94">
        <f>J12</f>
        <v>1604841.859182715</v>
      </c>
      <c r="P12" s="168"/>
      <c r="Q12" s="168"/>
    </row>
    <row r="13" spans="2:17">
      <c r="F13" s="166"/>
      <c r="G13" s="4"/>
      <c r="L13" s="105"/>
      <c r="P13" s="168"/>
      <c r="Q13" s="168"/>
    </row>
    <row r="14" spans="2:17">
      <c r="B14" s="3" t="s">
        <v>98</v>
      </c>
      <c r="D14" s="3">
        <f>'Existing Rates &amp; Forecast Vols'!D9</f>
        <v>7.2561</v>
      </c>
      <c r="E14" s="4">
        <f>'Existing Rates &amp; Forecast Vols'!C9</f>
        <v>133.68</v>
      </c>
      <c r="F14" s="165">
        <f>'Target MSC Change'!D8</f>
        <v>145.84</v>
      </c>
      <c r="G14" s="4">
        <f>E14+((F14-E14)/4)+((F14-E14)/4)+((F14-E14)/4)+((F14-E14)/4)</f>
        <v>145.83999999999997</v>
      </c>
      <c r="H14" s="93">
        <f>H16*'Existing F_V Ratios'!C91</f>
        <v>3304232.6669710851</v>
      </c>
      <c r="I14" s="94">
        <f>G14*'Existing Rates &amp; Forecast Vols'!F9*12</f>
        <v>260761.91999999995</v>
      </c>
      <c r="J14" s="94">
        <f>H14-I14</f>
        <v>3043470.7469710852</v>
      </c>
      <c r="K14" s="96">
        <f>J14/'Existing Rates &amp; Forecast Vols'!H9</f>
        <v>8.0154193208650071</v>
      </c>
      <c r="L14" s="96">
        <f>K16-K14</f>
        <v>-1.5904684844050143</v>
      </c>
      <c r="M14" s="96">
        <f>N14/'Existing Rates &amp; Forecast Vols'!H9</f>
        <v>6.4249508364599928</v>
      </c>
      <c r="N14" s="94">
        <f>N16-N15</f>
        <v>2439566.6825055322</v>
      </c>
      <c r="P14" s="169">
        <f>G14</f>
        <v>145.83999999999997</v>
      </c>
      <c r="Q14" s="170">
        <f>M14</f>
        <v>6.4249508364599928</v>
      </c>
    </row>
    <row r="15" spans="2:17">
      <c r="B15" s="3" t="s">
        <v>108</v>
      </c>
      <c r="D15" s="3">
        <f>'Existing Rates &amp; Forecast Vols'!D23</f>
        <v>2.7711999999999999</v>
      </c>
      <c r="E15" s="4">
        <f>'Existing Rates &amp; Forecast Vols'!C23</f>
        <v>557.9</v>
      </c>
      <c r="F15" s="165">
        <f>'Target MSC Change'!D16</f>
        <v>145.84</v>
      </c>
      <c r="G15" s="4">
        <f>E15+((F15-E15)/4)+((F15-E15)/4)+((F15-E15)/4)+((F15-E15)/4)</f>
        <v>145.84000000000003</v>
      </c>
      <c r="H15" s="94">
        <f>H16-H14</f>
        <v>1536778.1330289147</v>
      </c>
      <c r="I15" s="94">
        <f>G15*'Existing Rates &amp; Forecast Vols'!F23*12</f>
        <v>138256.32000000004</v>
      </c>
      <c r="J15" s="94">
        <f>H15-I15</f>
        <v>1398521.8130289146</v>
      </c>
      <c r="K15" s="96">
        <f>J15/'Existing Rates &amp; Forecast Vols'!H23</f>
        <v>4.4872741575187209</v>
      </c>
      <c r="L15" s="96">
        <f>K16-K15</f>
        <v>1.9376766789412718</v>
      </c>
      <c r="M15" s="96">
        <f>K16</f>
        <v>6.4249508364599928</v>
      </c>
      <c r="N15" s="101">
        <f>M15*'Existing Rates &amp; Forecast Vols'!H23</f>
        <v>2002425.8774944672</v>
      </c>
      <c r="P15" s="169">
        <f>G15</f>
        <v>145.84000000000003</v>
      </c>
      <c r="Q15" s="170">
        <f>M15</f>
        <v>6.4249508364599928</v>
      </c>
    </row>
    <row r="16" spans="2:17">
      <c r="B16" s="3" t="s">
        <v>107</v>
      </c>
      <c r="F16" s="166"/>
      <c r="G16" s="99">
        <f>I16/'Existing Rates &amp; Forecast Vols'!F37/12</f>
        <v>145.84</v>
      </c>
      <c r="H16" s="100">
        <f>'2016 Rate Design'!C21</f>
        <v>4841010.8</v>
      </c>
      <c r="I16" s="101">
        <f>I14+I15</f>
        <v>399018.23999999999</v>
      </c>
      <c r="J16" s="101">
        <f>H16-I16</f>
        <v>4441992.5599999996</v>
      </c>
      <c r="K16" s="102">
        <f>J16/'Existing Rates &amp; Forecast Vols'!H37</f>
        <v>6.4249508364599928</v>
      </c>
      <c r="L16" s="104"/>
      <c r="N16" s="94">
        <f>J16</f>
        <v>4441992.5599999996</v>
      </c>
      <c r="P16" s="168"/>
      <c r="Q16" s="168"/>
    </row>
    <row r="17" spans="2:17">
      <c r="F17" s="166"/>
      <c r="G17" s="4"/>
      <c r="L17" s="105"/>
      <c r="P17" s="168"/>
      <c r="Q17" s="168"/>
    </row>
    <row r="18" spans="2:17">
      <c r="B18" s="3" t="s">
        <v>99</v>
      </c>
      <c r="D18" s="96">
        <f>'Existing Rates &amp; Forecast Vols'!D10</f>
        <v>4.1300000000000003E-2</v>
      </c>
      <c r="E18" s="4">
        <f>'Existing Rates &amp; Forecast Vols'!C10</f>
        <v>70.069999999999993</v>
      </c>
      <c r="F18" s="165">
        <v>31.66</v>
      </c>
      <c r="G18" s="4">
        <f>E18+((F18-E18)/4)+((F18-E18)/4)+((F18-E18)/4)+((F18-E18)/4)</f>
        <v>31.659999999999997</v>
      </c>
      <c r="H18" s="93">
        <f>H20*'Existing F_V Ratios'!C92</f>
        <v>29370.291692698276</v>
      </c>
      <c r="I18" s="93">
        <f>G18*'Existing Rates &amp; Forecast Vols'!F10*12</f>
        <v>9497.9999999999982</v>
      </c>
      <c r="J18" s="94">
        <f>H18-I18</f>
        <v>19872.29169269828</v>
      </c>
      <c r="K18" s="96">
        <f>J18/'Existing Rates &amp; Forecast Vols'!G10</f>
        <v>2.1004119686103662E-2</v>
      </c>
      <c r="L18" s="96">
        <f>K20-K18</f>
        <v>-3.8103102878920964E-3</v>
      </c>
      <c r="M18" s="96">
        <f>N18/'Existing Rates &amp; Forecast Vols'!G10</f>
        <v>1.7193809398211565E-2</v>
      </c>
      <c r="N18" s="94">
        <f>N20-N19</f>
        <v>16267.303784979536</v>
      </c>
      <c r="P18" s="169">
        <f>G18</f>
        <v>31.659999999999997</v>
      </c>
      <c r="Q18" s="170">
        <f>M18</f>
        <v>1.7193809398211565E-2</v>
      </c>
    </row>
    <row r="19" spans="2:17">
      <c r="B19" s="3" t="s">
        <v>102</v>
      </c>
      <c r="D19" s="96">
        <f>'Existing Rates &amp; Forecast Vols'!D24</f>
        <v>2.63E-2</v>
      </c>
      <c r="E19" s="4">
        <f>'Existing Rates &amp; Forecast Vols'!C24</f>
        <v>51.63</v>
      </c>
      <c r="F19" s="165">
        <v>31.66</v>
      </c>
      <c r="G19" s="4">
        <f>E19+((F19-E19)/4)+((F19-E19)/4)+((F19-E19)/4)+((F19-E19)/4)</f>
        <v>31.660000000000004</v>
      </c>
      <c r="H19" s="94">
        <f>H20-H18</f>
        <v>11717.508307301719</v>
      </c>
      <c r="I19" s="93">
        <f>G19*'Existing Rates &amp; Forecast Vols'!F24*12</f>
        <v>5318.880000000001</v>
      </c>
      <c r="J19" s="94">
        <f>H19-I19</f>
        <v>6398.6283073017185</v>
      </c>
      <c r="K19" s="96">
        <f>J19/'Existing Rates &amp; Forecast Vols'!G24</f>
        <v>1.0997702546860631E-2</v>
      </c>
      <c r="L19" s="96">
        <f>K20-K19</f>
        <v>6.196106851350934E-3</v>
      </c>
      <c r="M19" s="96">
        <f>K20</f>
        <v>1.7193809398211565E-2</v>
      </c>
      <c r="N19" s="101">
        <f>M19*'Existing Rates &amp; Forecast Vols'!G24</f>
        <v>10003.616215020462</v>
      </c>
      <c r="P19" s="169">
        <f>G19</f>
        <v>31.660000000000004</v>
      </c>
      <c r="Q19" s="170">
        <f>M19</f>
        <v>1.7193809398211565E-2</v>
      </c>
    </row>
    <row r="20" spans="2:17">
      <c r="B20" s="3" t="s">
        <v>109</v>
      </c>
      <c r="F20" s="166"/>
      <c r="G20" s="99">
        <f>I20/'Existing Rates &amp; Forecast Vols'!F38/12</f>
        <v>31.659999999999997</v>
      </c>
      <c r="H20" s="100">
        <f>'2016 Rate Design'!C22</f>
        <v>41087.799999999996</v>
      </c>
      <c r="I20" s="101">
        <f>I18+I19</f>
        <v>14816.88</v>
      </c>
      <c r="J20" s="101">
        <f>H20-I20</f>
        <v>26270.92</v>
      </c>
      <c r="K20" s="102">
        <f>J20/'Existing Rates &amp; Forecast Vols'!G38</f>
        <v>1.7193809398211565E-2</v>
      </c>
      <c r="L20" s="104"/>
      <c r="N20" s="94">
        <f>J20</f>
        <v>26270.92</v>
      </c>
      <c r="P20" s="168"/>
      <c r="Q20" s="168"/>
    </row>
    <row r="21" spans="2:17">
      <c r="F21" s="166"/>
      <c r="G21" s="4"/>
      <c r="L21" s="105"/>
      <c r="P21" s="168"/>
      <c r="Q21" s="168"/>
    </row>
    <row r="22" spans="2:17">
      <c r="B22" s="3" t="s">
        <v>100</v>
      </c>
      <c r="D22" s="96">
        <f>'Existing Rates &amp; Forecast Vols'!D11</f>
        <v>4.2721999999999998</v>
      </c>
      <c r="E22" s="4">
        <f>'Existing Rates &amp; Forecast Vols'!C11</f>
        <v>3.79</v>
      </c>
      <c r="F22" s="165">
        <f>'Target MSC Change'!D10</f>
        <v>4.8901117683708524</v>
      </c>
      <c r="G22" s="4">
        <f>E22+((F22-E22)/4)+((F22-E22)/4)+((F22-E22)/4)+((F22-E22)/4)</f>
        <v>4.8901117683708515</v>
      </c>
      <c r="H22" s="93">
        <f>H24*'Existing F_V Ratios'!C93</f>
        <v>66535.220764375859</v>
      </c>
      <c r="I22" s="94">
        <f>G22*'Existing Rates &amp; Forecast Vols'!F11*12</f>
        <v>53986.833922814199</v>
      </c>
      <c r="J22" s="94">
        <f>H22-I22</f>
        <v>12548.38684156166</v>
      </c>
      <c r="K22" s="95">
        <f>J22/'Existing Rates &amp; Forecast Vols'!H11</f>
        <v>5.4700901663302792</v>
      </c>
      <c r="L22" s="96">
        <f>K24-K22</f>
        <v>0.19832469534381492</v>
      </c>
      <c r="M22" s="173">
        <f>K24</f>
        <v>5.6684148616740941</v>
      </c>
      <c r="N22" s="101">
        <f>M22*'Existing Rates &amp; Forecast Vols'!H11</f>
        <v>13003.343692680372</v>
      </c>
      <c r="P22" s="169">
        <f>G22</f>
        <v>4.8901117683708515</v>
      </c>
      <c r="Q22" s="170">
        <f>M22</f>
        <v>5.6684148616740941</v>
      </c>
    </row>
    <row r="23" spans="2:17">
      <c r="B23" s="3" t="s">
        <v>103</v>
      </c>
      <c r="D23" s="96">
        <f>'Existing Rates &amp; Forecast Vols'!D25</f>
        <v>7.0224000000000002</v>
      </c>
      <c r="E23" s="4">
        <f>'Existing Rates &amp; Forecast Vols'!C25</f>
        <v>4.3</v>
      </c>
      <c r="F23" s="165">
        <f>'Target MSC Change'!D18</f>
        <v>4.8901117683708524</v>
      </c>
      <c r="G23" s="4">
        <f>E23+((F23-E23)/4)+((F23-E23)/4)+((F23-E23)/4)+((F23-E23)/4)</f>
        <v>4.8901117683708533</v>
      </c>
      <c r="H23" s="94">
        <f>H24-H22</f>
        <v>3087.6284356241376</v>
      </c>
      <c r="I23" s="94">
        <f>G23*'Existing Rates &amp; Forecast Vols'!F25*12</f>
        <v>2405.9349900384595</v>
      </c>
      <c r="J23" s="94">
        <f>H23-I23</f>
        <v>681.69344558567809</v>
      </c>
      <c r="K23" s="95">
        <f>J23/'Existing Rates &amp; Forecast Vols'!H25</f>
        <v>17.042336139641954</v>
      </c>
      <c r="L23" s="96">
        <f>K24-K23</f>
        <v>-11.37392127796786</v>
      </c>
      <c r="M23" s="173">
        <f>N23/'Existing Rates &amp; Forecast Vols'!H25</f>
        <v>5.6684148616740915</v>
      </c>
      <c r="N23" s="94">
        <f>N24-N22</f>
        <v>226.73659446696365</v>
      </c>
      <c r="P23" s="169">
        <f>G23</f>
        <v>4.8901117683708533</v>
      </c>
      <c r="Q23" s="170">
        <f>M23</f>
        <v>5.6684148616740915</v>
      </c>
    </row>
    <row r="24" spans="2:17">
      <c r="B24" s="3" t="s">
        <v>110</v>
      </c>
      <c r="F24" s="166"/>
      <c r="G24" s="99">
        <f>I24/'Existing Rates &amp; Forecast Vols'!F39/12</f>
        <v>4.8901117683708515</v>
      </c>
      <c r="H24" s="100">
        <f>'2016 Rate Design'!C23</f>
        <v>69622.849199999997</v>
      </c>
      <c r="I24" s="101">
        <f>I22+I23</f>
        <v>56392.768912852662</v>
      </c>
      <c r="J24" s="101">
        <f>H24-I24</f>
        <v>13230.080287147335</v>
      </c>
      <c r="K24" s="102">
        <f>J24/'Existing Rates &amp; Forecast Vols'!H39</f>
        <v>5.6684148616740941</v>
      </c>
      <c r="L24" s="106"/>
      <c r="N24" s="94">
        <f>J24</f>
        <v>13230.080287147335</v>
      </c>
      <c r="P24" s="168"/>
      <c r="Q24" s="168"/>
    </row>
    <row r="25" spans="2:17">
      <c r="F25" s="166"/>
      <c r="G25" s="4"/>
      <c r="I25" s="94"/>
      <c r="L25" s="105"/>
      <c r="P25" s="168"/>
      <c r="Q25" s="168"/>
    </row>
    <row r="26" spans="2:17">
      <c r="B26" s="3" t="s">
        <v>101</v>
      </c>
      <c r="D26" s="104">
        <f>'Existing Rates &amp; Forecast Vols'!D12</f>
        <v>9.6593999999999998</v>
      </c>
      <c r="E26" s="163">
        <f>'Existing Rates &amp; Forecast Vols'!C12</f>
        <v>4.95</v>
      </c>
      <c r="F26" s="165">
        <f>'Target MSC Change'!D11</f>
        <v>4.7589955591308497</v>
      </c>
      <c r="G26" s="175">
        <f>F26</f>
        <v>4.7589955591308497</v>
      </c>
      <c r="H26" s="164">
        <f>H28*'Existing F_V Ratios'!C94</f>
        <v>307837.07412612473</v>
      </c>
      <c r="I26" s="107">
        <f>G26*'Existing Rates &amp; Forecast Vols'!F12*12</f>
        <v>211070.97103857144</v>
      </c>
      <c r="J26" s="107">
        <f>H26-I26</f>
        <v>96766.103087553289</v>
      </c>
      <c r="K26" s="106">
        <f>J26/'Existing Rates &amp; Forecast Vols'!H12</f>
        <v>12.616180324322462</v>
      </c>
      <c r="L26" s="104">
        <f>K28-K26</f>
        <v>-2.2453146408643079</v>
      </c>
      <c r="M26" s="104">
        <f>N26/'Existing Rates &amp; Forecast Vols'!H12</f>
        <v>10.370865683458156</v>
      </c>
      <c r="N26" s="107">
        <f>N28-N27</f>
        <v>79544.539792124051</v>
      </c>
      <c r="P26" s="169">
        <f>G26</f>
        <v>4.7589955591308497</v>
      </c>
      <c r="Q26" s="170">
        <f>M26</f>
        <v>10.370865683458156</v>
      </c>
    </row>
    <row r="27" spans="2:17">
      <c r="B27" s="3" t="s">
        <v>104</v>
      </c>
      <c r="D27" s="104">
        <f>'Existing Rates &amp; Forecast Vols'!D26</f>
        <v>8.7698</v>
      </c>
      <c r="E27" s="163">
        <f>'Existing Rates &amp; Forecast Vols'!C26</f>
        <v>3.07</v>
      </c>
      <c r="F27" s="165">
        <f>'Target MSC Change'!D19</f>
        <v>4.7589955591308497</v>
      </c>
      <c r="G27" s="175">
        <f>F27</f>
        <v>4.7589955591308497</v>
      </c>
      <c r="H27" s="107">
        <f>H28-H26</f>
        <v>139711.92587387527</v>
      </c>
      <c r="I27" s="107">
        <f>G27*'Existing Rates &amp; Forecast Vols'!F26*12</f>
        <v>114215.8934191404</v>
      </c>
      <c r="J27" s="107">
        <f>H27-I27</f>
        <v>25496.032454734872</v>
      </c>
      <c r="K27" s="106">
        <f>J27/'Existing Rates &amp; Forecast Vols'!H26</f>
        <v>6.1898597850776573</v>
      </c>
      <c r="L27" s="104">
        <f>K28-K27</f>
        <v>4.181005898380497</v>
      </c>
      <c r="M27" s="104">
        <f>K28</f>
        <v>10.370865683458154</v>
      </c>
      <c r="N27" s="101">
        <f>M27*'Existing Rates &amp; Forecast Vols'!H26</f>
        <v>42717.595750164139</v>
      </c>
      <c r="P27" s="169">
        <f>G27</f>
        <v>4.7589955591308497</v>
      </c>
      <c r="Q27" s="170">
        <f>M27</f>
        <v>10.370865683458154</v>
      </c>
    </row>
    <row r="28" spans="2:17">
      <c r="B28" s="3" t="s">
        <v>111</v>
      </c>
      <c r="G28" s="103">
        <f>I28/'Existing Rates &amp; Forecast Vols'!F40/12</f>
        <v>4.7589955591308497</v>
      </c>
      <c r="H28" s="100">
        <f>'2016 Rate Design'!C24</f>
        <v>447549</v>
      </c>
      <c r="I28" s="101">
        <f>I26+I27</f>
        <v>325286.86445771181</v>
      </c>
      <c r="J28" s="101">
        <f>H28-I28</f>
        <v>122262.13554228819</v>
      </c>
      <c r="K28" s="102">
        <f>J28/'Existing Rates &amp; Forecast Vols'!H40</f>
        <v>10.370865683458154</v>
      </c>
      <c r="L28" s="106"/>
      <c r="N28" s="94">
        <f>J28</f>
        <v>122262.13554228819</v>
      </c>
    </row>
    <row r="30" spans="2:17">
      <c r="B30" s="3" t="s">
        <v>175</v>
      </c>
      <c r="H30" s="94">
        <f>H8+H12+H16+H20+H24+H28</f>
        <v>17795631.800000001</v>
      </c>
    </row>
    <row r="32" spans="2:17" ht="15">
      <c r="F32" s="224" t="s">
        <v>53</v>
      </c>
      <c r="G32" s="224"/>
      <c r="H32" s="161" t="str">
        <f>IF('2013 Rate Design'!C26-'2016 Area Rate Design'!H30&lt;1,"YES","NO")</f>
        <v>YES</v>
      </c>
    </row>
  </sheetData>
  <mergeCells count="3">
    <mergeCell ref="D3:N3"/>
    <mergeCell ref="P3:Q3"/>
    <mergeCell ref="F32:G32"/>
  </mergeCells>
  <pageMargins left="0.25" right="0.25" top="0.75" bottom="0.75" header="0.3" footer="0.3"/>
  <pageSetup scale="66" orientation="landscape" r:id="rId1"/>
</worksheet>
</file>

<file path=xl/worksheets/sheet24.xml><?xml version="1.0" encoding="utf-8"?>
<worksheet xmlns="http://schemas.openxmlformats.org/spreadsheetml/2006/main" xmlns:r="http://schemas.openxmlformats.org/officeDocument/2006/relationships">
  <dimension ref="B3:O49"/>
  <sheetViews>
    <sheetView view="pageBreakPreview" topLeftCell="A19" zoomScale="60" zoomScaleNormal="100" workbookViewId="0">
      <selection activeCell="A19" sqref="A19:P50"/>
    </sheetView>
  </sheetViews>
  <sheetFormatPr defaultRowHeight="15"/>
  <cols>
    <col min="1" max="1" width="2.7109375" customWidth="1"/>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3.28515625" bestFit="1" customWidth="1"/>
    <col min="15" max="15" width="10.42578125" bestFit="1" customWidth="1"/>
  </cols>
  <sheetData>
    <row r="3" spans="2:15" ht="18">
      <c r="B3" s="233" t="s">
        <v>138</v>
      </c>
      <c r="C3" s="233"/>
      <c r="D3" s="233"/>
      <c r="E3" s="233"/>
      <c r="F3" s="233"/>
      <c r="G3" s="233"/>
      <c r="H3" s="233"/>
      <c r="I3" s="233"/>
      <c r="J3" s="233"/>
      <c r="K3" s="233"/>
      <c r="L3" s="233"/>
      <c r="M3" s="233"/>
      <c r="N3" s="233"/>
      <c r="O3" s="233"/>
    </row>
    <row r="4" spans="2:15" ht="15.75" thickBot="1">
      <c r="B4" s="149" t="s">
        <v>139</v>
      </c>
    </row>
    <row r="5" spans="2:15" ht="15.75" thickBot="1">
      <c r="B5" s="108" t="s">
        <v>125</v>
      </c>
      <c r="C5" s="227" t="s">
        <v>126</v>
      </c>
      <c r="D5" s="109"/>
      <c r="E5" s="229" t="s">
        <v>127</v>
      </c>
      <c r="F5" s="230"/>
      <c r="G5" s="229" t="s">
        <v>128</v>
      </c>
      <c r="H5" s="232"/>
      <c r="I5" s="230"/>
      <c r="J5" s="227" t="s">
        <v>129</v>
      </c>
      <c r="K5" s="150"/>
      <c r="L5" s="231"/>
      <c r="M5" s="231"/>
      <c r="N5" s="231"/>
      <c r="O5" s="231"/>
    </row>
    <row r="6" spans="2:15" ht="39" thickBot="1">
      <c r="B6" s="111"/>
      <c r="C6" s="228"/>
      <c r="D6" s="162" t="s">
        <v>133</v>
      </c>
      <c r="E6" s="113" t="s">
        <v>9</v>
      </c>
      <c r="F6" s="114" t="s">
        <v>12</v>
      </c>
      <c r="G6" s="162" t="s">
        <v>134</v>
      </c>
      <c r="H6" s="229" t="s">
        <v>135</v>
      </c>
      <c r="I6" s="230"/>
      <c r="J6" s="228"/>
      <c r="K6" s="151"/>
      <c r="L6" s="231"/>
      <c r="M6" s="231"/>
      <c r="N6" s="231"/>
      <c r="O6" s="231"/>
    </row>
    <row r="7" spans="2:15">
      <c r="B7" s="116"/>
      <c r="C7" s="116"/>
      <c r="D7" s="116"/>
      <c r="E7" s="116"/>
      <c r="F7" s="117"/>
      <c r="G7" s="116"/>
      <c r="H7" s="118" t="s">
        <v>9</v>
      </c>
      <c r="I7" s="118" t="s">
        <v>12</v>
      </c>
      <c r="J7" s="119"/>
      <c r="K7" s="152"/>
      <c r="L7" s="155"/>
      <c r="M7" s="155"/>
      <c r="N7" s="155"/>
      <c r="O7" s="155"/>
    </row>
    <row r="8" spans="2:15">
      <c r="B8" s="121"/>
      <c r="C8" s="121"/>
      <c r="D8" s="121"/>
      <c r="E8" s="121"/>
      <c r="F8" s="122"/>
      <c r="G8" s="121"/>
      <c r="H8" s="121"/>
      <c r="I8" s="121"/>
      <c r="J8" s="121"/>
      <c r="K8" s="153"/>
      <c r="L8" s="155"/>
      <c r="M8" s="155"/>
      <c r="N8" s="155"/>
      <c r="O8" s="155"/>
    </row>
    <row r="9" spans="2:15">
      <c r="B9" s="124" t="s">
        <v>8</v>
      </c>
      <c r="C9" s="124" t="s">
        <v>136</v>
      </c>
      <c r="D9" s="125">
        <f>'Existing Rates &amp; Forecast Vols'!F7</f>
        <v>17537</v>
      </c>
      <c r="E9" s="126">
        <f>'Existing Rates &amp; Forecast Vols'!G7</f>
        <v>144126043</v>
      </c>
      <c r="F9" s="127"/>
      <c r="G9" s="128">
        <f>'2016 Area Rate Design'!P6</f>
        <v>19.241640204446242</v>
      </c>
      <c r="H9" s="129">
        <f>'2016 Area Rate Design'!Q6</f>
        <v>1.9389969050617531E-2</v>
      </c>
      <c r="I9" s="129"/>
      <c r="J9" s="130">
        <f t="shared" ref="J9:J14" si="0">G9*D9*12+H9*E9+I9*F9</f>
        <v>6843887.2443424575</v>
      </c>
      <c r="K9" s="153"/>
      <c r="L9" s="156"/>
      <c r="M9" s="156"/>
      <c r="N9" s="157"/>
      <c r="O9" s="157"/>
    </row>
    <row r="10" spans="2:15">
      <c r="B10" s="124" t="s">
        <v>10</v>
      </c>
      <c r="C10" s="124" t="s">
        <v>136</v>
      </c>
      <c r="D10" s="125">
        <f>'Existing Rates &amp; Forecast Vols'!F8</f>
        <v>1633</v>
      </c>
      <c r="E10" s="126">
        <f>'Existing Rates &amp; Forecast Vols'!G8</f>
        <v>48895781</v>
      </c>
      <c r="F10" s="127"/>
      <c r="G10" s="128">
        <f>'2016 Area Rate Design'!P10</f>
        <v>27.14663958803666</v>
      </c>
      <c r="H10" s="129">
        <f>'2016 Area Rate Design'!Q10</f>
        <v>2.2149619415240386E-2</v>
      </c>
      <c r="I10" s="129"/>
      <c r="J10" s="130">
        <f t="shared" si="0"/>
        <v>1614988.4895281084</v>
      </c>
      <c r="K10" s="153"/>
      <c r="L10" s="156"/>
      <c r="M10" s="156"/>
      <c r="N10" s="157"/>
      <c r="O10" s="157"/>
    </row>
    <row r="11" spans="2:15">
      <c r="B11" s="124" t="s">
        <v>11</v>
      </c>
      <c r="C11" s="124" t="s">
        <v>136</v>
      </c>
      <c r="D11" s="125">
        <f>'Existing Rates &amp; Forecast Vols'!F9</f>
        <v>149</v>
      </c>
      <c r="E11" s="126">
        <f>'Existing Rates &amp; Forecast Vols'!G9</f>
        <v>135605948</v>
      </c>
      <c r="F11" s="127">
        <f>'Existing Rates &amp; Forecast Vols'!H9</f>
        <v>379702</v>
      </c>
      <c r="G11" s="128">
        <f>'2016 Area Rate Design'!P14</f>
        <v>145.83999999999997</v>
      </c>
      <c r="H11" s="129"/>
      <c r="I11" s="129">
        <f>'2016 Area Rate Design'!Q14</f>
        <v>6.4249508364599928</v>
      </c>
      <c r="J11" s="130">
        <f t="shared" si="0"/>
        <v>2700328.6025055321</v>
      </c>
      <c r="K11" s="153"/>
      <c r="L11" s="156"/>
      <c r="M11" s="156"/>
      <c r="N11" s="157"/>
      <c r="O11" s="157"/>
    </row>
    <row r="12" spans="2:15">
      <c r="B12" s="124" t="s">
        <v>13</v>
      </c>
      <c r="C12" s="124" t="s">
        <v>136</v>
      </c>
      <c r="D12" s="125">
        <f>'Existing Rates &amp; Forecast Vols'!F10</f>
        <v>25</v>
      </c>
      <c r="E12" s="126">
        <f>'Existing Rates &amp; Forecast Vols'!G10</f>
        <v>946114</v>
      </c>
      <c r="F12" s="127"/>
      <c r="G12" s="128">
        <f>'2016 Area Rate Design'!P18</f>
        <v>31.659999999999997</v>
      </c>
      <c r="H12" s="129">
        <f>'2016 Area Rate Design'!Q18</f>
        <v>1.7193809398211565E-2</v>
      </c>
      <c r="I12" s="129"/>
      <c r="J12" s="130">
        <f t="shared" si="0"/>
        <v>25765.303784979536</v>
      </c>
      <c r="K12" s="153"/>
      <c r="L12" s="156"/>
      <c r="M12" s="156"/>
      <c r="N12" s="157"/>
      <c r="O12" s="157"/>
    </row>
    <row r="13" spans="2:15">
      <c r="B13" s="124" t="s">
        <v>14</v>
      </c>
      <c r="C13" s="124" t="s">
        <v>137</v>
      </c>
      <c r="D13" s="125">
        <f>'Existing Rates &amp; Forecast Vols'!F11</f>
        <v>920</v>
      </c>
      <c r="E13" s="126">
        <f>'Existing Rates &amp; Forecast Vols'!G11</f>
        <v>747706</v>
      </c>
      <c r="F13" s="127">
        <f>'Existing Rates &amp; Forecast Vols'!H11</f>
        <v>2294</v>
      </c>
      <c r="G13" s="128">
        <f>'2016 Area Rate Design'!P22</f>
        <v>4.8901117683708515</v>
      </c>
      <c r="H13" s="129"/>
      <c r="I13" s="129">
        <f>'2016 Area Rate Design'!Q22</f>
        <v>5.6684148616740941</v>
      </c>
      <c r="J13" s="130">
        <f t="shared" si="0"/>
        <v>66990.177615494569</v>
      </c>
      <c r="K13" s="153"/>
      <c r="L13" s="156"/>
      <c r="M13" s="156"/>
      <c r="N13" s="157"/>
      <c r="O13" s="157"/>
    </row>
    <row r="14" spans="2:15">
      <c r="B14" s="124" t="s">
        <v>15</v>
      </c>
      <c r="C14" s="124" t="s">
        <v>137</v>
      </c>
      <c r="D14" s="125">
        <f>'Existing Rates &amp; Forecast Vols'!F12</f>
        <v>3696</v>
      </c>
      <c r="E14" s="126">
        <f>'Existing Rates &amp; Forecast Vols'!G12</f>
        <v>2687821</v>
      </c>
      <c r="F14" s="127">
        <f>'Existing Rates &amp; Forecast Vols'!H12</f>
        <v>7670</v>
      </c>
      <c r="G14" s="128">
        <f>'2016 Area Rate Design'!P26</f>
        <v>4.7589955591308497</v>
      </c>
      <c r="H14" s="129"/>
      <c r="I14" s="129">
        <f>'2016 Area Rate Design'!Q26</f>
        <v>10.370865683458156</v>
      </c>
      <c r="J14" s="130">
        <f t="shared" si="0"/>
        <v>290615.51083069551</v>
      </c>
      <c r="K14" s="153"/>
      <c r="L14" s="156"/>
      <c r="M14" s="156"/>
      <c r="N14" s="157"/>
      <c r="O14" s="157"/>
    </row>
    <row r="15" spans="2:15" ht="15.75" thickBot="1">
      <c r="B15" s="134"/>
      <c r="C15" s="134"/>
      <c r="D15" s="135"/>
      <c r="E15" s="126"/>
      <c r="F15" s="127"/>
      <c r="G15" s="128"/>
      <c r="H15" s="129"/>
      <c r="I15" s="129"/>
      <c r="J15" s="136"/>
      <c r="K15" s="153"/>
      <c r="L15" s="156"/>
      <c r="M15" s="156"/>
      <c r="N15" s="157"/>
      <c r="O15" s="157"/>
    </row>
    <row r="16" spans="2:15" ht="15.75" thickTop="1">
      <c r="B16" s="121"/>
      <c r="C16" s="121"/>
      <c r="D16" s="121"/>
      <c r="E16" s="134"/>
      <c r="F16" s="138"/>
      <c r="G16" s="134"/>
      <c r="H16" s="134"/>
      <c r="I16" s="134"/>
      <c r="J16" s="139"/>
      <c r="K16" s="153"/>
      <c r="L16" s="155"/>
      <c r="M16" s="155"/>
      <c r="N16" s="155"/>
      <c r="O16" s="155"/>
    </row>
    <row r="17" spans="2:15" ht="15.75" thickBot="1">
      <c r="B17" s="141" t="s">
        <v>27</v>
      </c>
      <c r="C17" s="142"/>
      <c r="D17" s="143">
        <f>SUM(D9:D14)</f>
        <v>23960</v>
      </c>
      <c r="E17" s="143">
        <f>SUM(E9:E14)</f>
        <v>333009413</v>
      </c>
      <c r="F17" s="143">
        <f>SUM(F9:F14)</f>
        <v>389666</v>
      </c>
      <c r="G17" s="144"/>
      <c r="H17" s="144"/>
      <c r="I17" s="144"/>
      <c r="J17" s="145">
        <f>SUM(J9:J14)</f>
        <v>11542575.328607267</v>
      </c>
      <c r="K17" s="154"/>
      <c r="L17" s="158"/>
      <c r="M17" s="158"/>
      <c r="N17" s="158"/>
      <c r="O17" s="159"/>
    </row>
    <row r="20" spans="2:15" ht="15.75" thickBot="1">
      <c r="B20" s="149" t="s">
        <v>17</v>
      </c>
    </row>
    <row r="21" spans="2:15" ht="15.75" thickBot="1">
      <c r="B21" s="108" t="s">
        <v>125</v>
      </c>
      <c r="C21" s="227" t="s">
        <v>126</v>
      </c>
      <c r="D21" s="109"/>
      <c r="E21" s="229" t="s">
        <v>127</v>
      </c>
      <c r="F21" s="230"/>
      <c r="G21" s="229" t="s">
        <v>128</v>
      </c>
      <c r="H21" s="232"/>
      <c r="I21" s="230"/>
      <c r="J21" s="227" t="s">
        <v>129</v>
      </c>
      <c r="K21" s="150"/>
      <c r="L21" s="231"/>
      <c r="M21" s="231"/>
      <c r="N21" s="231"/>
      <c r="O21" s="231"/>
    </row>
    <row r="22" spans="2:15" ht="39" thickBot="1">
      <c r="B22" s="111"/>
      <c r="C22" s="228"/>
      <c r="D22" s="162" t="s">
        <v>133</v>
      </c>
      <c r="E22" s="113" t="s">
        <v>9</v>
      </c>
      <c r="F22" s="114" t="s">
        <v>12</v>
      </c>
      <c r="G22" s="162" t="s">
        <v>134</v>
      </c>
      <c r="H22" s="229" t="s">
        <v>135</v>
      </c>
      <c r="I22" s="230"/>
      <c r="J22" s="228"/>
      <c r="K22" s="151"/>
      <c r="L22" s="231"/>
      <c r="M22" s="231"/>
      <c r="N22" s="231"/>
      <c r="O22" s="231"/>
    </row>
    <row r="23" spans="2:15">
      <c r="B23" s="116"/>
      <c r="C23" s="116"/>
      <c r="D23" s="116"/>
      <c r="E23" s="116"/>
      <c r="F23" s="117"/>
      <c r="G23" s="116"/>
      <c r="H23" s="118" t="s">
        <v>9</v>
      </c>
      <c r="I23" s="118" t="s">
        <v>12</v>
      </c>
      <c r="J23" s="119"/>
      <c r="K23" s="152"/>
      <c r="L23" s="155"/>
      <c r="M23" s="155"/>
      <c r="N23" s="155"/>
      <c r="O23" s="155"/>
    </row>
    <row r="24" spans="2:15">
      <c r="B24" s="121"/>
      <c r="C24" s="121"/>
      <c r="D24" s="121"/>
      <c r="E24" s="121"/>
      <c r="F24" s="122"/>
      <c r="G24" s="121"/>
      <c r="H24" s="121"/>
      <c r="I24" s="121"/>
      <c r="J24" s="121"/>
      <c r="K24" s="153"/>
      <c r="L24" s="155"/>
      <c r="M24" s="155"/>
      <c r="N24" s="155"/>
      <c r="O24" s="155"/>
    </row>
    <row r="25" spans="2:15">
      <c r="B25" s="124" t="s">
        <v>8</v>
      </c>
      <c r="C25" s="124" t="s">
        <v>136</v>
      </c>
      <c r="D25" s="125">
        <f>'Existing Rates &amp; Forecast Vols'!F21</f>
        <v>8152</v>
      </c>
      <c r="E25" s="126">
        <f>'Existing Rates &amp; Forecast Vols'!G21</f>
        <v>64161933</v>
      </c>
      <c r="F25" s="127"/>
      <c r="G25" s="128">
        <f>'2016 Area Rate Design'!P7</f>
        <v>19.241640204446234</v>
      </c>
      <c r="H25" s="129">
        <f>'2016 Area Rate Design'!Q7</f>
        <v>1.9389969050617527E-2</v>
      </c>
      <c r="I25" s="129"/>
      <c r="J25" s="130">
        <f t="shared" ref="J25:J30" si="1">G25*D25*12+H25*E25+I25*F25</f>
        <v>3126392.1064575436</v>
      </c>
      <c r="K25" s="153"/>
      <c r="L25" s="156"/>
      <c r="M25" s="156"/>
      <c r="N25" s="157"/>
      <c r="O25" s="157"/>
    </row>
    <row r="26" spans="2:15">
      <c r="B26" s="124" t="s">
        <v>10</v>
      </c>
      <c r="C26" s="124" t="s">
        <v>136</v>
      </c>
      <c r="D26" s="125">
        <f>'Existing Rates &amp; Forecast Vols'!F22</f>
        <v>888</v>
      </c>
      <c r="E26" s="126">
        <f>'Existing Rates &amp; Forecast Vols'!G22</f>
        <v>23558821</v>
      </c>
      <c r="F26" s="127"/>
      <c r="G26" s="128">
        <f>'2016 Area Rate Design'!P11</f>
        <v>27.146639588036663</v>
      </c>
      <c r="H26" s="129">
        <f>'2016 Area Rate Design'!Q11</f>
        <v>2.2149619415240386E-2</v>
      </c>
      <c r="I26" s="129"/>
      <c r="J26" s="130">
        <f t="shared" si="1"/>
        <v>811093.51047189161</v>
      </c>
      <c r="K26" s="153"/>
      <c r="L26" s="156"/>
      <c r="M26" s="156"/>
      <c r="N26" s="157"/>
      <c r="O26" s="157"/>
    </row>
    <row r="27" spans="2:15">
      <c r="B27" s="124" t="s">
        <v>11</v>
      </c>
      <c r="C27" s="124" t="s">
        <v>136</v>
      </c>
      <c r="D27" s="125">
        <f>'Existing Rates &amp; Forecast Vols'!F23</f>
        <v>79</v>
      </c>
      <c r="E27" s="126">
        <f>'Existing Rates &amp; Forecast Vols'!G23</f>
        <v>88694743</v>
      </c>
      <c r="F27" s="127">
        <f>'Existing Rates &amp; Forecast Vols'!H23</f>
        <v>311664</v>
      </c>
      <c r="G27" s="128">
        <f>'2016 Area Rate Design'!P15</f>
        <v>145.84000000000003</v>
      </c>
      <c r="H27" s="129"/>
      <c r="I27" s="129">
        <f>'2016 Area Rate Design'!Q15</f>
        <v>6.4249508364599928</v>
      </c>
      <c r="J27" s="130">
        <f t="shared" si="1"/>
        <v>2140682.1974944673</v>
      </c>
      <c r="K27" s="153"/>
      <c r="L27" s="156"/>
      <c r="M27" s="156"/>
      <c r="N27" s="157"/>
      <c r="O27" s="157"/>
    </row>
    <row r="28" spans="2:15">
      <c r="B28" s="124" t="s">
        <v>13</v>
      </c>
      <c r="C28" s="124" t="s">
        <v>136</v>
      </c>
      <c r="D28" s="125">
        <f>'Existing Rates &amp; Forecast Vols'!F24</f>
        <v>14</v>
      </c>
      <c r="E28" s="126">
        <f>'Existing Rates &amp; Forecast Vols'!G24</f>
        <v>581815</v>
      </c>
      <c r="F28" s="127"/>
      <c r="G28" s="128">
        <f>'2016 Area Rate Design'!P19</f>
        <v>31.660000000000004</v>
      </c>
      <c r="H28" s="129">
        <f>'2016 Area Rate Design'!Q19</f>
        <v>1.7193809398211565E-2</v>
      </c>
      <c r="I28" s="129"/>
      <c r="J28" s="130">
        <f t="shared" si="1"/>
        <v>15322.496215020463</v>
      </c>
      <c r="K28" s="153"/>
      <c r="L28" s="156"/>
      <c r="M28" s="156"/>
      <c r="N28" s="157"/>
      <c r="O28" s="157"/>
    </row>
    <row r="29" spans="2:15">
      <c r="B29" s="124" t="s">
        <v>14</v>
      </c>
      <c r="C29" s="124" t="s">
        <v>137</v>
      </c>
      <c r="D29" s="125">
        <f>'Existing Rates &amp; Forecast Vols'!F25</f>
        <v>41</v>
      </c>
      <c r="E29" s="126">
        <f>'Existing Rates &amp; Forecast Vols'!G25</f>
        <v>13331</v>
      </c>
      <c r="F29" s="127">
        <f>'Existing Rates &amp; Forecast Vols'!H25</f>
        <v>40</v>
      </c>
      <c r="G29" s="128">
        <f>'2016 Area Rate Design'!P23</f>
        <v>4.8901117683708533</v>
      </c>
      <c r="H29" s="129"/>
      <c r="I29" s="129">
        <f>'2016 Area Rate Design'!Q23</f>
        <v>5.6684148616740915</v>
      </c>
      <c r="J29" s="130">
        <f t="shared" si="1"/>
        <v>2632.6715845054232</v>
      </c>
      <c r="K29" s="153"/>
      <c r="L29" s="156"/>
      <c r="M29" s="156"/>
      <c r="N29" s="157"/>
      <c r="O29" s="157"/>
    </row>
    <row r="30" spans="2:15">
      <c r="B30" s="124" t="s">
        <v>15</v>
      </c>
      <c r="C30" s="124" t="s">
        <v>137</v>
      </c>
      <c r="D30" s="125">
        <f>'Existing Rates &amp; Forecast Vols'!F26</f>
        <v>2000</v>
      </c>
      <c r="E30" s="126">
        <f>'Existing Rates &amp; Forecast Vols'!G26</f>
        <v>1787582</v>
      </c>
      <c r="F30" s="127">
        <f>'Existing Rates &amp; Forecast Vols'!H26</f>
        <v>4119</v>
      </c>
      <c r="G30" s="128">
        <f>'2016 Area Rate Design'!P27</f>
        <v>4.7589955591308497</v>
      </c>
      <c r="H30" s="129"/>
      <c r="I30" s="129">
        <f>'2016 Area Rate Design'!Q27</f>
        <v>10.370865683458154</v>
      </c>
      <c r="J30" s="130">
        <f t="shared" si="1"/>
        <v>156933.48916930455</v>
      </c>
      <c r="K30" s="153"/>
      <c r="L30" s="156"/>
      <c r="M30" s="156"/>
      <c r="N30" s="157"/>
      <c r="O30" s="157"/>
    </row>
    <row r="31" spans="2:15" ht="15.75" thickBot="1">
      <c r="B31" s="134"/>
      <c r="C31" s="134"/>
      <c r="D31" s="135"/>
      <c r="E31" s="126"/>
      <c r="F31" s="127"/>
      <c r="G31" s="128"/>
      <c r="H31" s="129"/>
      <c r="I31" s="129"/>
      <c r="J31" s="136"/>
      <c r="K31" s="153"/>
      <c r="L31" s="156"/>
      <c r="M31" s="156"/>
      <c r="N31" s="157"/>
      <c r="O31" s="157"/>
    </row>
    <row r="32" spans="2:15" ht="15.75" thickTop="1">
      <c r="B32" s="121"/>
      <c r="C32" s="121"/>
      <c r="D32" s="121"/>
      <c r="E32" s="134"/>
      <c r="F32" s="138"/>
      <c r="G32" s="134"/>
      <c r="H32" s="134"/>
      <c r="I32" s="134"/>
      <c r="J32" s="139"/>
      <c r="K32" s="153"/>
      <c r="L32" s="155"/>
      <c r="M32" s="155"/>
      <c r="N32" s="155"/>
      <c r="O32" s="155"/>
    </row>
    <row r="33" spans="2:15" ht="15.75" thickBot="1">
      <c r="B33" s="141" t="s">
        <v>27</v>
      </c>
      <c r="C33" s="142"/>
      <c r="D33" s="143">
        <f>SUM(D25:D30)</f>
        <v>11174</v>
      </c>
      <c r="E33" s="143">
        <f>SUM(E25:E30)</f>
        <v>178798225</v>
      </c>
      <c r="F33" s="143">
        <f>SUM(F25:F30)</f>
        <v>315823</v>
      </c>
      <c r="G33" s="144"/>
      <c r="H33" s="144"/>
      <c r="I33" s="144"/>
      <c r="J33" s="145">
        <f>SUM(J25:J30)</f>
        <v>6253056.4713927321</v>
      </c>
      <c r="K33" s="154"/>
      <c r="L33" s="158"/>
      <c r="M33" s="158"/>
      <c r="N33" s="158"/>
      <c r="O33" s="159"/>
    </row>
    <row r="36" spans="2:15" ht="15.75" thickBot="1">
      <c r="B36" s="149" t="s">
        <v>177</v>
      </c>
    </row>
    <row r="37" spans="2:15" ht="15.75" thickBot="1">
      <c r="B37" s="108" t="s">
        <v>125</v>
      </c>
      <c r="C37" s="227" t="s">
        <v>126</v>
      </c>
      <c r="D37" s="109"/>
      <c r="E37" s="229" t="s">
        <v>127</v>
      </c>
      <c r="F37" s="230"/>
      <c r="G37" s="229" t="s">
        <v>128</v>
      </c>
      <c r="H37" s="232"/>
      <c r="I37" s="230"/>
      <c r="J37" s="227" t="s">
        <v>129</v>
      </c>
      <c r="K37" s="110"/>
      <c r="L37" s="227" t="s">
        <v>130</v>
      </c>
      <c r="M37" s="227" t="s">
        <v>131</v>
      </c>
      <c r="N37" s="227" t="s">
        <v>27</v>
      </c>
      <c r="O37" s="227" t="s">
        <v>132</v>
      </c>
    </row>
    <row r="38" spans="2:15" ht="39" thickBot="1">
      <c r="B38" s="111"/>
      <c r="C38" s="228"/>
      <c r="D38" s="162" t="s">
        <v>133</v>
      </c>
      <c r="E38" s="113" t="s">
        <v>9</v>
      </c>
      <c r="F38" s="114" t="s">
        <v>12</v>
      </c>
      <c r="G38" s="162" t="s">
        <v>134</v>
      </c>
      <c r="H38" s="229" t="s">
        <v>135</v>
      </c>
      <c r="I38" s="230"/>
      <c r="J38" s="228"/>
      <c r="K38" s="115"/>
      <c r="L38" s="228"/>
      <c r="M38" s="228"/>
      <c r="N38" s="228"/>
      <c r="O38" s="228"/>
    </row>
    <row r="39" spans="2:15">
      <c r="B39" s="116"/>
      <c r="C39" s="116"/>
      <c r="D39" s="116"/>
      <c r="E39" s="116"/>
      <c r="F39" s="117"/>
      <c r="G39" s="116"/>
      <c r="H39" s="118" t="s">
        <v>9</v>
      </c>
      <c r="I39" s="118" t="s">
        <v>12</v>
      </c>
      <c r="J39" s="119"/>
      <c r="K39" s="120"/>
      <c r="L39" s="119"/>
      <c r="M39" s="119"/>
      <c r="N39" s="119"/>
      <c r="O39" s="117"/>
    </row>
    <row r="40" spans="2:15">
      <c r="B40" s="121"/>
      <c r="C40" s="121"/>
      <c r="D40" s="121"/>
      <c r="E40" s="121"/>
      <c r="F40" s="122"/>
      <c r="G40" s="121"/>
      <c r="H40" s="121"/>
      <c r="I40" s="121"/>
      <c r="J40" s="121"/>
      <c r="K40" s="123"/>
      <c r="L40" s="121"/>
      <c r="M40" s="121"/>
      <c r="N40" s="121"/>
      <c r="O40" s="122"/>
    </row>
    <row r="41" spans="2:15">
      <c r="B41" s="124" t="s">
        <v>8</v>
      </c>
      <c r="C41" s="124" t="s">
        <v>136</v>
      </c>
      <c r="D41" s="125">
        <f>D9+D25</f>
        <v>25689</v>
      </c>
      <c r="E41" s="125">
        <f>E9+E25</f>
        <v>208287976</v>
      </c>
      <c r="F41" s="125"/>
      <c r="G41" s="128"/>
      <c r="H41" s="129"/>
      <c r="I41" s="129"/>
      <c r="J41" s="125">
        <f>J9+J25</f>
        <v>9970279.3508000001</v>
      </c>
      <c r="K41" s="123"/>
      <c r="L41" s="125">
        <f>'2016 R|C Ratio Adj.'!H5</f>
        <v>9970279.3508000001</v>
      </c>
      <c r="M41" s="131"/>
      <c r="N41" s="132">
        <f t="shared" ref="N41:N46" si="2">SUM(L41:M41)</f>
        <v>9970279.3508000001</v>
      </c>
      <c r="O41" s="133">
        <f t="shared" ref="O41:O46" si="3">N41-J41</f>
        <v>0</v>
      </c>
    </row>
    <row r="42" spans="2:15">
      <c r="B42" s="124" t="s">
        <v>10</v>
      </c>
      <c r="C42" s="124" t="s">
        <v>136</v>
      </c>
      <c r="D42" s="125">
        <f t="shared" ref="D42:F46" si="4">D10+D26</f>
        <v>2521</v>
      </c>
      <c r="E42" s="125">
        <f t="shared" si="4"/>
        <v>72454602</v>
      </c>
      <c r="F42" s="125"/>
      <c r="G42" s="128"/>
      <c r="H42" s="129"/>
      <c r="I42" s="129"/>
      <c r="J42" s="125">
        <f t="shared" ref="J42:J46" si="5">J10+J26</f>
        <v>2426082</v>
      </c>
      <c r="K42" s="123"/>
      <c r="L42" s="125">
        <f>'2016 R|C Ratio Adj.'!H6</f>
        <v>2426082</v>
      </c>
      <c r="M42" s="131"/>
      <c r="N42" s="132">
        <f t="shared" si="2"/>
        <v>2426082</v>
      </c>
      <c r="O42" s="133">
        <f t="shared" si="3"/>
        <v>0</v>
      </c>
    </row>
    <row r="43" spans="2:15">
      <c r="B43" s="124" t="s">
        <v>11</v>
      </c>
      <c r="C43" s="124" t="s">
        <v>136</v>
      </c>
      <c r="D43" s="125">
        <f t="shared" si="4"/>
        <v>228</v>
      </c>
      <c r="E43" s="125">
        <f t="shared" si="4"/>
        <v>224300691</v>
      </c>
      <c r="F43" s="125">
        <f t="shared" si="4"/>
        <v>691366</v>
      </c>
      <c r="G43" s="128"/>
      <c r="H43" s="129"/>
      <c r="I43" s="129"/>
      <c r="J43" s="125">
        <f t="shared" si="5"/>
        <v>4841010.7999999989</v>
      </c>
      <c r="K43" s="123"/>
      <c r="L43" s="125">
        <f>'2016 R|C Ratio Adj.'!H7</f>
        <v>4608377</v>
      </c>
      <c r="M43" s="131">
        <f>'2014 Rate Design'!D14</f>
        <v>232633.8</v>
      </c>
      <c r="N43" s="132">
        <f t="shared" si="2"/>
        <v>4841010.8</v>
      </c>
      <c r="O43" s="133">
        <f t="shared" si="3"/>
        <v>0</v>
      </c>
    </row>
    <row r="44" spans="2:15">
      <c r="B44" s="124" t="s">
        <v>13</v>
      </c>
      <c r="C44" s="124" t="s">
        <v>136</v>
      </c>
      <c r="D44" s="125">
        <f t="shared" si="4"/>
        <v>39</v>
      </c>
      <c r="E44" s="125">
        <f t="shared" si="4"/>
        <v>1527929</v>
      </c>
      <c r="F44" s="125"/>
      <c r="G44" s="128"/>
      <c r="H44" s="129"/>
      <c r="I44" s="129"/>
      <c r="J44" s="125">
        <f t="shared" si="5"/>
        <v>41087.800000000003</v>
      </c>
      <c r="K44" s="123"/>
      <c r="L44" s="125">
        <f>'2016 R|C Ratio Adj.'!H8</f>
        <v>41087.799999999996</v>
      </c>
      <c r="M44" s="131"/>
      <c r="N44" s="132">
        <f t="shared" si="2"/>
        <v>41087.799999999996</v>
      </c>
      <c r="O44" s="133">
        <f t="shared" si="3"/>
        <v>0</v>
      </c>
    </row>
    <row r="45" spans="2:15">
      <c r="B45" s="124" t="s">
        <v>14</v>
      </c>
      <c r="C45" s="124" t="s">
        <v>137</v>
      </c>
      <c r="D45" s="125">
        <f t="shared" si="4"/>
        <v>961</v>
      </c>
      <c r="E45" s="125">
        <f t="shared" si="4"/>
        <v>761037</v>
      </c>
      <c r="F45" s="125">
        <f t="shared" si="4"/>
        <v>2334</v>
      </c>
      <c r="G45" s="128"/>
      <c r="H45" s="129"/>
      <c r="I45" s="129"/>
      <c r="J45" s="125">
        <f t="shared" si="5"/>
        <v>69622.849199999997</v>
      </c>
      <c r="K45" s="123"/>
      <c r="L45" s="125">
        <f>'2016 R|C Ratio Adj.'!H9</f>
        <v>69622.849199999997</v>
      </c>
      <c r="M45" s="131"/>
      <c r="N45" s="132">
        <f t="shared" si="2"/>
        <v>69622.849199999997</v>
      </c>
      <c r="O45" s="133">
        <f t="shared" si="3"/>
        <v>0</v>
      </c>
    </row>
    <row r="46" spans="2:15">
      <c r="B46" s="124" t="s">
        <v>15</v>
      </c>
      <c r="C46" s="124" t="s">
        <v>137</v>
      </c>
      <c r="D46" s="125">
        <f t="shared" si="4"/>
        <v>5696</v>
      </c>
      <c r="E46" s="125">
        <f t="shared" si="4"/>
        <v>4475403</v>
      </c>
      <c r="F46" s="125">
        <f t="shared" si="4"/>
        <v>11789</v>
      </c>
      <c r="G46" s="128"/>
      <c r="H46" s="129"/>
      <c r="I46" s="129"/>
      <c r="J46" s="125">
        <f t="shared" si="5"/>
        <v>447549.00000000006</v>
      </c>
      <c r="K46" s="123"/>
      <c r="L46" s="125">
        <f>'2016 R|C Ratio Adj.'!H10</f>
        <v>447549</v>
      </c>
      <c r="M46" s="131"/>
      <c r="N46" s="132">
        <f t="shared" si="2"/>
        <v>447549</v>
      </c>
      <c r="O46" s="133">
        <f t="shared" si="3"/>
        <v>0</v>
      </c>
    </row>
    <row r="47" spans="2:15" ht="15.75" thickBot="1">
      <c r="B47" s="134"/>
      <c r="C47" s="134"/>
      <c r="D47" s="135"/>
      <c r="E47" s="126"/>
      <c r="F47" s="127"/>
      <c r="G47" s="128"/>
      <c r="H47" s="129"/>
      <c r="I47" s="129"/>
      <c r="J47" s="136"/>
      <c r="K47" s="123"/>
      <c r="L47" s="131"/>
      <c r="M47" s="131"/>
      <c r="N47" s="137"/>
      <c r="O47" s="137"/>
    </row>
    <row r="48" spans="2:15" ht="15.75" thickTop="1">
      <c r="B48" s="121"/>
      <c r="C48" s="121"/>
      <c r="D48" s="121"/>
      <c r="E48" s="134"/>
      <c r="F48" s="138"/>
      <c r="G48" s="134"/>
      <c r="H48" s="134"/>
      <c r="I48" s="134"/>
      <c r="J48" s="139"/>
      <c r="K48" s="123"/>
      <c r="L48" s="140"/>
      <c r="M48" s="140"/>
      <c r="N48" s="121"/>
      <c r="O48" s="122"/>
    </row>
    <row r="49" spans="2:15" ht="15.75" thickBot="1">
      <c r="B49" s="141" t="s">
        <v>27</v>
      </c>
      <c r="C49" s="142"/>
      <c r="D49" s="143">
        <f>SUM(D41:D46)</f>
        <v>35134</v>
      </c>
      <c r="E49" s="143">
        <f>SUM(E41:E46)</f>
        <v>511807638</v>
      </c>
      <c r="F49" s="143">
        <f>SUM(F41:F46)</f>
        <v>705489</v>
      </c>
      <c r="G49" s="144"/>
      <c r="H49" s="144"/>
      <c r="I49" s="144"/>
      <c r="J49" s="147">
        <f>SUM(J41:J46)</f>
        <v>17795631.799999997</v>
      </c>
      <c r="K49" s="146"/>
      <c r="L49" s="147">
        <f>SUM(L41:L47)</f>
        <v>17562998</v>
      </c>
      <c r="M49" s="147">
        <f>SUM(M41:M47)</f>
        <v>232633.8</v>
      </c>
      <c r="N49" s="147">
        <f>L49+M49</f>
        <v>17795631.800000001</v>
      </c>
      <c r="O49" s="148">
        <f>N49-J49</f>
        <v>0</v>
      </c>
    </row>
  </sheetData>
  <mergeCells count="28">
    <mergeCell ref="B3:O3"/>
    <mergeCell ref="C5:C6"/>
    <mergeCell ref="E5:F5"/>
    <mergeCell ref="G5:I5"/>
    <mergeCell ref="J5:J6"/>
    <mergeCell ref="L5:L6"/>
    <mergeCell ref="M5:M6"/>
    <mergeCell ref="N5:N6"/>
    <mergeCell ref="O5:O6"/>
    <mergeCell ref="H6:I6"/>
    <mergeCell ref="C21:C22"/>
    <mergeCell ref="E21:F21"/>
    <mergeCell ref="G21:I21"/>
    <mergeCell ref="J21:J22"/>
    <mergeCell ref="L21:L22"/>
    <mergeCell ref="C37:C38"/>
    <mergeCell ref="E37:F37"/>
    <mergeCell ref="G37:I37"/>
    <mergeCell ref="J37:J38"/>
    <mergeCell ref="L37:L38"/>
    <mergeCell ref="O37:O38"/>
    <mergeCell ref="H38:I38"/>
    <mergeCell ref="N21:N22"/>
    <mergeCell ref="O21:O22"/>
    <mergeCell ref="H22:I22"/>
    <mergeCell ref="M37:M38"/>
    <mergeCell ref="N37:N38"/>
    <mergeCell ref="M21:M22"/>
  </mergeCells>
  <pageMargins left="0.7" right="0.7" top="0.75" bottom="0.75" header="0.3" footer="0.3"/>
  <pageSetup scale="52"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B5:R23"/>
  <sheetViews>
    <sheetView view="pageBreakPreview" zoomScale="60" zoomScaleNormal="100" workbookViewId="0">
      <selection activeCell="S42" sqref="S42"/>
    </sheetView>
  </sheetViews>
  <sheetFormatPr defaultRowHeight="12.75"/>
  <cols>
    <col min="1" max="1" width="2.7109375" style="180" customWidth="1"/>
    <col min="2" max="2" width="28.140625" style="180" bestFit="1" customWidth="1"/>
    <col min="3" max="3" width="8.7109375" style="180" bestFit="1" customWidth="1"/>
    <col min="4" max="4" width="1.28515625" style="180" customWidth="1"/>
    <col min="5" max="5" width="9.42578125" style="180" bestFit="1" customWidth="1"/>
    <col min="6" max="6" width="9" style="180" bestFit="1" customWidth="1"/>
    <col min="7" max="7" width="1.28515625" style="180" customWidth="1"/>
    <col min="8" max="8" width="9.42578125" style="180" bestFit="1" customWidth="1"/>
    <col min="9" max="9" width="9" style="180" bestFit="1" customWidth="1"/>
    <col min="10" max="10" width="1.28515625" style="180" customWidth="1"/>
    <col min="11" max="11" width="9.42578125" style="180" bestFit="1" customWidth="1"/>
    <col min="12" max="12" width="9" style="180" bestFit="1" customWidth="1"/>
    <col min="13" max="13" width="1.28515625" style="180" customWidth="1"/>
    <col min="14" max="14" width="9.85546875" style="180" bestFit="1" customWidth="1"/>
    <col min="15" max="15" width="8.7109375" style="180" bestFit="1" customWidth="1"/>
    <col min="16" max="16" width="1.28515625" style="180" customWidth="1"/>
    <col min="17" max="17" width="9.85546875" style="180" bestFit="1" customWidth="1"/>
    <col min="18" max="18" width="8.7109375" style="180" bestFit="1" customWidth="1"/>
    <col min="19" max="16384" width="9.140625" style="180"/>
  </cols>
  <sheetData>
    <row r="5" spans="2:18">
      <c r="B5" s="181" t="s">
        <v>21</v>
      </c>
      <c r="C5" s="182"/>
      <c r="D5" s="182"/>
      <c r="E5" s="234" t="s">
        <v>148</v>
      </c>
      <c r="F5" s="234"/>
      <c r="G5" s="182"/>
      <c r="H5" s="234">
        <v>2013</v>
      </c>
      <c r="I5" s="234"/>
      <c r="J5" s="182"/>
      <c r="K5" s="234">
        <v>2014</v>
      </c>
      <c r="L5" s="234"/>
      <c r="M5" s="182"/>
      <c r="N5" s="234">
        <v>2015</v>
      </c>
      <c r="O5" s="234"/>
      <c r="P5" s="182"/>
      <c r="Q5" s="234">
        <v>2016</v>
      </c>
      <c r="R5" s="234"/>
    </row>
    <row r="6" spans="2:18" ht="25.5">
      <c r="B6" s="181"/>
      <c r="C6" s="183" t="s">
        <v>73</v>
      </c>
      <c r="D6" s="184"/>
      <c r="E6" s="185" t="s">
        <v>149</v>
      </c>
      <c r="F6" s="185" t="s">
        <v>150</v>
      </c>
      <c r="G6" s="184"/>
      <c r="H6" s="185" t="s">
        <v>149</v>
      </c>
      <c r="I6" s="185" t="s">
        <v>150</v>
      </c>
      <c r="J6" s="184"/>
      <c r="K6" s="185" t="s">
        <v>149</v>
      </c>
      <c r="L6" s="185" t="s">
        <v>150</v>
      </c>
      <c r="M6" s="184"/>
      <c r="N6" s="185" t="s">
        <v>149</v>
      </c>
      <c r="O6" s="185" t="s">
        <v>150</v>
      </c>
      <c r="P6" s="184"/>
      <c r="Q6" s="185" t="s">
        <v>149</v>
      </c>
      <c r="R6" s="185" t="s">
        <v>150</v>
      </c>
    </row>
    <row r="7" spans="2:18">
      <c r="B7" s="182" t="s">
        <v>94</v>
      </c>
      <c r="C7" s="186">
        <f>'Target MSC Change'!D6</f>
        <v>19.241640204446238</v>
      </c>
      <c r="D7" s="182"/>
      <c r="E7" s="187">
        <f>'2014 Area Rate Design'!D6</f>
        <v>1.52E-2</v>
      </c>
      <c r="F7" s="188">
        <f>'2014 Area Rate Design'!E6</f>
        <v>18.170000000000002</v>
      </c>
      <c r="G7" s="182"/>
      <c r="H7" s="187">
        <f>'2013 Area Rate Design'!Q6</f>
        <v>1.9869056968150129E-2</v>
      </c>
      <c r="I7" s="188">
        <f>'2013 Area Rate Design'!P6</f>
        <v>18.437910051111562</v>
      </c>
      <c r="J7" s="182"/>
      <c r="K7" s="187">
        <f>'2014 Area Rate Design'!Q6</f>
        <v>1.9863756206468283E-2</v>
      </c>
      <c r="L7" s="188">
        <f>'2014 Area Rate Design'!P6</f>
        <v>18.705820102223122</v>
      </c>
      <c r="M7" s="182"/>
      <c r="N7" s="187">
        <f>'2015 Area Rate Design'!Q6</f>
        <v>1.9704066020430271E-2</v>
      </c>
      <c r="O7" s="188">
        <f>'2015 Area Rate Design'!P6</f>
        <v>18.973730153334682</v>
      </c>
      <c r="P7" s="182"/>
      <c r="Q7" s="187">
        <f>'2016 Area Rate Design'!Q6</f>
        <v>1.9389969050617531E-2</v>
      </c>
      <c r="R7" s="188">
        <f>'2016 Area Rate Design'!P6</f>
        <v>19.241640204446242</v>
      </c>
    </row>
    <row r="8" spans="2:18">
      <c r="B8" s="182" t="s">
        <v>178</v>
      </c>
      <c r="C8" s="182"/>
      <c r="D8" s="182"/>
      <c r="E8" s="187">
        <f>'2014 Area Rate Design'!D7</f>
        <v>2.1999999999999999E-2</v>
      </c>
      <c r="F8" s="188">
        <f>'2014 Area Rate Design'!E7</f>
        <v>15.57</v>
      </c>
      <c r="G8" s="182"/>
      <c r="H8" s="187">
        <f>'2013 Area Rate Design'!Q7</f>
        <v>2.4542766680718413E-2</v>
      </c>
      <c r="I8" s="188">
        <f>'2013 Area Rate Design'!P7</f>
        <v>16.487910051111559</v>
      </c>
      <c r="J8" s="182"/>
      <c r="K8" s="187">
        <f>'2014 Area Rate Design'!Q7</f>
        <v>2.2478313294783673E-2</v>
      </c>
      <c r="L8" s="188">
        <f>'2014 Area Rate Design'!P7</f>
        <v>17.405820102223117</v>
      </c>
      <c r="M8" s="182"/>
      <c r="N8" s="187">
        <f>'2015 Area Rate Design'!Q7</f>
        <v>2.0760720284977285E-2</v>
      </c>
      <c r="O8" s="188">
        <f>'2015 Area Rate Design'!P7</f>
        <v>18.323730153334676</v>
      </c>
      <c r="P8" s="182"/>
      <c r="Q8" s="187">
        <f>'2016 Area Rate Design'!Q7</f>
        <v>1.9389969050617527E-2</v>
      </c>
      <c r="R8" s="188">
        <f>'2016 Area Rate Design'!P7</f>
        <v>19.241640204446234</v>
      </c>
    </row>
    <row r="9" spans="2:18">
      <c r="B9" s="182"/>
      <c r="C9" s="182"/>
      <c r="D9" s="182"/>
      <c r="E9" s="187"/>
      <c r="F9" s="188"/>
      <c r="G9" s="182"/>
      <c r="H9" s="187"/>
      <c r="I9" s="188"/>
      <c r="J9" s="182"/>
      <c r="K9" s="187"/>
      <c r="L9" s="188"/>
      <c r="M9" s="182"/>
      <c r="N9" s="187"/>
      <c r="O9" s="188"/>
      <c r="P9" s="182"/>
      <c r="Q9" s="187"/>
      <c r="R9" s="188"/>
    </row>
    <row r="10" spans="2:18">
      <c r="B10" s="182" t="s">
        <v>96</v>
      </c>
      <c r="C10" s="186">
        <f>'Target MSC Change'!D7</f>
        <v>27.14663958803666</v>
      </c>
      <c r="D10" s="182"/>
      <c r="E10" s="187">
        <f>'2014 Area Rate Design'!D10</f>
        <v>2.2599999999999999E-2</v>
      </c>
      <c r="F10" s="188">
        <f>'2014 Area Rate Design'!E10</f>
        <v>20.98</v>
      </c>
      <c r="G10" s="182"/>
      <c r="H10" s="187">
        <f>'2013 Area Rate Design'!Q10</f>
        <v>2.4776618222861688E-2</v>
      </c>
      <c r="I10" s="188">
        <f>'2013 Area Rate Design'!P10</f>
        <v>22.521659897009165</v>
      </c>
      <c r="J10" s="182"/>
      <c r="K10" s="187">
        <f>'2014 Area Rate Design'!Q10</f>
        <v>2.3731686085387706E-2</v>
      </c>
      <c r="L10" s="188">
        <f>'2014 Area Rate Design'!P10</f>
        <v>24.06331979401833</v>
      </c>
      <c r="M10" s="182"/>
      <c r="N10" s="187">
        <f>'2015 Area Rate Design'!Q10</f>
        <v>2.2856019816180604E-2</v>
      </c>
      <c r="O10" s="188">
        <f>'2015 Area Rate Design'!P10</f>
        <v>25.604979691027495</v>
      </c>
      <c r="P10" s="182"/>
      <c r="Q10" s="187">
        <f>'2016 Area Rate Design'!Q10</f>
        <v>2.2149619415240386E-2</v>
      </c>
      <c r="R10" s="188">
        <f>'2016 Area Rate Design'!P10</f>
        <v>27.14663958803666</v>
      </c>
    </row>
    <row r="11" spans="2:18">
      <c r="B11" s="182" t="s">
        <v>179</v>
      </c>
      <c r="C11" s="182"/>
      <c r="D11" s="182"/>
      <c r="E11" s="187">
        <f>'2014 Area Rate Design'!D11</f>
        <v>1.4500000000000001E-2</v>
      </c>
      <c r="F11" s="188">
        <f>'2014 Area Rate Design'!E11</f>
        <v>30.89</v>
      </c>
      <c r="G11" s="182"/>
      <c r="H11" s="187">
        <f>'2013 Area Rate Design'!Q11</f>
        <v>1.9274475842828653E-2</v>
      </c>
      <c r="I11" s="188">
        <f>'2013 Area Rate Design'!P11</f>
        <v>29.954159897009166</v>
      </c>
      <c r="J11" s="182"/>
      <c r="K11" s="187">
        <f>'2014 Area Rate Design'!Q11</f>
        <v>2.0584164377304495E-2</v>
      </c>
      <c r="L11" s="188">
        <f>'2014 Area Rate Design'!P11</f>
        <v>29.018319794018332</v>
      </c>
      <c r="M11" s="182"/>
      <c r="N11" s="187">
        <f>'2015 Area Rate Design'!Q11</f>
        <v>2.1542545568108411E-2</v>
      </c>
      <c r="O11" s="188">
        <f>'2015 Area Rate Design'!P11</f>
        <v>28.082479691027498</v>
      </c>
      <c r="P11" s="182"/>
      <c r="Q11" s="187">
        <f>'2016 Area Rate Design'!Q11</f>
        <v>2.2149619415240386E-2</v>
      </c>
      <c r="R11" s="188">
        <f>'2016 Area Rate Design'!P11</f>
        <v>27.146639588036663</v>
      </c>
    </row>
    <row r="12" spans="2:18">
      <c r="B12" s="182"/>
      <c r="C12" s="182"/>
      <c r="D12" s="182"/>
      <c r="E12" s="187"/>
      <c r="F12" s="188"/>
      <c r="G12" s="182"/>
      <c r="H12" s="187"/>
      <c r="I12" s="188"/>
      <c r="J12" s="182"/>
      <c r="K12" s="187"/>
      <c r="L12" s="188"/>
      <c r="M12" s="182"/>
      <c r="N12" s="187"/>
      <c r="O12" s="188"/>
      <c r="P12" s="182"/>
      <c r="Q12" s="187"/>
      <c r="R12" s="188"/>
    </row>
    <row r="13" spans="2:18">
      <c r="B13" s="182" t="s">
        <v>98</v>
      </c>
      <c r="C13" s="186">
        <f>'Target MSC Change'!D8</f>
        <v>145.84</v>
      </c>
      <c r="D13" s="182"/>
      <c r="E13" s="187">
        <f>'2014 Area Rate Design'!D14</f>
        <v>7.2561</v>
      </c>
      <c r="F13" s="188">
        <f>'2014 Area Rate Design'!E14</f>
        <v>133.68</v>
      </c>
      <c r="G13" s="182"/>
      <c r="H13" s="187">
        <f>'2013 Area Rate Design'!Q14</f>
        <v>7.3987562900920842</v>
      </c>
      <c r="I13" s="188">
        <f>'2013 Area Rate Design'!P14</f>
        <v>137.73333333333335</v>
      </c>
      <c r="J13" s="182"/>
      <c r="K13" s="187">
        <f>'2014 Area Rate Design'!Q14</f>
        <v>6.8369406073850918</v>
      </c>
      <c r="L13" s="188">
        <f>'2014 Area Rate Design'!P14</f>
        <v>141.78666666666669</v>
      </c>
      <c r="M13" s="182"/>
      <c r="N13" s="187">
        <f>'2015 Area Rate Design'!Q14</f>
        <v>6.4249508364599928</v>
      </c>
      <c r="O13" s="188">
        <f>'2015 Area Rate Design'!P14</f>
        <v>145.84000000000003</v>
      </c>
      <c r="P13" s="182"/>
      <c r="Q13" s="187">
        <f>'2016 Area Rate Design'!Q14</f>
        <v>6.4249508364599928</v>
      </c>
      <c r="R13" s="188">
        <f>'2016 Area Rate Design'!P14</f>
        <v>145.83999999999997</v>
      </c>
    </row>
    <row r="14" spans="2:18">
      <c r="B14" s="182" t="s">
        <v>180</v>
      </c>
      <c r="C14" s="182"/>
      <c r="D14" s="182"/>
      <c r="E14" s="187">
        <f>'2014 Area Rate Design'!D15</f>
        <v>2.7711999999999999</v>
      </c>
      <c r="F14" s="188">
        <f>'2014 Area Rate Design'!E15</f>
        <v>557.9</v>
      </c>
      <c r="G14" s="182"/>
      <c r="H14" s="187">
        <f>'2013 Area Rate Design'!Q15</f>
        <v>4.4494802066952062</v>
      </c>
      <c r="I14" s="188">
        <f>'2013 Area Rate Design'!P15</f>
        <v>420.54666666666662</v>
      </c>
      <c r="J14" s="182"/>
      <c r="K14" s="187">
        <f>'2014 Area Rate Design'!Q15</f>
        <v>5.5284823960889478</v>
      </c>
      <c r="L14" s="188">
        <f>'2014 Area Rate Design'!P15</f>
        <v>283.19333333333327</v>
      </c>
      <c r="M14" s="182"/>
      <c r="N14" s="187">
        <f>'2015 Area Rate Design'!Q15</f>
        <v>6.4249508364599928</v>
      </c>
      <c r="O14" s="188">
        <f>'2015 Area Rate Design'!P15</f>
        <v>145.83999999999995</v>
      </c>
      <c r="P14" s="182"/>
      <c r="Q14" s="187">
        <f>'2016 Area Rate Design'!Q15</f>
        <v>6.4249508364599928</v>
      </c>
      <c r="R14" s="188">
        <f>'2016 Area Rate Design'!P15</f>
        <v>145.84000000000003</v>
      </c>
    </row>
    <row r="15" spans="2:18">
      <c r="B15" s="182"/>
      <c r="C15" s="182"/>
      <c r="D15" s="182"/>
      <c r="E15" s="187"/>
      <c r="F15" s="188"/>
      <c r="G15" s="182"/>
      <c r="H15" s="187"/>
      <c r="I15" s="188"/>
      <c r="J15" s="182"/>
      <c r="K15" s="187"/>
      <c r="L15" s="188"/>
      <c r="M15" s="182"/>
      <c r="N15" s="187"/>
      <c r="O15" s="188"/>
      <c r="P15" s="182"/>
      <c r="Q15" s="187"/>
      <c r="R15" s="188"/>
    </row>
    <row r="16" spans="2:18">
      <c r="B16" s="182" t="s">
        <v>99</v>
      </c>
      <c r="C16" s="186">
        <v>31.66</v>
      </c>
      <c r="D16" s="182"/>
      <c r="E16" s="187">
        <f>'2014 Area Rate Design'!D18</f>
        <v>4.1300000000000003E-2</v>
      </c>
      <c r="F16" s="188">
        <f>'2014 Area Rate Design'!E18</f>
        <v>70.069999999999993</v>
      </c>
      <c r="G16" s="182"/>
      <c r="H16" s="187">
        <f>'2013 Area Rate Design'!Q18</f>
        <v>3.9951539616315077E-2</v>
      </c>
      <c r="I16" s="188">
        <f>'2013 Area Rate Design'!P18</f>
        <v>60.464999999999996</v>
      </c>
      <c r="J16" s="182"/>
      <c r="K16" s="187">
        <f>'2014 Area Rate Design'!Q18</f>
        <v>3.2014623268024796E-2</v>
      </c>
      <c r="L16" s="188">
        <f>'2014 Area Rate Design'!P18</f>
        <v>50.86</v>
      </c>
      <c r="M16" s="182"/>
      <c r="N16" s="187">
        <f>'2015 Area Rate Design'!Q18</f>
        <v>2.4403927233707195E-2</v>
      </c>
      <c r="O16" s="188">
        <f>'2015 Area Rate Design'!P18</f>
        <v>41.262499999999996</v>
      </c>
      <c r="P16" s="182"/>
      <c r="Q16" s="187">
        <f>'2016 Area Rate Design'!Q18</f>
        <v>1.7193809398211565E-2</v>
      </c>
      <c r="R16" s="188">
        <f>'2016 Area Rate Design'!P18</f>
        <v>31.659999999999997</v>
      </c>
    </row>
    <row r="17" spans="2:18">
      <c r="B17" s="182" t="s">
        <v>181</v>
      </c>
      <c r="C17" s="182"/>
      <c r="D17" s="182"/>
      <c r="E17" s="187">
        <f>'2014 Area Rate Design'!D19</f>
        <v>2.63E-2</v>
      </c>
      <c r="F17" s="188">
        <f>'2014 Area Rate Design'!E19</f>
        <v>51.63</v>
      </c>
      <c r="G17" s="182"/>
      <c r="H17" s="187">
        <f>'2013 Area Rate Design'!Q19</f>
        <v>2.8265857097960152E-2</v>
      </c>
      <c r="I17" s="188">
        <f>'2013 Area Rate Design'!P19</f>
        <v>46.635000000000005</v>
      </c>
      <c r="J17" s="182"/>
      <c r="K17" s="187">
        <f>'2014 Area Rate Design'!Q19</f>
        <v>2.5152876294691595E-2</v>
      </c>
      <c r="L17" s="188">
        <f>'2014 Area Rate Design'!P19</f>
        <v>41.64</v>
      </c>
      <c r="M17" s="182"/>
      <c r="N17" s="187">
        <f>'2015 Area Rate Design'!Q19</f>
        <v>2.1497030480837315E-2</v>
      </c>
      <c r="O17" s="188">
        <f>'2015 Area Rate Design'!P19</f>
        <v>36.652500000000003</v>
      </c>
      <c r="P17" s="182"/>
      <c r="Q17" s="187">
        <f>'2016 Area Rate Design'!Q19</f>
        <v>1.7193809398211565E-2</v>
      </c>
      <c r="R17" s="188">
        <f>'2016 Area Rate Design'!P19</f>
        <v>31.660000000000004</v>
      </c>
    </row>
    <row r="18" spans="2:18">
      <c r="B18" s="182"/>
      <c r="C18" s="182"/>
      <c r="D18" s="182"/>
      <c r="E18" s="187"/>
      <c r="F18" s="188"/>
      <c r="G18" s="182"/>
      <c r="H18" s="187"/>
      <c r="I18" s="188"/>
      <c r="J18" s="182"/>
      <c r="K18" s="187"/>
      <c r="L18" s="188"/>
      <c r="M18" s="182"/>
      <c r="N18" s="187"/>
      <c r="O18" s="188"/>
      <c r="P18" s="182"/>
      <c r="Q18" s="187"/>
      <c r="R18" s="188"/>
    </row>
    <row r="19" spans="2:18">
      <c r="B19" s="182" t="s">
        <v>100</v>
      </c>
      <c r="C19" s="186">
        <f>'Target MSC Change'!D10</f>
        <v>4.8901117683708524</v>
      </c>
      <c r="D19" s="182"/>
      <c r="E19" s="187">
        <f>'2014 Area Rate Design'!D22</f>
        <v>4.2721999999999998</v>
      </c>
      <c r="F19" s="188">
        <f>'2014 Area Rate Design'!E22</f>
        <v>3.79</v>
      </c>
      <c r="G19" s="182"/>
      <c r="H19" s="187">
        <f>'2013 Area Rate Design'!Q22</f>
        <v>5.0089303341902305</v>
      </c>
      <c r="I19" s="188">
        <f>'2013 Area Rate Design'!P22</f>
        <v>5</v>
      </c>
      <c r="J19" s="182"/>
      <c r="K19" s="187">
        <f>'2014 Area Rate Design'!Q22</f>
        <v>4.9489597257926317</v>
      </c>
      <c r="L19" s="188">
        <f>'2014 Area Rate Design'!P22</f>
        <v>5.0199999999999996</v>
      </c>
      <c r="M19" s="182"/>
      <c r="N19" s="187">
        <f>'2015 Area Rate Design'!Q22</f>
        <v>4.8395803770351362</v>
      </c>
      <c r="O19" s="188">
        <f>'2015 Area Rate Design'!P22</f>
        <v>5.05</v>
      </c>
      <c r="P19" s="182"/>
      <c r="Q19" s="187">
        <f>'2016 Area Rate Design'!Q22</f>
        <v>5.6684148616740941</v>
      </c>
      <c r="R19" s="188">
        <f>'2016 Area Rate Design'!P22</f>
        <v>4.8901117683708515</v>
      </c>
    </row>
    <row r="20" spans="2:18">
      <c r="B20" s="182" t="s">
        <v>182</v>
      </c>
      <c r="C20" s="182"/>
      <c r="D20" s="182"/>
      <c r="E20" s="187">
        <f>'2014 Area Rate Design'!D23</f>
        <v>7.0224000000000002</v>
      </c>
      <c r="F20" s="188">
        <f>'2014 Area Rate Design'!E23</f>
        <v>4.3</v>
      </c>
      <c r="G20" s="182"/>
      <c r="H20" s="187">
        <f>'2013 Area Rate Design'!Q23</f>
        <v>5.0089303341902447</v>
      </c>
      <c r="I20" s="188">
        <f>'2013 Area Rate Design'!P23</f>
        <v>5</v>
      </c>
      <c r="J20" s="182"/>
      <c r="K20" s="187">
        <f>'2014 Area Rate Design'!Q23</f>
        <v>4.9489597257926565</v>
      </c>
      <c r="L20" s="188">
        <f>'2014 Area Rate Design'!P23</f>
        <v>5.0199999999999996</v>
      </c>
      <c r="M20" s="182"/>
      <c r="N20" s="187">
        <f>'2015 Area Rate Design'!Q23</f>
        <v>4.8395803770351451</v>
      </c>
      <c r="O20" s="188">
        <f>'2015 Area Rate Design'!P23</f>
        <v>5.05</v>
      </c>
      <c r="P20" s="182"/>
      <c r="Q20" s="187">
        <f>'2016 Area Rate Design'!Q23</f>
        <v>5.6684148616740915</v>
      </c>
      <c r="R20" s="188">
        <f>'2016 Area Rate Design'!P23</f>
        <v>4.8901117683708533</v>
      </c>
    </row>
    <row r="21" spans="2:18">
      <c r="B21" s="182"/>
      <c r="C21" s="182"/>
      <c r="D21" s="182"/>
      <c r="E21" s="187"/>
      <c r="F21" s="188"/>
      <c r="G21" s="182"/>
      <c r="H21" s="187"/>
      <c r="I21" s="188"/>
      <c r="J21" s="182"/>
      <c r="K21" s="187"/>
      <c r="L21" s="188"/>
      <c r="M21" s="182"/>
      <c r="N21" s="187"/>
      <c r="O21" s="188"/>
      <c r="P21" s="182"/>
      <c r="Q21" s="187"/>
      <c r="R21" s="188"/>
    </row>
    <row r="22" spans="2:18">
      <c r="B22" s="182" t="s">
        <v>101</v>
      </c>
      <c r="C22" s="186">
        <f>'Target MSC Change'!D11</f>
        <v>4.7589955591308497</v>
      </c>
      <c r="D22" s="182"/>
      <c r="E22" s="187">
        <f>'2014 Area Rate Design'!D26</f>
        <v>9.6593999999999998</v>
      </c>
      <c r="F22" s="188">
        <f>'2014 Area Rate Design'!E26</f>
        <v>4.95</v>
      </c>
      <c r="G22" s="182"/>
      <c r="H22" s="187">
        <f>'2013 Area Rate Design'!Q26</f>
        <v>9.8093510899991507</v>
      </c>
      <c r="I22" s="188">
        <f>'2013 Area Rate Design'!P26</f>
        <v>5.53</v>
      </c>
      <c r="J22" s="182"/>
      <c r="K22" s="187">
        <f>'2014 Area Rate Design'!Q26</f>
        <v>9.9946509058406221</v>
      </c>
      <c r="L22" s="188">
        <f>'2014 Area Rate Design'!P26</f>
        <v>5.2755685345131802</v>
      </c>
      <c r="M22" s="182"/>
      <c r="N22" s="187">
        <f>'2015 Area Rate Design'!Q26</f>
        <v>10.24671480684437</v>
      </c>
      <c r="O22" s="188">
        <f>'2015 Area Rate Design'!P26</f>
        <v>4.9294646410070184</v>
      </c>
      <c r="P22" s="182"/>
      <c r="Q22" s="187">
        <f>'2016 Area Rate Design'!Q26</f>
        <v>10.370865683458156</v>
      </c>
      <c r="R22" s="188">
        <f>'2016 Area Rate Design'!P26</f>
        <v>4.7589955591308497</v>
      </c>
    </row>
    <row r="23" spans="2:18">
      <c r="B23" s="182" t="s">
        <v>183</v>
      </c>
      <c r="C23" s="182"/>
      <c r="D23" s="182"/>
      <c r="E23" s="187">
        <f>'2014 Area Rate Design'!D27</f>
        <v>8.7698</v>
      </c>
      <c r="F23" s="188">
        <f>'2014 Area Rate Design'!E27</f>
        <v>3.07</v>
      </c>
      <c r="G23" s="182"/>
      <c r="H23" s="187">
        <f>'2013 Area Rate Design'!Q27</f>
        <v>9.8093510899991525</v>
      </c>
      <c r="I23" s="188">
        <f>'2013 Area Rate Design'!P27</f>
        <v>3.61</v>
      </c>
      <c r="J23" s="182"/>
      <c r="K23" s="187">
        <f>'2014 Area Rate Design'!Q27</f>
        <v>9.9946509058406221</v>
      </c>
      <c r="L23" s="188">
        <f>'2014 Area Rate Design'!P27</f>
        <v>3.9891685345131802</v>
      </c>
      <c r="M23" s="182"/>
      <c r="N23" s="187">
        <f>'2015 Area Rate Design'!Q27</f>
        <v>10.24671480684437</v>
      </c>
      <c r="O23" s="188">
        <f>'2015 Area Rate Design'!P27</f>
        <v>4.5049526410070184</v>
      </c>
      <c r="P23" s="182"/>
      <c r="Q23" s="187">
        <f>'2016 Area Rate Design'!Q27</f>
        <v>10.370865683458154</v>
      </c>
      <c r="R23" s="188">
        <f>'2016 Area Rate Design'!P27</f>
        <v>4.7589955591308497</v>
      </c>
    </row>
  </sheetData>
  <mergeCells count="5">
    <mergeCell ref="E5:F5"/>
    <mergeCell ref="H5:I5"/>
    <mergeCell ref="K5:L5"/>
    <mergeCell ref="N5:O5"/>
    <mergeCell ref="Q5:R5"/>
  </mergeCells>
  <pageMargins left="0.25" right="0.25"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B2:H94"/>
  <sheetViews>
    <sheetView view="pageBreakPreview" zoomScale="60" zoomScaleNormal="100" workbookViewId="0">
      <selection sqref="A1:I95"/>
    </sheetView>
  </sheetViews>
  <sheetFormatPr defaultRowHeight="15"/>
  <cols>
    <col min="1" max="1" width="2.7109375" customWidth="1"/>
    <col min="2" max="2" width="22.42578125" customWidth="1"/>
    <col min="3" max="4" width="12.7109375" customWidth="1"/>
    <col min="5" max="5" width="13.85546875" bestFit="1" customWidth="1"/>
    <col min="6" max="6" width="12.7109375" bestFit="1" customWidth="1"/>
    <col min="7" max="7" width="13.85546875" bestFit="1" customWidth="1"/>
    <col min="9" max="9" width="3.28515625" customWidth="1"/>
  </cols>
  <sheetData>
    <row r="2" spans="2:8">
      <c r="B2" s="196" t="s">
        <v>0</v>
      </c>
      <c r="C2" s="196"/>
      <c r="D2" s="3" t="s">
        <v>114</v>
      </c>
      <c r="E2" s="3"/>
      <c r="F2" s="92">
        <f>E14/E68</f>
        <v>0.68039895389243721</v>
      </c>
      <c r="G2" s="3"/>
      <c r="H2" s="3"/>
    </row>
    <row r="3" spans="2:8" ht="15.75" thickBot="1">
      <c r="B3" s="3"/>
      <c r="C3" s="3"/>
      <c r="D3" s="3"/>
      <c r="E3" s="3"/>
      <c r="F3" s="3"/>
      <c r="G3" s="3"/>
      <c r="H3" s="3"/>
    </row>
    <row r="4" spans="2:8">
      <c r="B4" s="197" t="s">
        <v>20</v>
      </c>
      <c r="C4" s="198"/>
      <c r="D4" s="198"/>
      <c r="E4" s="198"/>
      <c r="F4" s="198"/>
      <c r="G4" s="198"/>
      <c r="H4" s="199"/>
    </row>
    <row r="5" spans="2:8">
      <c r="B5" s="20"/>
      <c r="C5" s="21"/>
      <c r="D5" s="21"/>
      <c r="E5" s="21"/>
      <c r="F5" s="21"/>
      <c r="G5" s="21"/>
      <c r="H5" s="11"/>
    </row>
    <row r="6" spans="2:8" ht="57">
      <c r="B6" s="31" t="s">
        <v>21</v>
      </c>
      <c r="C6" s="32" t="s">
        <v>22</v>
      </c>
      <c r="D6" s="32" t="s">
        <v>23</v>
      </c>
      <c r="E6" s="32" t="s">
        <v>24</v>
      </c>
      <c r="F6" s="32" t="s">
        <v>16</v>
      </c>
      <c r="G6" s="32" t="s">
        <v>25</v>
      </c>
      <c r="H6" s="33" t="s">
        <v>26</v>
      </c>
    </row>
    <row r="7" spans="2:8">
      <c r="B7" s="19" t="s">
        <v>8</v>
      </c>
      <c r="C7" s="14">
        <f>'Existing Rates &amp; Forecast Vols'!C7*'Existing Rates &amp; Forecast Vols'!F7*12</f>
        <v>3823767.4800000004</v>
      </c>
      <c r="D7" s="14">
        <f>'Existing Rates &amp; Forecast Vols'!D7*'Existing Rates &amp; Forecast Vols'!G7</f>
        <v>2190715.8536</v>
      </c>
      <c r="E7" s="34">
        <f>C7+D7</f>
        <v>6014483.3336000005</v>
      </c>
      <c r="F7" s="35"/>
      <c r="G7" s="34">
        <f>E7-F7</f>
        <v>6014483.3336000005</v>
      </c>
      <c r="H7" s="36">
        <f>G7/G$14</f>
        <v>0.55565099392887563</v>
      </c>
    </row>
    <row r="8" spans="2:8">
      <c r="B8" s="19" t="s">
        <v>10</v>
      </c>
      <c r="C8" s="14">
        <f>'Existing Rates &amp; Forecast Vols'!C8*'Existing Rates &amp; Forecast Vols'!F8*12</f>
        <v>411124.08000000007</v>
      </c>
      <c r="D8" s="14">
        <f>'Existing Rates &amp; Forecast Vols'!D8*'Existing Rates &amp; Forecast Vols'!G8</f>
        <v>1105044.6505999998</v>
      </c>
      <c r="E8" s="34">
        <f t="shared" ref="E8:E12" si="0">C8+D8</f>
        <v>1516168.7305999999</v>
      </c>
      <c r="F8" s="35"/>
      <c r="G8" s="34">
        <f t="shared" ref="G8:G12" si="1">E8-F8</f>
        <v>1516168.7305999999</v>
      </c>
      <c r="H8" s="36">
        <f t="shared" ref="H8:H12" si="2">G8/G$14</f>
        <v>0.14007199212197541</v>
      </c>
    </row>
    <row r="9" spans="2:8">
      <c r="B9" s="19" t="s">
        <v>11</v>
      </c>
      <c r="C9" s="14">
        <f>'Existing Rates &amp; Forecast Vols'!C9*'Existing Rates &amp; Forecast Vols'!F9*12</f>
        <v>239019.84</v>
      </c>
      <c r="D9" s="14">
        <f>'Existing Rates &amp; Forecast Vols'!D9*'Existing Rates &amp; Forecast Vols'!H9</f>
        <v>2755155.6822000002</v>
      </c>
      <c r="E9" s="34">
        <f t="shared" si="0"/>
        <v>2994175.5222</v>
      </c>
      <c r="F9" s="34">
        <f>'Existing Rates &amp; Forecast Vols'!D14*'Existing Rates &amp; Forecast Vols'!H14</f>
        <v>105984.59999999999</v>
      </c>
      <c r="G9" s="34">
        <f t="shared" si="1"/>
        <v>2888190.9221999999</v>
      </c>
      <c r="H9" s="36">
        <f t="shared" si="2"/>
        <v>0.26682693550938957</v>
      </c>
    </row>
    <row r="10" spans="2:8">
      <c r="B10" s="19" t="s">
        <v>13</v>
      </c>
      <c r="C10" s="14">
        <f>'Existing Rates &amp; Forecast Vols'!C10*'Existing Rates &amp; Forecast Vols'!F10*12</f>
        <v>21020.999999999996</v>
      </c>
      <c r="D10" s="14">
        <f>'Existing Rates &amp; Forecast Vols'!D10*'Existing Rates &amp; Forecast Vols'!G10</f>
        <v>39074.508200000004</v>
      </c>
      <c r="E10" s="34">
        <f t="shared" si="0"/>
        <v>60095.508199999997</v>
      </c>
      <c r="F10" s="35"/>
      <c r="G10" s="34">
        <f t="shared" si="1"/>
        <v>60095.508199999997</v>
      </c>
      <c r="H10" s="36">
        <f t="shared" si="2"/>
        <v>5.5519530123968042E-3</v>
      </c>
    </row>
    <row r="11" spans="2:8">
      <c r="B11" s="19" t="s">
        <v>14</v>
      </c>
      <c r="C11" s="14">
        <f>'Existing Rates &amp; Forecast Vols'!C11*'Existing Rates &amp; Forecast Vols'!F11*12</f>
        <v>41841.600000000006</v>
      </c>
      <c r="D11" s="14">
        <f>'Existing Rates &amp; Forecast Vols'!D11*'Existing Rates &amp; Forecast Vols'!H11</f>
        <v>9800.4267999999993</v>
      </c>
      <c r="E11" s="34">
        <f t="shared" si="0"/>
        <v>51642.026800000007</v>
      </c>
      <c r="F11" s="35"/>
      <c r="G11" s="34">
        <f t="shared" si="1"/>
        <v>51642.026800000007</v>
      </c>
      <c r="H11" s="36">
        <f t="shared" si="2"/>
        <v>4.7709739853491499E-3</v>
      </c>
    </row>
    <row r="12" spans="2:8">
      <c r="B12" s="19" t="s">
        <v>15</v>
      </c>
      <c r="C12" s="14">
        <f>'Existing Rates &amp; Forecast Vols'!C12*'Existing Rates &amp; Forecast Vols'!F12*12</f>
        <v>219542.40000000002</v>
      </c>
      <c r="D12" s="14">
        <f>'Existing Rates &amp; Forecast Vols'!D12*'Existing Rates &amp; Forecast Vols'!H12</f>
        <v>74087.597999999998</v>
      </c>
      <c r="E12" s="34">
        <f t="shared" si="0"/>
        <v>293629.99800000002</v>
      </c>
      <c r="F12" s="35"/>
      <c r="G12" s="34">
        <f t="shared" si="1"/>
        <v>293629.99800000002</v>
      </c>
      <c r="H12" s="36">
        <f t="shared" si="2"/>
        <v>2.712715144201356E-2</v>
      </c>
    </row>
    <row r="13" spans="2:8">
      <c r="B13" s="20"/>
      <c r="C13" s="21"/>
      <c r="D13" s="21"/>
      <c r="E13" s="21"/>
      <c r="F13" s="21"/>
      <c r="G13" s="21"/>
      <c r="H13" s="11"/>
    </row>
    <row r="14" spans="2:8" ht="15.75" thickBot="1">
      <c r="B14" s="22" t="s">
        <v>27</v>
      </c>
      <c r="C14" s="37">
        <f t="shared" ref="C14:H14" si="3">SUM(C7:C12)</f>
        <v>4756316.4000000004</v>
      </c>
      <c r="D14" s="37">
        <f t="shared" si="3"/>
        <v>6173878.7193999998</v>
      </c>
      <c r="E14" s="37">
        <f t="shared" si="3"/>
        <v>10930195.119399998</v>
      </c>
      <c r="F14" s="37">
        <f t="shared" si="3"/>
        <v>105984.59999999999</v>
      </c>
      <c r="G14" s="37">
        <f t="shared" si="3"/>
        <v>10824210.519399999</v>
      </c>
      <c r="H14" s="38">
        <f t="shared" si="3"/>
        <v>1.0000000000000002</v>
      </c>
    </row>
    <row r="15" spans="2:8" ht="15.75" thickBot="1">
      <c r="B15" s="3"/>
      <c r="C15" s="39"/>
      <c r="D15" s="39"/>
      <c r="E15" s="39"/>
      <c r="F15" s="39"/>
      <c r="G15" s="39"/>
      <c r="H15" s="3"/>
    </row>
    <row r="16" spans="2:8">
      <c r="B16" s="200" t="s">
        <v>28</v>
      </c>
      <c r="C16" s="201"/>
      <c r="D16" s="201"/>
      <c r="E16" s="201"/>
      <c r="F16" s="201"/>
      <c r="G16" s="202"/>
      <c r="H16" s="3"/>
    </row>
    <row r="17" spans="2:8">
      <c r="B17" s="40"/>
      <c r="C17" s="41"/>
      <c r="D17" s="41"/>
      <c r="E17" s="41"/>
      <c r="F17" s="41"/>
      <c r="G17" s="42"/>
      <c r="H17" s="3"/>
    </row>
    <row r="18" spans="2:8" ht="28.5">
      <c r="B18" s="203" t="s">
        <v>21</v>
      </c>
      <c r="C18" s="32" t="s">
        <v>22</v>
      </c>
      <c r="D18" s="32" t="s">
        <v>23</v>
      </c>
      <c r="E18" s="32" t="s">
        <v>25</v>
      </c>
      <c r="F18" s="32" t="s">
        <v>22</v>
      </c>
      <c r="G18" s="33" t="s">
        <v>23</v>
      </c>
      <c r="H18" s="3"/>
    </row>
    <row r="19" spans="2:8">
      <c r="B19" s="203"/>
      <c r="C19" s="43" t="s">
        <v>29</v>
      </c>
      <c r="D19" s="43" t="s">
        <v>29</v>
      </c>
      <c r="E19" s="43" t="s">
        <v>29</v>
      </c>
      <c r="F19" s="43" t="s">
        <v>30</v>
      </c>
      <c r="G19" s="44" t="s">
        <v>30</v>
      </c>
      <c r="H19" s="3"/>
    </row>
    <row r="20" spans="2:8">
      <c r="B20" s="19" t="s">
        <v>8</v>
      </c>
      <c r="C20" s="34">
        <f>C7</f>
        <v>3823767.4800000004</v>
      </c>
      <c r="D20" s="34">
        <f>D7</f>
        <v>2190715.8536</v>
      </c>
      <c r="E20" s="34">
        <f>C20+D20</f>
        <v>6014483.3336000005</v>
      </c>
      <c r="F20" s="45">
        <f>C20/E20</f>
        <v>0.63575992615000965</v>
      </c>
      <c r="G20" s="36">
        <f>D20/E20</f>
        <v>0.3642400738499903</v>
      </c>
      <c r="H20" s="3"/>
    </row>
    <row r="21" spans="2:8">
      <c r="B21" s="19" t="s">
        <v>10</v>
      </c>
      <c r="C21" s="34">
        <f t="shared" ref="C21:D25" si="4">C8</f>
        <v>411124.08000000007</v>
      </c>
      <c r="D21" s="34">
        <f t="shared" si="4"/>
        <v>1105044.6505999998</v>
      </c>
      <c r="E21" s="34">
        <f t="shared" ref="E21:E25" si="5">C21+D21</f>
        <v>1516168.7305999999</v>
      </c>
      <c r="F21" s="45">
        <f t="shared" ref="F21:F25" si="6">C21/E21</f>
        <v>0.27115984633010087</v>
      </c>
      <c r="G21" s="36">
        <f t="shared" ref="G21:G27" si="7">D21/E21</f>
        <v>0.72884015366989918</v>
      </c>
      <c r="H21" s="3"/>
    </row>
    <row r="22" spans="2:8">
      <c r="B22" s="19" t="s">
        <v>11</v>
      </c>
      <c r="C22" s="34">
        <f t="shared" si="4"/>
        <v>239019.84</v>
      </c>
      <c r="D22" s="34">
        <f>D9-F9</f>
        <v>2649171.0822000001</v>
      </c>
      <c r="E22" s="34">
        <f t="shared" si="5"/>
        <v>2888190.9221999999</v>
      </c>
      <c r="F22" s="45">
        <f t="shared" si="6"/>
        <v>8.2757631485779068E-2</v>
      </c>
      <c r="G22" s="36">
        <f t="shared" si="7"/>
        <v>0.91724236851422103</v>
      </c>
      <c r="H22" s="3"/>
    </row>
    <row r="23" spans="2:8">
      <c r="B23" s="19" t="s">
        <v>13</v>
      </c>
      <c r="C23" s="34">
        <f t="shared" si="4"/>
        <v>21020.999999999996</v>
      </c>
      <c r="D23" s="34">
        <f t="shared" si="4"/>
        <v>39074.508200000004</v>
      </c>
      <c r="E23" s="34">
        <f t="shared" si="5"/>
        <v>60095.508199999997</v>
      </c>
      <c r="F23" s="45">
        <f t="shared" si="6"/>
        <v>0.34979319802141212</v>
      </c>
      <c r="G23" s="36">
        <f t="shared" si="7"/>
        <v>0.65020680197858793</v>
      </c>
      <c r="H23" s="3"/>
    </row>
    <row r="24" spans="2:8">
      <c r="B24" s="19" t="s">
        <v>14</v>
      </c>
      <c r="C24" s="34">
        <f t="shared" si="4"/>
        <v>41841.600000000006</v>
      </c>
      <c r="D24" s="34">
        <f t="shared" si="4"/>
        <v>9800.4267999999993</v>
      </c>
      <c r="E24" s="34">
        <f t="shared" si="5"/>
        <v>51642.026800000007</v>
      </c>
      <c r="F24" s="45">
        <f t="shared" si="6"/>
        <v>0.81022381561523071</v>
      </c>
      <c r="G24" s="36">
        <f t="shared" si="7"/>
        <v>0.18977618438476931</v>
      </c>
      <c r="H24" s="3"/>
    </row>
    <row r="25" spans="2:8">
      <c r="B25" s="19" t="s">
        <v>15</v>
      </c>
      <c r="C25" s="34">
        <f t="shared" si="4"/>
        <v>219542.40000000002</v>
      </c>
      <c r="D25" s="34">
        <f t="shared" si="4"/>
        <v>74087.597999999998</v>
      </c>
      <c r="E25" s="34">
        <f t="shared" si="5"/>
        <v>293629.99800000002</v>
      </c>
      <c r="F25" s="45">
        <f t="shared" si="6"/>
        <v>0.7476838248658777</v>
      </c>
      <c r="G25" s="36">
        <f t="shared" si="7"/>
        <v>0.25231617513412236</v>
      </c>
      <c r="H25" s="3"/>
    </row>
    <row r="26" spans="2:8">
      <c r="B26" s="20"/>
      <c r="C26" s="46"/>
      <c r="D26" s="46"/>
      <c r="E26" s="21"/>
      <c r="F26" s="21"/>
      <c r="G26" s="11"/>
      <c r="H26" s="3"/>
    </row>
    <row r="27" spans="2:8" ht="15.75" thickBot="1">
      <c r="B27" s="22" t="s">
        <v>27</v>
      </c>
      <c r="C27" s="37">
        <f>SUM(C20:C25)</f>
        <v>4756316.4000000004</v>
      </c>
      <c r="D27" s="37">
        <f>SUM(D20:D25)</f>
        <v>6067894.1194000002</v>
      </c>
      <c r="E27" s="37">
        <f>SUM(E20:E25)</f>
        <v>10824210.519399999</v>
      </c>
      <c r="F27" s="47">
        <f>C27/E27</f>
        <v>0.43941462441767526</v>
      </c>
      <c r="G27" s="48">
        <f t="shared" si="7"/>
        <v>0.56058537558232491</v>
      </c>
      <c r="H27" s="3"/>
    </row>
    <row r="29" spans="2:8">
      <c r="B29" s="61" t="s">
        <v>17</v>
      </c>
      <c r="C29" s="3"/>
      <c r="D29" s="3" t="s">
        <v>114</v>
      </c>
      <c r="E29" s="3"/>
      <c r="F29" s="92">
        <f>E41/E68</f>
        <v>0.31960104610756285</v>
      </c>
      <c r="G29" s="3"/>
      <c r="H29" s="3"/>
    </row>
    <row r="30" spans="2:8" ht="15.75" thickBot="1">
      <c r="B30" s="3"/>
      <c r="C30" s="3"/>
      <c r="D30" s="3"/>
      <c r="E30" s="3"/>
      <c r="F30" s="3"/>
      <c r="G30" s="3"/>
      <c r="H30" s="3"/>
    </row>
    <row r="31" spans="2:8">
      <c r="B31" s="197" t="s">
        <v>20</v>
      </c>
      <c r="C31" s="198"/>
      <c r="D31" s="198"/>
      <c r="E31" s="198"/>
      <c r="F31" s="198"/>
      <c r="G31" s="198"/>
      <c r="H31" s="199"/>
    </row>
    <row r="32" spans="2:8">
      <c r="B32" s="20"/>
      <c r="C32" s="21"/>
      <c r="D32" s="21"/>
      <c r="E32" s="21"/>
      <c r="F32" s="21"/>
      <c r="G32" s="21"/>
      <c r="H32" s="11"/>
    </row>
    <row r="33" spans="2:8" ht="57">
      <c r="B33" s="31" t="s">
        <v>21</v>
      </c>
      <c r="C33" s="32" t="s">
        <v>22</v>
      </c>
      <c r="D33" s="32" t="s">
        <v>23</v>
      </c>
      <c r="E33" s="32" t="s">
        <v>24</v>
      </c>
      <c r="F33" s="32" t="s">
        <v>16</v>
      </c>
      <c r="G33" s="32" t="s">
        <v>25</v>
      </c>
      <c r="H33" s="33" t="s">
        <v>26</v>
      </c>
    </row>
    <row r="34" spans="2:8">
      <c r="B34" s="19" t="s">
        <v>8</v>
      </c>
      <c r="C34" s="14">
        <f>'Existing Rates &amp; Forecast Vols'!C21*'Existing Rates &amp; Forecast Vols'!F21*12</f>
        <v>1523119.68</v>
      </c>
      <c r="D34" s="14">
        <f>'Existing Rates &amp; Forecast Vols'!D21*'Existing Rates &amp; Forecast Vols'!G21</f>
        <v>1411562.5259999998</v>
      </c>
      <c r="E34" s="34">
        <f>C34+D34</f>
        <v>2934682.2059999998</v>
      </c>
      <c r="F34" s="35"/>
      <c r="G34" s="34">
        <f>E34-F34</f>
        <v>2934682.2059999998</v>
      </c>
      <c r="H34" s="36">
        <f>G34/G$41</f>
        <v>0.58605184235926455</v>
      </c>
    </row>
    <row r="35" spans="2:8">
      <c r="B35" s="19" t="s">
        <v>10</v>
      </c>
      <c r="C35" s="14">
        <f>'Existing Rates &amp; Forecast Vols'!C22*'Existing Rates &amp; Forecast Vols'!F22*12</f>
        <v>329163.83999999997</v>
      </c>
      <c r="D35" s="14">
        <f>'Existing Rates &amp; Forecast Vols'!D22*'Existing Rates &amp; Forecast Vols'!G22</f>
        <v>341602.9045</v>
      </c>
      <c r="E35" s="34">
        <f t="shared" ref="E35:E39" si="8">C35+D35</f>
        <v>670766.74450000003</v>
      </c>
      <c r="F35" s="35"/>
      <c r="G35" s="34">
        <f t="shared" ref="G35:G39" si="9">E35-F35</f>
        <v>670766.74450000003</v>
      </c>
      <c r="H35" s="36">
        <f t="shared" ref="H35:H39" si="10">G35/G$41</f>
        <v>0.13395116023256085</v>
      </c>
    </row>
    <row r="36" spans="2:8">
      <c r="B36" s="19" t="s">
        <v>11</v>
      </c>
      <c r="C36" s="14">
        <f>'Existing Rates &amp; Forecast Vols'!C23*'Existing Rates &amp; Forecast Vols'!F23*12</f>
        <v>528889.19999999995</v>
      </c>
      <c r="D36" s="14">
        <f>'Existing Rates &amp; Forecast Vols'!D23*'Existing Rates &amp; Forecast Vols'!H23</f>
        <v>863683.27679999999</v>
      </c>
      <c r="E36" s="34">
        <f t="shared" si="8"/>
        <v>1392572.4767999998</v>
      </c>
      <c r="F36" s="34">
        <f>'Existing Rates &amp; Forecast Vols'!D28*'Existing Rates &amp; Forecast Vols'!H28</f>
        <v>126649.2</v>
      </c>
      <c r="G36" s="34">
        <f t="shared" si="9"/>
        <v>1265923.2767999999</v>
      </c>
      <c r="H36" s="36">
        <f t="shared" si="10"/>
        <v>0.25280306914912243</v>
      </c>
    </row>
    <row r="37" spans="2:8">
      <c r="B37" s="19" t="s">
        <v>13</v>
      </c>
      <c r="C37" s="14">
        <f>'Existing Rates &amp; Forecast Vols'!C24*'Existing Rates &amp; Forecast Vols'!F24*12</f>
        <v>8673.84</v>
      </c>
      <c r="D37" s="14">
        <f>'Existing Rates &amp; Forecast Vols'!D24*'Existing Rates &amp; Forecast Vols'!G24</f>
        <v>15301.7345</v>
      </c>
      <c r="E37" s="34">
        <f t="shared" si="8"/>
        <v>23975.574500000002</v>
      </c>
      <c r="F37" s="35"/>
      <c r="G37" s="34">
        <f t="shared" si="9"/>
        <v>23975.574500000002</v>
      </c>
      <c r="H37" s="36">
        <f t="shared" si="10"/>
        <v>4.787887962321602E-3</v>
      </c>
    </row>
    <row r="38" spans="2:8">
      <c r="B38" s="19" t="s">
        <v>14</v>
      </c>
      <c r="C38" s="14">
        <f>'Existing Rates &amp; Forecast Vols'!C25*'Existing Rates &amp; Forecast Vols'!F25*12</f>
        <v>2115.6</v>
      </c>
      <c r="D38" s="14">
        <f>'Existing Rates &amp; Forecast Vols'!D25*'Existing Rates &amp; Forecast Vols'!H25</f>
        <v>280.89600000000002</v>
      </c>
      <c r="E38" s="34">
        <f t="shared" si="8"/>
        <v>2396.4960000000001</v>
      </c>
      <c r="F38" s="35"/>
      <c r="G38" s="34">
        <f t="shared" si="9"/>
        <v>2396.4960000000001</v>
      </c>
      <c r="H38" s="36">
        <f t="shared" si="10"/>
        <v>4.7857682618415964E-4</v>
      </c>
    </row>
    <row r="39" spans="2:8">
      <c r="B39" s="19" t="s">
        <v>15</v>
      </c>
      <c r="C39" s="14">
        <f>'Existing Rates &amp; Forecast Vols'!C26*'Existing Rates &amp; Forecast Vols'!F26*12</f>
        <v>73680</v>
      </c>
      <c r="D39" s="14">
        <f>'Existing Rates &amp; Forecast Vols'!D26*'Existing Rates &amp; Forecast Vols'!H26</f>
        <v>36122.806199999999</v>
      </c>
      <c r="E39" s="34">
        <f t="shared" si="8"/>
        <v>109802.80619999999</v>
      </c>
      <c r="F39" s="35"/>
      <c r="G39" s="34">
        <f t="shared" si="9"/>
        <v>109802.80619999999</v>
      </c>
      <c r="H39" s="36">
        <f t="shared" si="10"/>
        <v>2.1927463470546315E-2</v>
      </c>
    </row>
    <row r="40" spans="2:8">
      <c r="B40" s="20"/>
      <c r="C40" s="21"/>
      <c r="D40" s="21"/>
      <c r="E40" s="21"/>
      <c r="F40" s="21"/>
      <c r="G40" s="21"/>
      <c r="H40" s="11"/>
    </row>
    <row r="41" spans="2:8" ht="15.75" thickBot="1">
      <c r="B41" s="22" t="s">
        <v>27</v>
      </c>
      <c r="C41" s="37">
        <f t="shared" ref="C41:H41" si="11">SUM(C34:C39)</f>
        <v>2465642.1599999997</v>
      </c>
      <c r="D41" s="37">
        <f t="shared" si="11"/>
        <v>2668554.1439999999</v>
      </c>
      <c r="E41" s="37">
        <f t="shared" si="11"/>
        <v>5134196.3039999995</v>
      </c>
      <c r="F41" s="37">
        <f t="shared" si="11"/>
        <v>126649.2</v>
      </c>
      <c r="G41" s="37">
        <f t="shared" si="11"/>
        <v>5007547.1040000003</v>
      </c>
      <c r="H41" s="49">
        <f t="shared" si="11"/>
        <v>0.99999999999999989</v>
      </c>
    </row>
    <row r="42" spans="2:8" ht="15.75" thickBot="1">
      <c r="B42" s="3"/>
      <c r="C42" s="39"/>
      <c r="D42" s="39"/>
      <c r="E42" s="39"/>
      <c r="F42" s="39"/>
      <c r="G42" s="39"/>
      <c r="H42" s="3"/>
    </row>
    <row r="43" spans="2:8">
      <c r="B43" s="200" t="s">
        <v>28</v>
      </c>
      <c r="C43" s="201"/>
      <c r="D43" s="201"/>
      <c r="E43" s="201"/>
      <c r="F43" s="201"/>
      <c r="G43" s="202"/>
      <c r="H43" s="3"/>
    </row>
    <row r="44" spans="2:8">
      <c r="B44" s="40"/>
      <c r="C44" s="41"/>
      <c r="D44" s="41"/>
      <c r="E44" s="41"/>
      <c r="F44" s="41"/>
      <c r="G44" s="42"/>
      <c r="H44" s="3"/>
    </row>
    <row r="45" spans="2:8" ht="28.5">
      <c r="B45" s="203" t="s">
        <v>21</v>
      </c>
      <c r="C45" s="32" t="s">
        <v>22</v>
      </c>
      <c r="D45" s="32" t="s">
        <v>23</v>
      </c>
      <c r="E45" s="32" t="s">
        <v>25</v>
      </c>
      <c r="F45" s="32" t="s">
        <v>22</v>
      </c>
      <c r="G45" s="33" t="s">
        <v>23</v>
      </c>
      <c r="H45" s="3"/>
    </row>
    <row r="46" spans="2:8">
      <c r="B46" s="203"/>
      <c r="C46" s="43" t="s">
        <v>29</v>
      </c>
      <c r="D46" s="43" t="s">
        <v>29</v>
      </c>
      <c r="E46" s="43" t="s">
        <v>29</v>
      </c>
      <c r="F46" s="43" t="s">
        <v>30</v>
      </c>
      <c r="G46" s="44" t="s">
        <v>30</v>
      </c>
      <c r="H46" s="3"/>
    </row>
    <row r="47" spans="2:8">
      <c r="B47" s="19" t="s">
        <v>8</v>
      </c>
      <c r="C47" s="34">
        <f>C34</f>
        <v>1523119.68</v>
      </c>
      <c r="D47" s="34">
        <f>D34</f>
        <v>1411562.5259999998</v>
      </c>
      <c r="E47" s="34">
        <f>C47+D47</f>
        <v>2934682.2059999998</v>
      </c>
      <c r="F47" s="45">
        <f>C47/E47</f>
        <v>0.51900668388759774</v>
      </c>
      <c r="G47" s="36">
        <f>D47/E47</f>
        <v>0.48099331611240226</v>
      </c>
      <c r="H47" s="3"/>
    </row>
    <row r="48" spans="2:8">
      <c r="B48" s="19" t="s">
        <v>10</v>
      </c>
      <c r="C48" s="34">
        <f t="shared" ref="C48:D52" si="12">C35</f>
        <v>329163.83999999997</v>
      </c>
      <c r="D48" s="34">
        <f t="shared" si="12"/>
        <v>341602.9045</v>
      </c>
      <c r="E48" s="34">
        <f t="shared" ref="E48:E52" si="13">C48+D48</f>
        <v>670766.74450000003</v>
      </c>
      <c r="F48" s="45">
        <f t="shared" ref="F48:F52" si="14">C48/E48</f>
        <v>0.49072772718534791</v>
      </c>
      <c r="G48" s="36">
        <f t="shared" ref="G48:G52" si="15">D48/E48</f>
        <v>0.50927227281465204</v>
      </c>
      <c r="H48" s="3"/>
    </row>
    <row r="49" spans="2:8">
      <c r="B49" s="19" t="s">
        <v>11</v>
      </c>
      <c r="C49" s="34">
        <f t="shared" si="12"/>
        <v>528889.19999999995</v>
      </c>
      <c r="D49" s="34">
        <f>D36-F36</f>
        <v>737034.07680000004</v>
      </c>
      <c r="E49" s="34">
        <f t="shared" si="13"/>
        <v>1265923.2768000001</v>
      </c>
      <c r="F49" s="45">
        <f t="shared" si="14"/>
        <v>0.41778930026227629</v>
      </c>
      <c r="G49" s="36">
        <f t="shared" si="15"/>
        <v>0.58221069973772366</v>
      </c>
      <c r="H49" s="3"/>
    </row>
    <row r="50" spans="2:8">
      <c r="B50" s="19" t="s">
        <v>13</v>
      </c>
      <c r="C50" s="34">
        <f t="shared" si="12"/>
        <v>8673.84</v>
      </c>
      <c r="D50" s="34">
        <f t="shared" si="12"/>
        <v>15301.7345</v>
      </c>
      <c r="E50" s="34">
        <f t="shared" si="13"/>
        <v>23975.574500000002</v>
      </c>
      <c r="F50" s="45">
        <f t="shared" si="14"/>
        <v>0.36177819221808427</v>
      </c>
      <c r="G50" s="36">
        <f t="shared" si="15"/>
        <v>0.63822180778191562</v>
      </c>
      <c r="H50" s="3"/>
    </row>
    <row r="51" spans="2:8">
      <c r="B51" s="19" t="s">
        <v>14</v>
      </c>
      <c r="C51" s="34">
        <f t="shared" si="12"/>
        <v>2115.6</v>
      </c>
      <c r="D51" s="34">
        <f t="shared" si="12"/>
        <v>280.89600000000002</v>
      </c>
      <c r="E51" s="34">
        <f t="shared" si="13"/>
        <v>2396.4960000000001</v>
      </c>
      <c r="F51" s="45">
        <f t="shared" si="14"/>
        <v>0.882788871752759</v>
      </c>
      <c r="G51" s="36">
        <f t="shared" si="15"/>
        <v>0.11721112824724098</v>
      </c>
      <c r="H51" s="3"/>
    </row>
    <row r="52" spans="2:8">
      <c r="B52" s="19" t="s">
        <v>15</v>
      </c>
      <c r="C52" s="34">
        <f t="shared" si="12"/>
        <v>73680</v>
      </c>
      <c r="D52" s="34">
        <f t="shared" si="12"/>
        <v>36122.806199999999</v>
      </c>
      <c r="E52" s="34">
        <f t="shared" si="13"/>
        <v>109802.80619999999</v>
      </c>
      <c r="F52" s="45">
        <f t="shared" si="14"/>
        <v>0.67102110182681296</v>
      </c>
      <c r="G52" s="36">
        <f t="shared" si="15"/>
        <v>0.32897889817318715</v>
      </c>
      <c r="H52" s="3"/>
    </row>
    <row r="53" spans="2:8">
      <c r="B53" s="20"/>
      <c r="C53" s="46"/>
      <c r="D53" s="46"/>
      <c r="E53" s="21"/>
      <c r="F53" s="21"/>
      <c r="G53" s="11"/>
      <c r="H53" s="3"/>
    </row>
    <row r="54" spans="2:8" ht="15.75" thickBot="1">
      <c r="B54" s="22" t="s">
        <v>27</v>
      </c>
      <c r="C54" s="37">
        <f>SUM(C47:C52)</f>
        <v>2465642.1599999997</v>
      </c>
      <c r="D54" s="37">
        <f>SUM(D47:D52)</f>
        <v>2541904.9439999997</v>
      </c>
      <c r="E54" s="37">
        <f>SUM(E47:E52)</f>
        <v>5007547.1040000003</v>
      </c>
      <c r="F54" s="47">
        <f>C54/E54</f>
        <v>0.49238521551409048</v>
      </c>
      <c r="G54" s="48">
        <f t="shared" ref="G54" si="16">D54/E54</f>
        <v>0.50761478448590935</v>
      </c>
      <c r="H54" s="3"/>
    </row>
    <row r="56" spans="2:8">
      <c r="B56" s="61" t="s">
        <v>18</v>
      </c>
      <c r="C56" s="3"/>
      <c r="D56" s="3"/>
      <c r="E56" s="3"/>
      <c r="F56" s="3"/>
      <c r="G56" s="3"/>
      <c r="H56" s="3"/>
    </row>
    <row r="57" spans="2:8" ht="15.75" thickBot="1">
      <c r="B57" s="3"/>
      <c r="C57" s="3"/>
      <c r="D57" s="3"/>
      <c r="E57" s="3"/>
      <c r="F57" s="3"/>
      <c r="G57" s="3"/>
      <c r="H57" s="3"/>
    </row>
    <row r="58" spans="2:8">
      <c r="B58" s="197" t="s">
        <v>20</v>
      </c>
      <c r="C58" s="198"/>
      <c r="D58" s="198"/>
      <c r="E58" s="198"/>
      <c r="F58" s="198"/>
      <c r="G58" s="198"/>
      <c r="H58" s="199"/>
    </row>
    <row r="59" spans="2:8">
      <c r="B59" s="20"/>
      <c r="C59" s="21"/>
      <c r="D59" s="21"/>
      <c r="E59" s="21"/>
      <c r="F59" s="21"/>
      <c r="G59" s="21"/>
      <c r="H59" s="11"/>
    </row>
    <row r="60" spans="2:8" ht="57">
      <c r="B60" s="31" t="s">
        <v>21</v>
      </c>
      <c r="C60" s="32" t="s">
        <v>22</v>
      </c>
      <c r="D60" s="32" t="s">
        <v>23</v>
      </c>
      <c r="E60" s="32" t="s">
        <v>24</v>
      </c>
      <c r="F60" s="32" t="s">
        <v>16</v>
      </c>
      <c r="G60" s="32" t="s">
        <v>25</v>
      </c>
      <c r="H60" s="33" t="s">
        <v>26</v>
      </c>
    </row>
    <row r="61" spans="2:8">
      <c r="B61" s="19" t="s">
        <v>8</v>
      </c>
      <c r="C61" s="14">
        <f t="shared" ref="C61:D66" si="17">C7+C34</f>
        <v>5346887.16</v>
      </c>
      <c r="D61" s="14">
        <f t="shared" si="17"/>
        <v>3602278.3795999996</v>
      </c>
      <c r="E61" s="34">
        <f>C61+D61</f>
        <v>8949165.5395999998</v>
      </c>
      <c r="F61" s="35"/>
      <c r="G61" s="34">
        <f>E61-F61</f>
        <v>8949165.5395999998</v>
      </c>
      <c r="H61" s="36">
        <f>G61/G$68</f>
        <v>0.56526670964017034</v>
      </c>
    </row>
    <row r="62" spans="2:8">
      <c r="B62" s="19" t="s">
        <v>10</v>
      </c>
      <c r="C62" s="14">
        <f t="shared" si="17"/>
        <v>740287.92</v>
      </c>
      <c r="D62" s="14">
        <f t="shared" si="17"/>
        <v>1446647.5550999998</v>
      </c>
      <c r="E62" s="34">
        <f t="shared" ref="E62:E66" si="18">C62+D62</f>
        <v>2186935.4750999999</v>
      </c>
      <c r="F62" s="35"/>
      <c r="G62" s="34">
        <f t="shared" ref="G62:G66" si="19">E62-F62</f>
        <v>2186935.4750999999</v>
      </c>
      <c r="H62" s="36">
        <f t="shared" ref="H62:H66" si="20">G62/G$68</f>
        <v>0.13813598762196927</v>
      </c>
    </row>
    <row r="63" spans="2:8">
      <c r="B63" s="19" t="s">
        <v>11</v>
      </c>
      <c r="C63" s="14">
        <f t="shared" si="17"/>
        <v>767909.03999999992</v>
      </c>
      <c r="D63" s="14">
        <f t="shared" si="17"/>
        <v>3618838.9590000003</v>
      </c>
      <c r="E63" s="34">
        <f t="shared" si="18"/>
        <v>4386747.9989999998</v>
      </c>
      <c r="F63" s="34">
        <f>F9+F36</f>
        <v>232633.8</v>
      </c>
      <c r="G63" s="34">
        <f t="shared" si="19"/>
        <v>4154114.199</v>
      </c>
      <c r="H63" s="36">
        <f t="shared" si="20"/>
        <v>0.26239122009170007</v>
      </c>
    </row>
    <row r="64" spans="2:8">
      <c r="B64" s="19" t="s">
        <v>13</v>
      </c>
      <c r="C64" s="14">
        <f t="shared" si="17"/>
        <v>29694.839999999997</v>
      </c>
      <c r="D64" s="14">
        <f t="shared" si="17"/>
        <v>54376.242700000003</v>
      </c>
      <c r="E64" s="34">
        <f t="shared" si="18"/>
        <v>84071.082699999999</v>
      </c>
      <c r="F64" s="35"/>
      <c r="G64" s="34">
        <f t="shared" si="19"/>
        <v>84071.082699999999</v>
      </c>
      <c r="H64" s="36">
        <f t="shared" si="20"/>
        <v>5.310281062902291E-3</v>
      </c>
    </row>
    <row r="65" spans="2:8">
      <c r="B65" s="19" t="s">
        <v>14</v>
      </c>
      <c r="C65" s="14">
        <f t="shared" si="17"/>
        <v>43957.200000000004</v>
      </c>
      <c r="D65" s="14">
        <f t="shared" si="17"/>
        <v>10081.3228</v>
      </c>
      <c r="E65" s="34">
        <f t="shared" si="18"/>
        <v>54038.522800000006</v>
      </c>
      <c r="F65" s="35"/>
      <c r="G65" s="34">
        <f t="shared" si="19"/>
        <v>54038.522800000006</v>
      </c>
      <c r="H65" s="36">
        <f t="shared" si="20"/>
        <v>3.4132990212109369E-3</v>
      </c>
    </row>
    <row r="66" spans="2:8">
      <c r="B66" s="19" t="s">
        <v>15</v>
      </c>
      <c r="C66" s="14">
        <f t="shared" si="17"/>
        <v>293222.40000000002</v>
      </c>
      <c r="D66" s="14">
        <f t="shared" si="17"/>
        <v>110210.40419999999</v>
      </c>
      <c r="E66" s="34">
        <f t="shared" si="18"/>
        <v>403432.80420000001</v>
      </c>
      <c r="F66" s="35"/>
      <c r="G66" s="34">
        <f t="shared" si="19"/>
        <v>403432.80420000001</v>
      </c>
      <c r="H66" s="36">
        <f t="shared" si="20"/>
        <v>2.5482502562047153E-2</v>
      </c>
    </row>
    <row r="67" spans="2:8">
      <c r="B67" s="20"/>
      <c r="C67" s="21"/>
      <c r="D67" s="21"/>
      <c r="E67" s="21"/>
      <c r="F67" s="21"/>
      <c r="G67" s="21"/>
      <c r="H67" s="11"/>
    </row>
    <row r="68" spans="2:8" ht="15.75" thickBot="1">
      <c r="B68" s="22" t="s">
        <v>27</v>
      </c>
      <c r="C68" s="37">
        <f t="shared" ref="C68:H68" si="21">SUM(C61:C66)</f>
        <v>7221958.5600000005</v>
      </c>
      <c r="D68" s="37">
        <f t="shared" si="21"/>
        <v>8842432.8633999992</v>
      </c>
      <c r="E68" s="37">
        <f t="shared" si="21"/>
        <v>16064391.423399998</v>
      </c>
      <c r="F68" s="37">
        <f t="shared" si="21"/>
        <v>232633.8</v>
      </c>
      <c r="G68" s="37">
        <f t="shared" si="21"/>
        <v>15831757.623399999</v>
      </c>
      <c r="H68" s="49">
        <f t="shared" si="21"/>
        <v>1</v>
      </c>
    </row>
    <row r="69" spans="2:8" ht="15.75" thickBot="1">
      <c r="B69" s="3"/>
      <c r="C69" s="39"/>
      <c r="D69" s="39"/>
      <c r="E69" s="39"/>
      <c r="F69" s="39"/>
      <c r="G69" s="39"/>
      <c r="H69" s="3"/>
    </row>
    <row r="70" spans="2:8">
      <c r="B70" s="200" t="s">
        <v>28</v>
      </c>
      <c r="C70" s="201"/>
      <c r="D70" s="201"/>
      <c r="E70" s="201"/>
      <c r="F70" s="201"/>
      <c r="G70" s="202"/>
      <c r="H70" s="3"/>
    </row>
    <row r="71" spans="2:8">
      <c r="B71" s="40"/>
      <c r="C71" s="41"/>
      <c r="D71" s="41"/>
      <c r="E71" s="41"/>
      <c r="F71" s="41"/>
      <c r="G71" s="42"/>
      <c r="H71" s="3"/>
    </row>
    <row r="72" spans="2:8" ht="28.5">
      <c r="B72" s="203" t="s">
        <v>21</v>
      </c>
      <c r="C72" s="32" t="s">
        <v>31</v>
      </c>
      <c r="D72" s="32" t="s">
        <v>23</v>
      </c>
      <c r="E72" s="32" t="s">
        <v>25</v>
      </c>
      <c r="F72" s="32" t="s">
        <v>22</v>
      </c>
      <c r="G72" s="33" t="s">
        <v>23</v>
      </c>
      <c r="H72" s="3"/>
    </row>
    <row r="73" spans="2:8">
      <c r="B73" s="203"/>
      <c r="C73" s="43" t="s">
        <v>29</v>
      </c>
      <c r="D73" s="43" t="s">
        <v>29</v>
      </c>
      <c r="E73" s="43" t="s">
        <v>29</v>
      </c>
      <c r="F73" s="43" t="s">
        <v>30</v>
      </c>
      <c r="G73" s="44" t="s">
        <v>30</v>
      </c>
      <c r="H73" s="3"/>
    </row>
    <row r="74" spans="2:8">
      <c r="B74" s="19" t="s">
        <v>8</v>
      </c>
      <c r="C74" s="34">
        <f>C61</f>
        <v>5346887.16</v>
      </c>
      <c r="D74" s="34">
        <f>D61</f>
        <v>3602278.3795999996</v>
      </c>
      <c r="E74" s="34">
        <f>C74+D74</f>
        <v>8949165.5395999998</v>
      </c>
      <c r="F74" s="45">
        <f>C74/E74</f>
        <v>0.59747326567377246</v>
      </c>
      <c r="G74" s="36">
        <f>D74/E74</f>
        <v>0.40252673432622754</v>
      </c>
      <c r="H74" s="3"/>
    </row>
    <row r="75" spans="2:8">
      <c r="B75" s="19" t="s">
        <v>10</v>
      </c>
      <c r="C75" s="34">
        <f t="shared" ref="C75:D79" si="22">C62</f>
        <v>740287.92</v>
      </c>
      <c r="D75" s="34">
        <f t="shared" si="22"/>
        <v>1446647.5550999998</v>
      </c>
      <c r="E75" s="34">
        <f t="shared" ref="E75:E79" si="23">C75+D75</f>
        <v>2186935.4750999999</v>
      </c>
      <c r="F75" s="45">
        <f t="shared" ref="F75:F79" si="24">C75/E75</f>
        <v>0.33850469226402286</v>
      </c>
      <c r="G75" s="36">
        <f t="shared" ref="G75:G79" si="25">D75/E75</f>
        <v>0.66149530773597709</v>
      </c>
      <c r="H75" s="3"/>
    </row>
    <row r="76" spans="2:8">
      <c r="B76" s="19" t="s">
        <v>11</v>
      </c>
      <c r="C76" s="34">
        <f t="shared" si="22"/>
        <v>767909.03999999992</v>
      </c>
      <c r="D76" s="34">
        <f>D63-F63</f>
        <v>3386205.1590000005</v>
      </c>
      <c r="E76" s="34">
        <f t="shared" si="23"/>
        <v>4154114.1990000005</v>
      </c>
      <c r="F76" s="45">
        <f t="shared" si="24"/>
        <v>0.18485506252689318</v>
      </c>
      <c r="G76" s="36">
        <f t="shared" si="25"/>
        <v>0.81514493747310679</v>
      </c>
      <c r="H76" s="3"/>
    </row>
    <row r="77" spans="2:8">
      <c r="B77" s="19" t="s">
        <v>13</v>
      </c>
      <c r="C77" s="34">
        <f t="shared" si="22"/>
        <v>29694.839999999997</v>
      </c>
      <c r="D77" s="34">
        <f t="shared" si="22"/>
        <v>54376.242700000003</v>
      </c>
      <c r="E77" s="34">
        <f t="shared" si="23"/>
        <v>84071.082699999999</v>
      </c>
      <c r="F77" s="45">
        <f t="shared" si="24"/>
        <v>0.35321110477384154</v>
      </c>
      <c r="G77" s="36">
        <f t="shared" si="25"/>
        <v>0.64678889522615846</v>
      </c>
      <c r="H77" s="3"/>
    </row>
    <row r="78" spans="2:8">
      <c r="B78" s="19" t="s">
        <v>14</v>
      </c>
      <c r="C78" s="34">
        <f t="shared" si="22"/>
        <v>43957.200000000004</v>
      </c>
      <c r="D78" s="34">
        <f t="shared" si="22"/>
        <v>10081.3228</v>
      </c>
      <c r="E78" s="34">
        <f t="shared" si="23"/>
        <v>54038.522800000006</v>
      </c>
      <c r="F78" s="45">
        <f t="shared" si="24"/>
        <v>0.81344192480405852</v>
      </c>
      <c r="G78" s="36">
        <f t="shared" si="25"/>
        <v>0.1865580751959415</v>
      </c>
      <c r="H78" s="3"/>
    </row>
    <row r="79" spans="2:8">
      <c r="B79" s="19" t="s">
        <v>15</v>
      </c>
      <c r="C79" s="34">
        <f t="shared" si="22"/>
        <v>293222.40000000002</v>
      </c>
      <c r="D79" s="34">
        <f t="shared" si="22"/>
        <v>110210.40419999999</v>
      </c>
      <c r="E79" s="34">
        <f t="shared" si="23"/>
        <v>403432.80420000001</v>
      </c>
      <c r="F79" s="45">
        <f t="shared" si="24"/>
        <v>0.72681843654596889</v>
      </c>
      <c r="G79" s="36">
        <f t="shared" si="25"/>
        <v>0.27318156345403105</v>
      </c>
      <c r="H79" s="3"/>
    </row>
    <row r="80" spans="2:8">
      <c r="B80" s="20"/>
      <c r="C80" s="46"/>
      <c r="D80" s="46"/>
      <c r="E80" s="21"/>
      <c r="F80" s="21"/>
      <c r="G80" s="11"/>
      <c r="H80" s="3"/>
    </row>
    <row r="81" spans="2:8" ht="15.75" thickBot="1">
      <c r="B81" s="22" t="s">
        <v>27</v>
      </c>
      <c r="C81" s="37">
        <f>SUM(C74:C79)</f>
        <v>7221958.5600000005</v>
      </c>
      <c r="D81" s="37">
        <f>SUM(D74:D79)</f>
        <v>8609799.0633999985</v>
      </c>
      <c r="E81" s="37">
        <f>SUM(E74:E79)</f>
        <v>15831757.623399999</v>
      </c>
      <c r="F81" s="47">
        <f>C81/E81</f>
        <v>0.45616909580056003</v>
      </c>
      <c r="G81" s="48">
        <f t="shared" ref="G81" si="26">D81/E81</f>
        <v>0.54383090419944002</v>
      </c>
      <c r="H81" s="3"/>
    </row>
    <row r="82" spans="2:8">
      <c r="B82" s="3"/>
      <c r="C82" s="3"/>
      <c r="D82" s="3"/>
      <c r="E82" s="3"/>
      <c r="F82" s="3"/>
      <c r="G82" s="3"/>
      <c r="H82" s="3"/>
    </row>
    <row r="83" spans="2:8">
      <c r="B83" s="3" t="s">
        <v>32</v>
      </c>
      <c r="C83" s="3"/>
      <c r="D83" s="3"/>
      <c r="E83" s="3"/>
      <c r="F83" s="3"/>
      <c r="G83" s="3"/>
      <c r="H83" s="3"/>
    </row>
    <row r="84" spans="2:8">
      <c r="B84" s="3" t="s">
        <v>33</v>
      </c>
      <c r="C84" s="3"/>
      <c r="D84" s="3"/>
      <c r="E84" s="3"/>
      <c r="F84" s="3"/>
      <c r="G84" s="3"/>
      <c r="H84" s="3"/>
    </row>
    <row r="85" spans="2:8" ht="8.25" customHeight="1">
      <c r="B85" s="3"/>
      <c r="C85" s="3"/>
      <c r="D85" s="3"/>
      <c r="E85" s="3"/>
      <c r="F85" s="3"/>
      <c r="G85" s="3"/>
      <c r="H85" s="3"/>
    </row>
    <row r="86" spans="2:8">
      <c r="B86" s="3" t="s">
        <v>34</v>
      </c>
      <c r="C86" s="3"/>
      <c r="D86" s="3"/>
      <c r="E86" s="3"/>
      <c r="F86" s="3"/>
      <c r="G86" s="3"/>
      <c r="H86" s="3"/>
    </row>
    <row r="87" spans="2:8">
      <c r="B87" s="3"/>
      <c r="C87" s="3"/>
      <c r="D87" s="3"/>
      <c r="E87" s="3"/>
      <c r="F87" s="3"/>
      <c r="G87" s="3"/>
      <c r="H87" s="3"/>
    </row>
    <row r="88" spans="2:8" ht="29.25">
      <c r="C88" s="1" t="s">
        <v>118</v>
      </c>
      <c r="D88" s="1" t="s">
        <v>17</v>
      </c>
      <c r="E88" s="3"/>
      <c r="F88" s="3"/>
      <c r="G88" s="3"/>
      <c r="H88" s="3"/>
    </row>
    <row r="89" spans="2:8">
      <c r="B89" s="3" t="s">
        <v>8</v>
      </c>
      <c r="C89" s="97">
        <f>E7/E61</f>
        <v>0.67207197218399306</v>
      </c>
      <c r="D89" s="98">
        <f>1-C89</f>
        <v>0.32792802781600694</v>
      </c>
    </row>
    <row r="90" spans="2:8">
      <c r="B90" s="3" t="s">
        <v>10</v>
      </c>
      <c r="C90" s="97">
        <f t="shared" ref="C90:C93" si="27">E8/E62</f>
        <v>0.69328462035701877</v>
      </c>
      <c r="D90" s="98">
        <f t="shared" ref="D90:D94" si="28">1-C90</f>
        <v>0.30671537964298123</v>
      </c>
    </row>
    <row r="91" spans="2:8">
      <c r="B91" s="3" t="s">
        <v>11</v>
      </c>
      <c r="C91" s="97">
        <f t="shared" si="27"/>
        <v>0.68255015398252883</v>
      </c>
      <c r="D91" s="98">
        <f t="shared" si="28"/>
        <v>0.31744984601747117</v>
      </c>
    </row>
    <row r="92" spans="2:8">
      <c r="B92" s="3" t="s">
        <v>13</v>
      </c>
      <c r="C92" s="97">
        <f t="shared" si="27"/>
        <v>0.71481782165748176</v>
      </c>
      <c r="D92" s="98">
        <f t="shared" si="28"/>
        <v>0.28518217834251824</v>
      </c>
    </row>
    <row r="93" spans="2:8">
      <c r="B93" s="3" t="s">
        <v>14</v>
      </c>
      <c r="C93" s="97">
        <f t="shared" si="27"/>
        <v>0.9556520815924302</v>
      </c>
      <c r="D93" s="98">
        <f t="shared" si="28"/>
        <v>4.4347918407569797E-2</v>
      </c>
    </row>
    <row r="94" spans="2:8">
      <c r="B94" s="3" t="s">
        <v>15</v>
      </c>
      <c r="C94" s="97">
        <f>E12/E66-0.04</f>
        <v>0.68782876093148404</v>
      </c>
      <c r="D94" s="98">
        <f t="shared" si="28"/>
        <v>0.31217123906851596</v>
      </c>
    </row>
  </sheetData>
  <mergeCells count="10">
    <mergeCell ref="B2:C2"/>
    <mergeCell ref="B58:H58"/>
    <mergeCell ref="B70:G70"/>
    <mergeCell ref="B72:B73"/>
    <mergeCell ref="B4:H4"/>
    <mergeCell ref="B16:G16"/>
    <mergeCell ref="B18:B19"/>
    <mergeCell ref="B31:H31"/>
    <mergeCell ref="B43:G43"/>
    <mergeCell ref="B45:B46"/>
  </mergeCells>
  <pageMargins left="0.70866141732283461" right="0.70866141732283461" top="0.74803149606299213" bottom="0.74803149606299213" header="0.31496062992125984" footer="0.31496062992125984"/>
  <pageSetup paperSize="5" scale="58"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B2:I28"/>
  <sheetViews>
    <sheetView view="pageBreakPreview" zoomScale="60" zoomScaleNormal="100" workbookViewId="0">
      <selection activeCell="T21" sqref="T21"/>
    </sheetView>
  </sheetViews>
  <sheetFormatPr defaultRowHeight="15"/>
  <cols>
    <col min="1" max="1" width="2.7109375" customWidth="1"/>
    <col min="2" max="2" width="21.85546875" customWidth="1"/>
    <col min="3" max="3" width="14.42578125" customWidth="1"/>
    <col min="4" max="4" width="10.85546875" bestFit="1" customWidth="1"/>
    <col min="5" max="5" width="14.42578125" bestFit="1" customWidth="1"/>
    <col min="6" max="6" width="13.5703125" customWidth="1"/>
    <col min="7" max="7" width="9.28515625" bestFit="1" customWidth="1"/>
    <col min="8" max="8" width="2" customWidth="1"/>
    <col min="9" max="9" width="12.28515625" bestFit="1" customWidth="1"/>
    <col min="10" max="10" width="3.140625" customWidth="1"/>
  </cols>
  <sheetData>
    <row r="2" spans="2:9">
      <c r="B2" s="61" t="s">
        <v>18</v>
      </c>
      <c r="C2" s="3"/>
      <c r="D2" s="3"/>
      <c r="E2" s="3"/>
      <c r="F2" s="3"/>
      <c r="G2" s="3"/>
      <c r="H2" s="3"/>
      <c r="I2" s="3"/>
    </row>
    <row r="3" spans="2:9" ht="15.75" thickBot="1">
      <c r="B3" s="3"/>
      <c r="C3" s="3"/>
      <c r="D3" s="3"/>
      <c r="E3" s="3"/>
      <c r="F3" s="3"/>
      <c r="G3" s="3"/>
      <c r="H3" s="3"/>
      <c r="I3" s="3"/>
    </row>
    <row r="4" spans="2:9">
      <c r="B4" s="206" t="s">
        <v>46</v>
      </c>
      <c r="C4" s="207"/>
      <c r="D4" s="207"/>
      <c r="E4" s="207"/>
      <c r="F4" s="207"/>
      <c r="G4" s="207"/>
      <c r="H4" s="207"/>
      <c r="I4" s="208"/>
    </row>
    <row r="5" spans="2:9">
      <c r="B5" s="209" t="s">
        <v>35</v>
      </c>
      <c r="C5" s="210"/>
      <c r="D5" s="210"/>
      <c r="E5" s="210"/>
      <c r="F5" s="210"/>
      <c r="G5" s="210"/>
      <c r="H5" s="210"/>
      <c r="I5" s="211"/>
    </row>
    <row r="6" spans="2:9">
      <c r="B6" s="20"/>
      <c r="C6" s="21"/>
      <c r="D6" s="21"/>
      <c r="E6" s="21"/>
      <c r="F6" s="21"/>
      <c r="G6" s="21"/>
      <c r="H6" s="21"/>
      <c r="I6" s="11"/>
    </row>
    <row r="7" spans="2:9" ht="71.25">
      <c r="B7" s="50" t="s">
        <v>21</v>
      </c>
      <c r="C7" s="32" t="s">
        <v>48</v>
      </c>
      <c r="D7" s="32" t="s">
        <v>37</v>
      </c>
      <c r="E7" s="32" t="s">
        <v>38</v>
      </c>
      <c r="F7" s="32" t="s">
        <v>39</v>
      </c>
      <c r="G7" s="32" t="s">
        <v>40</v>
      </c>
      <c r="H7" s="51"/>
      <c r="I7" s="33" t="s">
        <v>41</v>
      </c>
    </row>
    <row r="8" spans="2:9">
      <c r="B8" s="19" t="s">
        <v>8</v>
      </c>
      <c r="C8" s="34">
        <v>11876815.4</v>
      </c>
      <c r="D8" s="52">
        <v>1.1093999999999999</v>
      </c>
      <c r="E8" s="34">
        <v>9927778</v>
      </c>
      <c r="F8" s="34">
        <f>887426.5</f>
        <v>887426.5</v>
      </c>
      <c r="G8" s="53">
        <f t="shared" ref="G8:G13" si="0">(E8+F8)/C8</f>
        <v>0.91061485219345917</v>
      </c>
      <c r="H8" s="54"/>
      <c r="I8" s="44" t="s">
        <v>42</v>
      </c>
    </row>
    <row r="9" spans="2:9">
      <c r="B9" s="19" t="s">
        <v>10</v>
      </c>
      <c r="C9" s="34">
        <v>2376032.2000000002</v>
      </c>
      <c r="D9" s="52">
        <v>1.1093999999999999</v>
      </c>
      <c r="E9" s="34">
        <v>2426082</v>
      </c>
      <c r="F9" s="34">
        <f>171803</f>
        <v>171803</v>
      </c>
      <c r="G9" s="53">
        <f t="shared" si="0"/>
        <v>1.0933711251892966</v>
      </c>
      <c r="H9" s="54"/>
      <c r="I9" s="44" t="s">
        <v>43</v>
      </c>
    </row>
    <row r="10" spans="2:9">
      <c r="B10" s="19" t="s">
        <v>11</v>
      </c>
      <c r="C10" s="34">
        <v>4090319.3</v>
      </c>
      <c r="D10" s="52">
        <v>1.1093999999999999</v>
      </c>
      <c r="E10" s="34">
        <v>4608377</v>
      </c>
      <c r="F10" s="34">
        <f>297617.5</f>
        <v>297617.5</v>
      </c>
      <c r="G10" s="53">
        <f t="shared" si="0"/>
        <v>1.1994160211404523</v>
      </c>
      <c r="H10" s="54"/>
      <c r="I10" s="44" t="s">
        <v>43</v>
      </c>
    </row>
    <row r="11" spans="2:9">
      <c r="B11" s="19" t="s">
        <v>13</v>
      </c>
      <c r="C11" s="34">
        <v>36954</v>
      </c>
      <c r="D11" s="52">
        <v>1.1093999999999999</v>
      </c>
      <c r="E11" s="34">
        <v>93264</v>
      </c>
      <c r="F11" s="34">
        <f>3257</f>
        <v>3257</v>
      </c>
      <c r="G11" s="55">
        <f t="shared" si="0"/>
        <v>2.6119229312117769</v>
      </c>
      <c r="H11" s="54"/>
      <c r="I11" s="44" t="s">
        <v>43</v>
      </c>
    </row>
    <row r="12" spans="2:9">
      <c r="B12" s="19" t="s">
        <v>14</v>
      </c>
      <c r="C12" s="34">
        <v>82426</v>
      </c>
      <c r="D12" s="52">
        <v>1.1093999999999999</v>
      </c>
      <c r="E12" s="34">
        <v>59948</v>
      </c>
      <c r="F12" s="34">
        <f>5731</f>
        <v>5731</v>
      </c>
      <c r="G12" s="55">
        <f t="shared" si="0"/>
        <v>0.79682381772741606</v>
      </c>
      <c r="H12" s="54"/>
      <c r="I12" s="44" t="s">
        <v>43</v>
      </c>
    </row>
    <row r="13" spans="2:9">
      <c r="B13" s="19" t="s">
        <v>15</v>
      </c>
      <c r="C13" s="34">
        <v>503635</v>
      </c>
      <c r="D13" s="52">
        <v>1.1093999999999999</v>
      </c>
      <c r="E13" s="34">
        <v>447549</v>
      </c>
      <c r="F13" s="34">
        <v>37349</v>
      </c>
      <c r="G13" s="53">
        <f t="shared" si="0"/>
        <v>0.96279646966553156</v>
      </c>
      <c r="H13" s="54"/>
      <c r="I13" s="44" t="s">
        <v>44</v>
      </c>
    </row>
    <row r="14" spans="2:9">
      <c r="B14" s="19"/>
      <c r="C14" s="35"/>
      <c r="D14" s="35"/>
      <c r="E14" s="35"/>
      <c r="F14" s="35"/>
      <c r="G14" s="35"/>
      <c r="H14" s="56"/>
      <c r="I14" s="57"/>
    </row>
    <row r="15" spans="2:9" ht="15.75" thickBot="1">
      <c r="B15" s="22" t="s">
        <v>27</v>
      </c>
      <c r="C15" s="58">
        <f>SUM(C8:C13)</f>
        <v>18966181.900000002</v>
      </c>
      <c r="D15" s="23"/>
      <c r="E15" s="58">
        <f>SUM(E8:E13)</f>
        <v>17562998</v>
      </c>
      <c r="F15" s="58">
        <f>SUM(F8:F13)</f>
        <v>1403184</v>
      </c>
      <c r="G15" s="23"/>
      <c r="H15" s="59"/>
      <c r="I15" s="60"/>
    </row>
    <row r="17" spans="2:9" ht="46.5" customHeight="1">
      <c r="B17" s="205" t="s">
        <v>45</v>
      </c>
      <c r="C17" s="205"/>
      <c r="D17" s="205"/>
      <c r="E17" s="205"/>
      <c r="F17" s="205"/>
      <c r="G17" s="205"/>
      <c r="H17" s="205"/>
      <c r="I17" s="205"/>
    </row>
    <row r="18" spans="2:9" ht="8.25" customHeight="1">
      <c r="B18" s="86"/>
      <c r="C18" s="86"/>
      <c r="D18" s="86"/>
      <c r="E18" s="86"/>
      <c r="F18" s="86"/>
      <c r="G18" s="86"/>
      <c r="H18" s="86"/>
      <c r="I18" s="86"/>
    </row>
    <row r="19" spans="2:9" ht="30" customHeight="1">
      <c r="B19" s="205" t="s">
        <v>49</v>
      </c>
      <c r="C19" s="205"/>
      <c r="D19" s="205"/>
      <c r="E19" s="205"/>
      <c r="F19" s="205"/>
      <c r="G19" s="205"/>
      <c r="H19" s="205"/>
      <c r="I19" s="205"/>
    </row>
    <row r="20" spans="2:9" ht="8.25" customHeight="1">
      <c r="B20" s="86"/>
      <c r="C20" s="86"/>
      <c r="D20" s="86"/>
      <c r="E20" s="86"/>
      <c r="F20" s="86"/>
      <c r="G20" s="86"/>
      <c r="H20" s="86"/>
      <c r="I20" s="86"/>
    </row>
    <row r="21" spans="2:9" ht="60.75" customHeight="1">
      <c r="B21" s="205" t="s">
        <v>47</v>
      </c>
      <c r="C21" s="205"/>
      <c r="D21" s="205"/>
      <c r="E21" s="205"/>
      <c r="F21" s="205"/>
      <c r="G21" s="205"/>
      <c r="H21" s="205"/>
      <c r="I21" s="205"/>
    </row>
    <row r="22" spans="2:9" ht="8.25" customHeight="1">
      <c r="B22" s="86"/>
      <c r="C22" s="86"/>
      <c r="D22" s="86"/>
      <c r="E22" s="86"/>
      <c r="F22" s="86"/>
      <c r="G22" s="86"/>
      <c r="H22" s="86"/>
      <c r="I22" s="86"/>
    </row>
    <row r="23" spans="2:9" ht="30" customHeight="1">
      <c r="B23" s="205" t="s">
        <v>185</v>
      </c>
      <c r="C23" s="205"/>
      <c r="D23" s="205"/>
      <c r="E23" s="205"/>
      <c r="F23" s="205"/>
      <c r="G23" s="205"/>
      <c r="H23" s="205"/>
      <c r="I23" s="205"/>
    </row>
    <row r="25" spans="2:9">
      <c r="B25" s="204" t="s">
        <v>172</v>
      </c>
      <c r="C25" s="204"/>
      <c r="D25" s="204"/>
      <c r="E25" s="204"/>
      <c r="F25" s="204"/>
      <c r="G25" s="204"/>
    </row>
    <row r="26" spans="2:9">
      <c r="B26" s="155" t="s">
        <v>171</v>
      </c>
      <c r="C26" s="155"/>
      <c r="D26" s="155"/>
      <c r="E26" s="178">
        <v>19494443</v>
      </c>
      <c r="F26" s="155"/>
      <c r="G26" s="155"/>
    </row>
    <row r="27" spans="2:9">
      <c r="B27" s="155" t="s">
        <v>184</v>
      </c>
      <c r="C27" s="155"/>
      <c r="D27" s="155"/>
      <c r="E27" s="178">
        <f>C15</f>
        <v>18966181.900000002</v>
      </c>
      <c r="F27" s="155"/>
      <c r="G27" s="155"/>
    </row>
    <row r="28" spans="2:9">
      <c r="B28" s="155" t="s">
        <v>132</v>
      </c>
      <c r="C28" s="155"/>
      <c r="D28" s="155"/>
      <c r="E28" s="178">
        <f>E27-E26</f>
        <v>-528261.09999999776</v>
      </c>
      <c r="F28" s="155"/>
      <c r="G28" s="155"/>
    </row>
  </sheetData>
  <mergeCells count="7">
    <mergeCell ref="B25:G25"/>
    <mergeCell ref="B23:I23"/>
    <mergeCell ref="B4:I4"/>
    <mergeCell ref="B5:I5"/>
    <mergeCell ref="B17:I17"/>
    <mergeCell ref="B19:I19"/>
    <mergeCell ref="B21:I21"/>
  </mergeCells>
  <pageMargins left="0.7" right="0.7" top="0.75" bottom="0.75" header="0.3" footer="0.3"/>
  <pageSetup scale="86" orientation="portrait" r:id="rId1"/>
</worksheet>
</file>

<file path=xl/worksheets/sheet5.xml><?xml version="1.0" encoding="utf-8"?>
<worksheet xmlns="http://schemas.openxmlformats.org/spreadsheetml/2006/main" xmlns:r="http://schemas.openxmlformats.org/officeDocument/2006/relationships">
  <dimension ref="B2:H53"/>
  <sheetViews>
    <sheetView view="pageBreakPreview" zoomScale="60" zoomScaleNormal="100" workbookViewId="0">
      <selection sqref="A1:I54"/>
    </sheetView>
  </sheetViews>
  <sheetFormatPr defaultRowHeight="15"/>
  <cols>
    <col min="1" max="1" width="2.7109375" customWidth="1"/>
    <col min="2" max="2" width="21.85546875" customWidth="1"/>
    <col min="3" max="3" width="14.42578125" customWidth="1"/>
    <col min="4" max="5" width="13.5703125" customWidth="1"/>
    <col min="6" max="6" width="14.42578125" bestFit="1" customWidth="1"/>
    <col min="7" max="7" width="11.140625" customWidth="1"/>
    <col min="8" max="8" width="15.85546875" bestFit="1" customWidth="1"/>
    <col min="9" max="9" width="3" customWidth="1"/>
  </cols>
  <sheetData>
    <row r="2" spans="2:8" ht="18.75" thickBot="1">
      <c r="B2" s="68" t="s">
        <v>54</v>
      </c>
    </row>
    <row r="3" spans="2:8">
      <c r="B3" s="200" t="s">
        <v>50</v>
      </c>
      <c r="C3" s="201"/>
      <c r="D3" s="201"/>
      <c r="E3" s="201"/>
      <c r="F3" s="201"/>
      <c r="G3" s="201"/>
      <c r="H3" s="202"/>
    </row>
    <row r="4" spans="2:8">
      <c r="B4" s="20"/>
      <c r="C4" s="21"/>
      <c r="D4" s="21"/>
      <c r="E4" s="21"/>
      <c r="F4" s="21"/>
      <c r="G4" s="21"/>
      <c r="H4" s="11"/>
    </row>
    <row r="5" spans="2:8" ht="85.5">
      <c r="B5" s="50" t="s">
        <v>21</v>
      </c>
      <c r="C5" s="32" t="s">
        <v>36</v>
      </c>
      <c r="D5" s="32" t="s">
        <v>39</v>
      </c>
      <c r="E5" s="32" t="s">
        <v>55</v>
      </c>
      <c r="F5" s="32" t="s">
        <v>38</v>
      </c>
      <c r="G5" s="32" t="s">
        <v>51</v>
      </c>
      <c r="H5" s="33" t="s">
        <v>52</v>
      </c>
    </row>
    <row r="6" spans="2:8">
      <c r="B6" s="19" t="s">
        <v>8</v>
      </c>
      <c r="C6" s="34">
        <f>'R|C Ratio'!C$8</f>
        <v>11876815.4</v>
      </c>
      <c r="D6" s="34">
        <f>'R|C Ratio'!F$8</f>
        <v>887426.5</v>
      </c>
      <c r="E6" s="34">
        <f>C6-D6</f>
        <v>10989388.9</v>
      </c>
      <c r="F6" s="34">
        <f>'R|C Ratio'!E$8</f>
        <v>9927778</v>
      </c>
      <c r="G6" s="67">
        <f t="shared" ref="G6:G11" si="0">(H6+D6)/C6</f>
        <v>0.91061485219345917</v>
      </c>
      <c r="H6" s="63">
        <v>9927778</v>
      </c>
    </row>
    <row r="7" spans="2:8">
      <c r="B7" s="19" t="s">
        <v>10</v>
      </c>
      <c r="C7" s="34">
        <f>'R|C Ratio'!C$9</f>
        <v>2376032.2000000002</v>
      </c>
      <c r="D7" s="34">
        <f>'R|C Ratio'!F$9</f>
        <v>171803</v>
      </c>
      <c r="E7" s="34">
        <f t="shared" ref="E7:E11" si="1">C7-D7</f>
        <v>2204229.2000000002</v>
      </c>
      <c r="F7" s="34">
        <f>'R|C Ratio'!E$9</f>
        <v>2426082</v>
      </c>
      <c r="G7" s="62">
        <f t="shared" si="0"/>
        <v>1.0933711251892966</v>
      </c>
      <c r="H7" s="63">
        <v>2426082</v>
      </c>
    </row>
    <row r="8" spans="2:8">
      <c r="B8" s="19" t="s">
        <v>11</v>
      </c>
      <c r="C8" s="34">
        <f>'R|C Ratio'!C$10</f>
        <v>4090319.3</v>
      </c>
      <c r="D8" s="34">
        <f>'R|C Ratio'!F$10</f>
        <v>297617.5</v>
      </c>
      <c r="E8" s="34">
        <f t="shared" si="1"/>
        <v>3792701.8</v>
      </c>
      <c r="F8" s="34">
        <f>'R|C Ratio'!E$10</f>
        <v>4608377</v>
      </c>
      <c r="G8" s="62">
        <f t="shared" si="0"/>
        <v>1.1994160211404523</v>
      </c>
      <c r="H8" s="63">
        <v>4608377</v>
      </c>
    </row>
    <row r="9" spans="2:8">
      <c r="B9" s="19" t="s">
        <v>13</v>
      </c>
      <c r="C9" s="34">
        <f>'R|C Ratio'!C$11</f>
        <v>36954</v>
      </c>
      <c r="D9" s="34">
        <f>'R|C Ratio'!F$11</f>
        <v>3257</v>
      </c>
      <c r="E9" s="34">
        <f t="shared" si="1"/>
        <v>33697</v>
      </c>
      <c r="F9" s="34">
        <f>'R|C Ratio'!E$11</f>
        <v>93264</v>
      </c>
      <c r="G9" s="67">
        <f t="shared" si="0"/>
        <v>2.6048384477999473</v>
      </c>
      <c r="H9" s="63">
        <f>H13-(H6+H7+H8+H10+H11)</f>
        <v>93002.199999999255</v>
      </c>
    </row>
    <row r="10" spans="2:8">
      <c r="B10" s="19" t="s">
        <v>14</v>
      </c>
      <c r="C10" s="34">
        <f>'R|C Ratio'!C$12</f>
        <v>82426</v>
      </c>
      <c r="D10" s="34">
        <f>'R|C Ratio'!F$12</f>
        <v>5731</v>
      </c>
      <c r="E10" s="34">
        <f t="shared" si="1"/>
        <v>76695</v>
      </c>
      <c r="F10" s="34">
        <f>'R|C Ratio'!E$12</f>
        <v>59948</v>
      </c>
      <c r="G10" s="67">
        <f t="shared" si="0"/>
        <v>0.8</v>
      </c>
      <c r="H10" s="63">
        <v>60209.8</v>
      </c>
    </row>
    <row r="11" spans="2:8">
      <c r="B11" s="19" t="s">
        <v>15</v>
      </c>
      <c r="C11" s="34">
        <f>'R|C Ratio'!C$13</f>
        <v>503635</v>
      </c>
      <c r="D11" s="34">
        <f>'R|C Ratio'!F$13</f>
        <v>37349</v>
      </c>
      <c r="E11" s="34">
        <f t="shared" si="1"/>
        <v>466286</v>
      </c>
      <c r="F11" s="34">
        <f>'R|C Ratio'!E$13</f>
        <v>447549</v>
      </c>
      <c r="G11" s="62">
        <f t="shared" si="0"/>
        <v>0.96279646966553156</v>
      </c>
      <c r="H11" s="63">
        <v>447549</v>
      </c>
    </row>
    <row r="12" spans="2:8">
      <c r="B12" s="19"/>
      <c r="C12" s="35"/>
      <c r="D12" s="35"/>
      <c r="E12" s="35"/>
      <c r="F12" s="35"/>
      <c r="G12" s="35"/>
      <c r="H12" s="57"/>
    </row>
    <row r="13" spans="2:8" ht="15.75" thickBot="1">
      <c r="B13" s="22" t="s">
        <v>27</v>
      </c>
      <c r="C13" s="58">
        <f>SUM(C6:C11)</f>
        <v>18966181.900000002</v>
      </c>
      <c r="D13" s="58">
        <f>SUM(D6:D11)</f>
        <v>1403184</v>
      </c>
      <c r="E13" s="58">
        <f>SUM(E6:E11)</f>
        <v>17562997.900000002</v>
      </c>
      <c r="F13" s="58">
        <f>SUM(F6:F11)</f>
        <v>17562998</v>
      </c>
      <c r="G13" s="23"/>
      <c r="H13" s="64">
        <f>F13</f>
        <v>17562998</v>
      </c>
    </row>
    <row r="14" spans="2:8" ht="7.5" customHeight="1">
      <c r="B14" s="3"/>
      <c r="C14" s="3"/>
      <c r="D14" s="3"/>
      <c r="E14" s="3"/>
      <c r="F14" s="3"/>
      <c r="G14" s="3"/>
      <c r="H14" s="3"/>
    </row>
    <row r="15" spans="2:8">
      <c r="B15" s="65" t="s">
        <v>53</v>
      </c>
      <c r="C15" s="66" t="str">
        <f>IF((H6+H7+H8+H9+H10+H11)-F13&lt;1,"YES","NO")</f>
        <v>YES</v>
      </c>
      <c r="D15" s="3"/>
      <c r="E15" s="3"/>
      <c r="F15" s="3"/>
      <c r="G15" s="3"/>
      <c r="H15" s="3"/>
    </row>
    <row r="17" spans="2:8" ht="18.75" thickBot="1">
      <c r="B17" s="68" t="s">
        <v>56</v>
      </c>
    </row>
    <row r="18" spans="2:8">
      <c r="B18" s="200" t="s">
        <v>50</v>
      </c>
      <c r="C18" s="201"/>
      <c r="D18" s="201"/>
      <c r="E18" s="201"/>
      <c r="F18" s="201"/>
      <c r="G18" s="201"/>
      <c r="H18" s="202"/>
    </row>
    <row r="19" spans="2:8">
      <c r="B19" s="20"/>
      <c r="C19" s="21"/>
      <c r="D19" s="21"/>
      <c r="E19" s="21"/>
      <c r="F19" s="21"/>
      <c r="G19" s="21"/>
      <c r="H19" s="11"/>
    </row>
    <row r="20" spans="2:8" ht="85.5">
      <c r="B20" s="50" t="s">
        <v>21</v>
      </c>
      <c r="C20" s="32" t="s">
        <v>36</v>
      </c>
      <c r="D20" s="32" t="s">
        <v>39</v>
      </c>
      <c r="E20" s="32" t="s">
        <v>55</v>
      </c>
      <c r="F20" s="32" t="s">
        <v>38</v>
      </c>
      <c r="G20" s="32" t="s">
        <v>51</v>
      </c>
      <c r="H20" s="33" t="s">
        <v>52</v>
      </c>
    </row>
    <row r="21" spans="2:8">
      <c r="B21" s="19" t="s">
        <v>8</v>
      </c>
      <c r="C21" s="34">
        <f>'R|C Ratio'!C$8</f>
        <v>11876815.4</v>
      </c>
      <c r="D21" s="34">
        <f>'R|C Ratio'!F$8</f>
        <v>887426.5</v>
      </c>
      <c r="E21" s="34">
        <f>C21-D21</f>
        <v>10989388.9</v>
      </c>
      <c r="F21" s="34">
        <f>'R|C Ratio'!E$8</f>
        <v>9927778</v>
      </c>
      <c r="G21" s="67">
        <f t="shared" ref="G21:G26" si="2">(H21+D21)/C21</f>
        <v>0.91061485219345917</v>
      </c>
      <c r="H21" s="63">
        <v>9927778</v>
      </c>
    </row>
    <row r="22" spans="2:8">
      <c r="B22" s="19" t="s">
        <v>10</v>
      </c>
      <c r="C22" s="34">
        <f>'R|C Ratio'!C$9</f>
        <v>2376032.2000000002</v>
      </c>
      <c r="D22" s="34">
        <f>'R|C Ratio'!F$9</f>
        <v>171803</v>
      </c>
      <c r="E22" s="34">
        <f t="shared" ref="E22:E26" si="3">C22-D22</f>
        <v>2204229.2000000002</v>
      </c>
      <c r="F22" s="34">
        <f>'R|C Ratio'!E$9</f>
        <v>2426082</v>
      </c>
      <c r="G22" s="62">
        <f t="shared" si="2"/>
        <v>1.0933711251892966</v>
      </c>
      <c r="H22" s="63">
        <v>2426082</v>
      </c>
    </row>
    <row r="23" spans="2:8">
      <c r="B23" s="19" t="s">
        <v>11</v>
      </c>
      <c r="C23" s="34">
        <f>'R|C Ratio'!C$10</f>
        <v>4090319.3</v>
      </c>
      <c r="D23" s="34">
        <f>'R|C Ratio'!F$10</f>
        <v>297617.5</v>
      </c>
      <c r="E23" s="34">
        <f t="shared" si="3"/>
        <v>3792701.8</v>
      </c>
      <c r="F23" s="34">
        <f>'R|C Ratio'!E$10</f>
        <v>4608377</v>
      </c>
      <c r="G23" s="62">
        <f t="shared" si="2"/>
        <v>1.1994160211404523</v>
      </c>
      <c r="H23" s="63">
        <v>4608377</v>
      </c>
    </row>
    <row r="24" spans="2:8">
      <c r="B24" s="19" t="s">
        <v>13</v>
      </c>
      <c r="C24" s="34">
        <f>'R|C Ratio'!C$11</f>
        <v>36954</v>
      </c>
      <c r="D24" s="34">
        <f>'R|C Ratio'!F$11</f>
        <v>3257</v>
      </c>
      <c r="E24" s="34">
        <f t="shared" si="3"/>
        <v>33697</v>
      </c>
      <c r="F24" s="34">
        <f>'R|C Ratio'!E$11</f>
        <v>93264</v>
      </c>
      <c r="G24" s="67">
        <f t="shared" si="2"/>
        <v>2.358144839530198</v>
      </c>
      <c r="H24" s="63">
        <f>H28-(H21+H22+H23+H25+H26)</f>
        <v>83885.884399998933</v>
      </c>
    </row>
    <row r="25" spans="2:8">
      <c r="B25" s="19" t="s">
        <v>14</v>
      </c>
      <c r="C25" s="34">
        <f>'R|C Ratio'!C$12</f>
        <v>82426</v>
      </c>
      <c r="D25" s="34">
        <f>'R|C Ratio'!F$12</f>
        <v>5731</v>
      </c>
      <c r="E25" s="34">
        <f t="shared" si="3"/>
        <v>76695</v>
      </c>
      <c r="F25" s="34">
        <f>'R|C Ratio'!E$12</f>
        <v>59948</v>
      </c>
      <c r="G25" s="67">
        <f t="shared" si="2"/>
        <v>0.91060000000000008</v>
      </c>
      <c r="H25" s="63">
        <v>69326.115600000005</v>
      </c>
    </row>
    <row r="26" spans="2:8">
      <c r="B26" s="19" t="s">
        <v>15</v>
      </c>
      <c r="C26" s="34">
        <f>'R|C Ratio'!C$13</f>
        <v>503635</v>
      </c>
      <c r="D26" s="34">
        <f>'R|C Ratio'!F$13</f>
        <v>37349</v>
      </c>
      <c r="E26" s="34">
        <f t="shared" si="3"/>
        <v>466286</v>
      </c>
      <c r="F26" s="34">
        <f>'R|C Ratio'!E$13</f>
        <v>447549</v>
      </c>
      <c r="G26" s="62">
        <f t="shared" si="2"/>
        <v>0.96279646966553156</v>
      </c>
      <c r="H26" s="63">
        <v>447549</v>
      </c>
    </row>
    <row r="27" spans="2:8">
      <c r="B27" s="19"/>
      <c r="C27" s="35"/>
      <c r="D27" s="35"/>
      <c r="E27" s="35"/>
      <c r="F27" s="35"/>
      <c r="G27" s="35"/>
      <c r="H27" s="57"/>
    </row>
    <row r="28" spans="2:8" ht="15.75" thickBot="1">
      <c r="B28" s="22" t="s">
        <v>27</v>
      </c>
      <c r="C28" s="58">
        <f>SUM(C21:C26)</f>
        <v>18966181.900000002</v>
      </c>
      <c r="D28" s="58">
        <f>SUM(D21:D26)</f>
        <v>1403184</v>
      </c>
      <c r="E28" s="58">
        <f>SUM(E21:E26)</f>
        <v>17562997.900000002</v>
      </c>
      <c r="F28" s="58">
        <f>SUM(F21:F26)</f>
        <v>17562998</v>
      </c>
      <c r="G28" s="23"/>
      <c r="H28" s="64">
        <f>F28</f>
        <v>17562998</v>
      </c>
    </row>
    <row r="29" spans="2:8" ht="7.5" customHeight="1">
      <c r="B29" s="3"/>
      <c r="C29" s="3"/>
      <c r="D29" s="3"/>
      <c r="E29" s="3"/>
      <c r="F29" s="3"/>
      <c r="G29" s="3"/>
      <c r="H29" s="3"/>
    </row>
    <row r="30" spans="2:8">
      <c r="B30" s="65" t="s">
        <v>53</v>
      </c>
      <c r="C30" s="66" t="str">
        <f>IF((H21+H22+H23+H24+H25+H26)-F28&lt;1,"YES","NO")</f>
        <v>YES</v>
      </c>
      <c r="D30" s="3"/>
      <c r="E30" s="3"/>
      <c r="F30" s="3"/>
      <c r="G30" s="3"/>
      <c r="H30" s="3"/>
    </row>
    <row r="32" spans="2:8" ht="18.75" thickBot="1">
      <c r="B32" s="68" t="s">
        <v>57</v>
      </c>
    </row>
    <row r="33" spans="2:8">
      <c r="B33" s="200" t="s">
        <v>50</v>
      </c>
      <c r="C33" s="201"/>
      <c r="D33" s="201"/>
      <c r="E33" s="201"/>
      <c r="F33" s="201"/>
      <c r="G33" s="201"/>
      <c r="H33" s="202"/>
    </row>
    <row r="34" spans="2:8">
      <c r="B34" s="20"/>
      <c r="C34" s="21"/>
      <c r="D34" s="21"/>
      <c r="E34" s="21"/>
      <c r="F34" s="21"/>
      <c r="G34" s="21"/>
      <c r="H34" s="11"/>
    </row>
    <row r="35" spans="2:8" ht="85.5">
      <c r="B35" s="50" t="s">
        <v>21</v>
      </c>
      <c r="C35" s="32" t="s">
        <v>36</v>
      </c>
      <c r="D35" s="32" t="s">
        <v>39</v>
      </c>
      <c r="E35" s="32" t="s">
        <v>55</v>
      </c>
      <c r="F35" s="32" t="s">
        <v>38</v>
      </c>
      <c r="G35" s="32" t="s">
        <v>51</v>
      </c>
      <c r="H35" s="33" t="s">
        <v>52</v>
      </c>
    </row>
    <row r="36" spans="2:8">
      <c r="B36" s="19" t="s">
        <v>8</v>
      </c>
      <c r="C36" s="34">
        <f>'R|C Ratio'!C$8</f>
        <v>11876815.4</v>
      </c>
      <c r="D36" s="34">
        <f>'R|C Ratio'!F$8</f>
        <v>887426.5</v>
      </c>
      <c r="E36" s="34">
        <f>C36-D36</f>
        <v>10989388.9</v>
      </c>
      <c r="F36" s="34">
        <f>'R|C Ratio'!E$8</f>
        <v>9927778</v>
      </c>
      <c r="G36" s="67">
        <f t="shared" ref="G36:G41" si="4">(H36+D36)/C36</f>
        <v>0.91419336624529834</v>
      </c>
      <c r="H36" s="63">
        <f>H43-(H37+H38+H39+H40+H41)</f>
        <v>9970279.3508000001</v>
      </c>
    </row>
    <row r="37" spans="2:8">
      <c r="B37" s="19" t="s">
        <v>10</v>
      </c>
      <c r="C37" s="34">
        <f>'R|C Ratio'!C$9</f>
        <v>2376032.2000000002</v>
      </c>
      <c r="D37" s="34">
        <f>'R|C Ratio'!F$9</f>
        <v>171803</v>
      </c>
      <c r="E37" s="34">
        <f t="shared" ref="E37:E41" si="5">C37-D37</f>
        <v>2204229.2000000002</v>
      </c>
      <c r="F37" s="34">
        <f>'R|C Ratio'!E$9</f>
        <v>2426082</v>
      </c>
      <c r="G37" s="62">
        <f t="shared" si="4"/>
        <v>1.0933711251892966</v>
      </c>
      <c r="H37" s="63">
        <v>2426082</v>
      </c>
    </row>
    <row r="38" spans="2:8">
      <c r="B38" s="19" t="s">
        <v>11</v>
      </c>
      <c r="C38" s="34">
        <f>'R|C Ratio'!C$10</f>
        <v>4090319.3</v>
      </c>
      <c r="D38" s="34">
        <f>'R|C Ratio'!F$10</f>
        <v>297617.5</v>
      </c>
      <c r="E38" s="34">
        <f t="shared" si="5"/>
        <v>3792701.8</v>
      </c>
      <c r="F38" s="34">
        <f>'R|C Ratio'!E$10</f>
        <v>4608377</v>
      </c>
      <c r="G38" s="62">
        <f t="shared" si="4"/>
        <v>1.1994160211404523</v>
      </c>
      <c r="H38" s="63">
        <v>4608377</v>
      </c>
    </row>
    <row r="39" spans="2:8">
      <c r="B39" s="19" t="s">
        <v>13</v>
      </c>
      <c r="C39" s="34">
        <f>'R|C Ratio'!C$11</f>
        <v>36954</v>
      </c>
      <c r="D39" s="34">
        <f>'R|C Ratio'!F$11</f>
        <v>3257</v>
      </c>
      <c r="E39" s="34">
        <f t="shared" si="5"/>
        <v>33697</v>
      </c>
      <c r="F39" s="34">
        <f>'R|C Ratio'!E$11</f>
        <v>93264</v>
      </c>
      <c r="G39" s="67">
        <f t="shared" si="4"/>
        <v>1.2000000000000002</v>
      </c>
      <c r="H39" s="63">
        <v>41087.800000000003</v>
      </c>
    </row>
    <row r="40" spans="2:8">
      <c r="B40" s="19" t="s">
        <v>14</v>
      </c>
      <c r="C40" s="34">
        <f>'R|C Ratio'!C$12</f>
        <v>82426</v>
      </c>
      <c r="D40" s="34">
        <f>'R|C Ratio'!F$12</f>
        <v>5731</v>
      </c>
      <c r="E40" s="34">
        <f t="shared" si="5"/>
        <v>76695</v>
      </c>
      <c r="F40" s="34">
        <f>'R|C Ratio'!E$12</f>
        <v>59948</v>
      </c>
      <c r="G40" s="67">
        <f t="shared" si="4"/>
        <v>0.91420000000000001</v>
      </c>
      <c r="H40" s="63">
        <v>69622.849199999997</v>
      </c>
    </row>
    <row r="41" spans="2:8">
      <c r="B41" s="19" t="s">
        <v>15</v>
      </c>
      <c r="C41" s="34">
        <f>'R|C Ratio'!C$13</f>
        <v>503635</v>
      </c>
      <c r="D41" s="34">
        <f>'R|C Ratio'!F$13</f>
        <v>37349</v>
      </c>
      <c r="E41" s="34">
        <f t="shared" si="5"/>
        <v>466286</v>
      </c>
      <c r="F41" s="34">
        <f>'R|C Ratio'!E$13</f>
        <v>447549</v>
      </c>
      <c r="G41" s="62">
        <f t="shared" si="4"/>
        <v>0.96279646966553156</v>
      </c>
      <c r="H41" s="63">
        <v>447549</v>
      </c>
    </row>
    <row r="42" spans="2:8">
      <c r="B42" s="19"/>
      <c r="C42" s="35"/>
      <c r="D42" s="35"/>
      <c r="E42" s="35"/>
      <c r="F42" s="35"/>
      <c r="G42" s="35"/>
      <c r="H42" s="57"/>
    </row>
    <row r="43" spans="2:8" ht="15.75" thickBot="1">
      <c r="B43" s="22" t="s">
        <v>27</v>
      </c>
      <c r="C43" s="58">
        <f>SUM(C36:C41)</f>
        <v>18966181.900000002</v>
      </c>
      <c r="D43" s="58">
        <f>SUM(D36:D41)</f>
        <v>1403184</v>
      </c>
      <c r="E43" s="58">
        <f>SUM(E36:E41)</f>
        <v>17562997.900000002</v>
      </c>
      <c r="F43" s="58">
        <f>SUM(F36:F41)</f>
        <v>17562998</v>
      </c>
      <c r="G43" s="23"/>
      <c r="H43" s="64">
        <f>F43</f>
        <v>17562998</v>
      </c>
    </row>
    <row r="44" spans="2:8" ht="7.5" customHeight="1">
      <c r="B44" s="3"/>
      <c r="C44" s="3"/>
      <c r="D44" s="3"/>
      <c r="E44" s="3"/>
      <c r="F44" s="3"/>
      <c r="G44" s="3"/>
      <c r="H44" s="3"/>
    </row>
    <row r="45" spans="2:8">
      <c r="B45" s="65" t="s">
        <v>53</v>
      </c>
      <c r="C45" s="66" t="str">
        <f>IF((H36+H37+H38+H39+H40+H41)-F43&lt;1,"YES","NO")</f>
        <v>YES</v>
      </c>
      <c r="D45" s="3"/>
      <c r="E45" s="3"/>
      <c r="F45" s="3"/>
      <c r="G45" s="3"/>
      <c r="H45" s="3"/>
    </row>
    <row r="47" spans="2:8" ht="30" customHeight="1">
      <c r="B47" s="205" t="s">
        <v>58</v>
      </c>
      <c r="C47" s="205"/>
      <c r="D47" s="205"/>
      <c r="E47" s="205"/>
      <c r="F47" s="205"/>
      <c r="G47" s="205"/>
      <c r="H47" s="205"/>
    </row>
    <row r="49" spans="2:6">
      <c r="B49" s="3"/>
      <c r="C49" s="69" t="s">
        <v>80</v>
      </c>
      <c r="D49" s="69" t="s">
        <v>81</v>
      </c>
      <c r="E49" s="69" t="s">
        <v>74</v>
      </c>
      <c r="F49" s="69" t="s">
        <v>82</v>
      </c>
    </row>
    <row r="50" spans="2:6">
      <c r="B50" s="3" t="s">
        <v>13</v>
      </c>
      <c r="C50" s="88">
        <f>'R|C Ratio'!G11</f>
        <v>2.6119229312117769</v>
      </c>
      <c r="D50" s="88">
        <f>G39</f>
        <v>1.2000000000000002</v>
      </c>
      <c r="E50" s="88">
        <f>C50-D50</f>
        <v>1.4119229312117767</v>
      </c>
      <c r="F50" s="88">
        <f>E50*0.25</f>
        <v>0.35298073280294417</v>
      </c>
    </row>
    <row r="52" spans="2:6">
      <c r="B52" s="3" t="s">
        <v>84</v>
      </c>
      <c r="C52" s="69">
        <v>2013</v>
      </c>
      <c r="D52" s="69">
        <v>2014</v>
      </c>
      <c r="E52" s="69">
        <v>2015</v>
      </c>
      <c r="F52" s="69">
        <v>2016</v>
      </c>
    </row>
    <row r="53" spans="2:6">
      <c r="B53" s="3" t="s">
        <v>13</v>
      </c>
      <c r="C53" s="88">
        <f>C50-F50</f>
        <v>2.2589421984088327</v>
      </c>
      <c r="D53" s="88">
        <f>C53-F50</f>
        <v>1.9059614656058885</v>
      </c>
      <c r="E53" s="88">
        <f>D53-F50</f>
        <v>1.5529807328029444</v>
      </c>
      <c r="F53" s="88">
        <f>E53-F50</f>
        <v>1.2000000000000002</v>
      </c>
    </row>
  </sheetData>
  <mergeCells count="4">
    <mergeCell ref="B3:H3"/>
    <mergeCell ref="B18:H18"/>
    <mergeCell ref="B33:H33"/>
    <mergeCell ref="B47:H47"/>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dimension ref="B1:I20"/>
  <sheetViews>
    <sheetView workbookViewId="0">
      <selection sqref="A1:I23"/>
    </sheetView>
  </sheetViews>
  <sheetFormatPr defaultRowHeight="14.25"/>
  <cols>
    <col min="1" max="1" width="2.7109375" style="3" customWidth="1"/>
    <col min="2" max="2" width="21.42578125" style="3" bestFit="1" customWidth="1"/>
    <col min="3" max="3" width="1.7109375" style="3" customWidth="1"/>
    <col min="4" max="4" width="12.28515625" style="3" bestFit="1" customWidth="1"/>
    <col min="5" max="5" width="4.7109375" style="3" customWidth="1"/>
    <col min="6" max="6" width="12.28515625" style="3" bestFit="1" customWidth="1"/>
    <col min="7" max="7" width="4.7109375" style="3" customWidth="1"/>
    <col min="8" max="8" width="12.5703125" style="3" customWidth="1"/>
    <col min="9" max="16384" width="9.140625" style="3"/>
  </cols>
  <sheetData>
    <row r="1" spans="2:9" ht="15" thickBot="1"/>
    <row r="2" spans="2:9" ht="14.25" customHeight="1">
      <c r="B2" s="212" t="s">
        <v>59</v>
      </c>
      <c r="C2" s="213"/>
      <c r="D2" s="213"/>
      <c r="E2" s="213"/>
      <c r="F2" s="213"/>
      <c r="G2" s="213"/>
      <c r="H2" s="214"/>
      <c r="I2" s="70"/>
    </row>
    <row r="3" spans="2:9" ht="28.5">
      <c r="B3" s="19" t="s">
        <v>21</v>
      </c>
      <c r="C3" s="35"/>
      <c r="D3" s="13" t="s">
        <v>60</v>
      </c>
      <c r="E3" s="35"/>
      <c r="F3" s="13" t="s">
        <v>17</v>
      </c>
      <c r="G3" s="35"/>
      <c r="H3" s="44" t="s">
        <v>18</v>
      </c>
    </row>
    <row r="4" spans="2:9" ht="6.75" customHeight="1">
      <c r="B4" s="20"/>
      <c r="C4" s="21"/>
      <c r="D4" s="76"/>
      <c r="E4" s="21"/>
      <c r="F4" s="76"/>
      <c r="G4" s="21"/>
      <c r="H4" s="11"/>
    </row>
    <row r="5" spans="2:9">
      <c r="B5" s="19" t="s">
        <v>8</v>
      </c>
      <c r="C5" s="35"/>
      <c r="D5" s="45">
        <f>'Existing F_V Ratios'!F20</f>
        <v>0.63575992615000965</v>
      </c>
      <c r="E5" s="35"/>
      <c r="F5" s="45">
        <f>'Existing F_V Ratios'!F47</f>
        <v>0.51900668388759774</v>
      </c>
      <c r="G5" s="35"/>
      <c r="H5" s="36">
        <f>'Existing F_V Ratios'!F74</f>
        <v>0.59747326567377246</v>
      </c>
    </row>
    <row r="6" spans="2:9">
      <c r="B6" s="19" t="s">
        <v>10</v>
      </c>
      <c r="C6" s="35"/>
      <c r="D6" s="45">
        <f>'Existing F_V Ratios'!F21</f>
        <v>0.27115984633010087</v>
      </c>
      <c r="E6" s="35"/>
      <c r="F6" s="45">
        <f>'Existing F_V Ratios'!F48</f>
        <v>0.49072772718534791</v>
      </c>
      <c r="G6" s="35"/>
      <c r="H6" s="36">
        <f>'Existing F_V Ratios'!F75</f>
        <v>0.33850469226402286</v>
      </c>
    </row>
    <row r="7" spans="2:9">
      <c r="B7" s="19" t="s">
        <v>11</v>
      </c>
      <c r="C7" s="35"/>
      <c r="D7" s="45">
        <f>'Existing F_V Ratios'!F22</f>
        <v>8.2757631485779068E-2</v>
      </c>
      <c r="E7" s="35"/>
      <c r="F7" s="45">
        <f>'Existing F_V Ratios'!F49</f>
        <v>0.41778930026227629</v>
      </c>
      <c r="G7" s="35"/>
      <c r="H7" s="36">
        <f>'Existing F_V Ratios'!F76</f>
        <v>0.18485506252689318</v>
      </c>
    </row>
    <row r="8" spans="2:9">
      <c r="B8" s="19" t="s">
        <v>13</v>
      </c>
      <c r="C8" s="35"/>
      <c r="D8" s="45">
        <f>'Existing F_V Ratios'!F23</f>
        <v>0.34979319802141212</v>
      </c>
      <c r="E8" s="35"/>
      <c r="F8" s="45">
        <f>'Existing F_V Ratios'!F50</f>
        <v>0.36177819221808427</v>
      </c>
      <c r="G8" s="35"/>
      <c r="H8" s="36">
        <f>'Existing F_V Ratios'!F77</f>
        <v>0.35321110477384154</v>
      </c>
    </row>
    <row r="9" spans="2:9">
      <c r="B9" s="19" t="s">
        <v>14</v>
      </c>
      <c r="C9" s="35"/>
      <c r="D9" s="45">
        <f>'Existing F_V Ratios'!F24</f>
        <v>0.81022381561523071</v>
      </c>
      <c r="E9" s="35"/>
      <c r="F9" s="45">
        <f>'Existing F_V Ratios'!F51</f>
        <v>0.882788871752759</v>
      </c>
      <c r="G9" s="35"/>
      <c r="H9" s="36">
        <f>'Existing F_V Ratios'!F78</f>
        <v>0.81344192480405852</v>
      </c>
    </row>
    <row r="10" spans="2:9">
      <c r="B10" s="19" t="s">
        <v>15</v>
      </c>
      <c r="C10" s="35"/>
      <c r="D10" s="45">
        <f>'Existing F_V Ratios'!F25</f>
        <v>0.7476838248658777</v>
      </c>
      <c r="E10" s="35"/>
      <c r="F10" s="45">
        <f>'Existing F_V Ratios'!F52</f>
        <v>0.67102110182681296</v>
      </c>
      <c r="G10" s="35"/>
      <c r="H10" s="36">
        <f>'Existing F_V Ratios'!F79</f>
        <v>0.72681843654596889</v>
      </c>
    </row>
    <row r="11" spans="2:9" ht="15" thickBot="1">
      <c r="B11" s="20"/>
      <c r="C11" s="21"/>
      <c r="D11" s="21"/>
      <c r="E11" s="21"/>
      <c r="F11" s="21"/>
      <c r="G11" s="21"/>
      <c r="H11" s="11"/>
    </row>
    <row r="12" spans="2:9" ht="15" thickBot="1">
      <c r="B12" s="215" t="s">
        <v>62</v>
      </c>
      <c r="C12" s="216"/>
      <c r="D12" s="216"/>
      <c r="E12" s="216"/>
      <c r="F12" s="216"/>
      <c r="G12" s="216"/>
      <c r="H12" s="217"/>
    </row>
    <row r="13" spans="2:9" ht="57">
      <c r="B13" s="79" t="s">
        <v>21</v>
      </c>
      <c r="C13" s="80"/>
      <c r="D13" s="81" t="s">
        <v>60</v>
      </c>
      <c r="E13" s="80"/>
      <c r="F13" s="81" t="s">
        <v>17</v>
      </c>
      <c r="G13" s="80"/>
      <c r="H13" s="82" t="s">
        <v>61</v>
      </c>
    </row>
    <row r="14" spans="2:9">
      <c r="B14" s="20"/>
      <c r="C14" s="21"/>
      <c r="D14" s="76"/>
      <c r="E14" s="21"/>
      <c r="F14" s="76"/>
      <c r="G14" s="21"/>
      <c r="H14" s="11"/>
    </row>
    <row r="15" spans="2:9">
      <c r="B15" s="19" t="s">
        <v>8</v>
      </c>
      <c r="C15" s="35"/>
      <c r="D15" s="74">
        <f>'Existing F_V Ratios'!C20/'Existing Rates &amp; Forecast Vols'!F7/12</f>
        <v>18.170000000000002</v>
      </c>
      <c r="E15" s="75"/>
      <c r="F15" s="74">
        <f>'Existing F_V Ratios'!C47/'Existing Rates &amp; Forecast Vols'!F21/12</f>
        <v>15.57</v>
      </c>
      <c r="G15" s="75"/>
      <c r="H15" s="176">
        <f>'Target R|C Ratios'!H21*'F_V Analysis'!H5/'Existing Rates &amp; Forecast Vols'!F35/12</f>
        <v>19.241640204446238</v>
      </c>
    </row>
    <row r="16" spans="2:9">
      <c r="B16" s="19" t="s">
        <v>10</v>
      </c>
      <c r="C16" s="35"/>
      <c r="D16" s="74">
        <f>'Existing F_V Ratios'!C21/'Existing Rates &amp; Forecast Vols'!F8/12</f>
        <v>20.980000000000004</v>
      </c>
      <c r="E16" s="75"/>
      <c r="F16" s="74">
        <f>'Existing F_V Ratios'!C48/'Existing Rates &amp; Forecast Vols'!F22/12</f>
        <v>30.889999999999997</v>
      </c>
      <c r="G16" s="75"/>
      <c r="H16" s="176">
        <f>'Target R|C Ratios'!H22*'F_V Analysis'!H6/'Existing Rates &amp; Forecast Vols'!F36/12</f>
        <v>27.14663958803666</v>
      </c>
    </row>
    <row r="17" spans="2:8">
      <c r="B17" s="19" t="s">
        <v>11</v>
      </c>
      <c r="C17" s="35"/>
      <c r="D17" s="74">
        <f>'Existing F_V Ratios'!C22/'Existing Rates &amp; Forecast Vols'!F9/12</f>
        <v>133.68</v>
      </c>
      <c r="E17" s="75"/>
      <c r="F17" s="74">
        <f>'Existing F_V Ratios'!C49/'Existing Rates &amp; Forecast Vols'!F23/12</f>
        <v>557.9</v>
      </c>
      <c r="G17" s="75"/>
      <c r="H17" s="176">
        <f>'Target R|C Ratios'!H23*'F_V Analysis'!H7/'Existing Rates &amp; Forecast Vols'!F37/12</f>
        <v>311.36031377284229</v>
      </c>
    </row>
    <row r="18" spans="2:8">
      <c r="B18" s="19" t="s">
        <v>13</v>
      </c>
      <c r="C18" s="35"/>
      <c r="D18" s="74">
        <f>'Existing F_V Ratios'!C23/'Existing Rates &amp; Forecast Vols'!F10/12</f>
        <v>70.069999999999979</v>
      </c>
      <c r="E18" s="75"/>
      <c r="F18" s="74">
        <f>'Existing F_V Ratios'!C50/'Existing Rates &amp; Forecast Vols'!F24/12</f>
        <v>51.63</v>
      </c>
      <c r="G18" s="75"/>
      <c r="H18" s="176">
        <f>'Target R|C Ratios'!H24*'F_V Analysis'!H8/'Existing Rates &amp; Forecast Vols'!F38/12</f>
        <v>63.310739110799965</v>
      </c>
    </row>
    <row r="19" spans="2:8">
      <c r="B19" s="19" t="s">
        <v>14</v>
      </c>
      <c r="C19" s="35"/>
      <c r="D19" s="74">
        <f>'Existing F_V Ratios'!C24/'Existing Rates &amp; Forecast Vols'!F11/12</f>
        <v>3.7900000000000005</v>
      </c>
      <c r="E19" s="75"/>
      <c r="F19" s="74">
        <f>'Existing F_V Ratios'!C51/'Existing Rates &amp; Forecast Vols'!F25/12</f>
        <v>4.3</v>
      </c>
      <c r="G19" s="75"/>
      <c r="H19" s="176">
        <f>'Target R|C Ratios'!H25*'F_V Analysis'!H9/'Existing Rates &amp; Forecast Vols'!F39/12</f>
        <v>4.8901117683708524</v>
      </c>
    </row>
    <row r="20" spans="2:8" ht="15" thickBot="1">
      <c r="B20" s="22" t="s">
        <v>15</v>
      </c>
      <c r="C20" s="23"/>
      <c r="D20" s="77">
        <f>'Existing F_V Ratios'!C25/'Existing Rates &amp; Forecast Vols'!F12/12</f>
        <v>4.95</v>
      </c>
      <c r="E20" s="78"/>
      <c r="F20" s="77">
        <f>'Existing F_V Ratios'!C52/'Existing Rates &amp; Forecast Vols'!F26/12</f>
        <v>3.0700000000000003</v>
      </c>
      <c r="G20" s="78"/>
      <c r="H20" s="177">
        <f>'Target R|C Ratios'!H26*'F_V Analysis'!H10/'Existing Rates &amp; Forecast Vols'!F40/12</f>
        <v>4.7589955591308497</v>
      </c>
    </row>
  </sheetData>
  <mergeCells count="2">
    <mergeCell ref="B2:H2"/>
    <mergeCell ref="B12:H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B1:L21"/>
  <sheetViews>
    <sheetView workbookViewId="0">
      <selection sqref="A1:H22"/>
    </sheetView>
  </sheetViews>
  <sheetFormatPr defaultRowHeight="14.25"/>
  <cols>
    <col min="1" max="1" width="2.7109375" style="3" customWidth="1"/>
    <col min="2" max="2" width="22.140625" style="3" customWidth="1"/>
    <col min="3" max="4" width="14" style="3" customWidth="1"/>
    <col min="5" max="5" width="1.7109375" style="3" customWidth="1"/>
    <col min="6" max="6" width="9.85546875" style="3" bestFit="1" customWidth="1"/>
    <col min="7" max="16384" width="9.140625" style="3"/>
  </cols>
  <sheetData>
    <row r="1" spans="2:12" ht="15" thickBot="1"/>
    <row r="2" spans="2:12" ht="15">
      <c r="B2" s="200" t="s">
        <v>69</v>
      </c>
      <c r="C2" s="201"/>
      <c r="D2" s="201"/>
      <c r="E2" s="201"/>
      <c r="F2" s="201"/>
      <c r="G2" s="202"/>
    </row>
    <row r="3" spans="2:12">
      <c r="B3" s="20"/>
      <c r="C3" s="21"/>
      <c r="D3" s="21"/>
      <c r="E3" s="21"/>
      <c r="F3" s="21"/>
      <c r="G3" s="11"/>
    </row>
    <row r="4" spans="2:12" ht="71.25">
      <c r="B4" s="219" t="s">
        <v>21</v>
      </c>
      <c r="C4" s="13" t="s">
        <v>63</v>
      </c>
      <c r="D4" s="13" t="s">
        <v>64</v>
      </c>
      <c r="E4" s="35"/>
      <c r="F4" s="13" t="s">
        <v>65</v>
      </c>
      <c r="G4" s="15" t="s">
        <v>66</v>
      </c>
    </row>
    <row r="5" spans="2:12">
      <c r="B5" s="219"/>
      <c r="C5" s="43" t="s">
        <v>67</v>
      </c>
      <c r="D5" s="43" t="s">
        <v>68</v>
      </c>
      <c r="E5" s="35"/>
      <c r="F5" s="35"/>
      <c r="G5" s="57"/>
    </row>
    <row r="6" spans="2:12">
      <c r="B6" s="19" t="s">
        <v>8</v>
      </c>
      <c r="C6" s="16">
        <v>5.22</v>
      </c>
      <c r="D6" s="16">
        <v>24.17</v>
      </c>
      <c r="E6" s="35"/>
      <c r="F6" s="16">
        <f>'F_V Analysis'!H15</f>
        <v>19.241640204446238</v>
      </c>
      <c r="G6" s="72" t="b">
        <f t="shared" ref="G6:G11" si="0">AND((C6&lt;F6),(D6&gt;F6))</f>
        <v>1</v>
      </c>
    </row>
    <row r="7" spans="2:12">
      <c r="B7" s="19" t="s">
        <v>10</v>
      </c>
      <c r="C7" s="16">
        <v>11.23</v>
      </c>
      <c r="D7" s="16">
        <v>35.590000000000003</v>
      </c>
      <c r="E7" s="35"/>
      <c r="F7" s="16">
        <f>'F_V Analysis'!H16</f>
        <v>27.14663958803666</v>
      </c>
      <c r="G7" s="72" t="b">
        <f t="shared" si="0"/>
        <v>1</v>
      </c>
    </row>
    <row r="8" spans="2:12">
      <c r="B8" s="19" t="s">
        <v>11</v>
      </c>
      <c r="C8" s="16">
        <v>52.8</v>
      </c>
      <c r="D8" s="16">
        <v>145.84</v>
      </c>
      <c r="E8" s="35"/>
      <c r="F8" s="83">
        <f>'F_V Analysis'!H17</f>
        <v>311.36031377284229</v>
      </c>
      <c r="G8" s="84" t="b">
        <f t="shared" si="0"/>
        <v>0</v>
      </c>
    </row>
    <row r="9" spans="2:12">
      <c r="B9" s="19" t="s">
        <v>13</v>
      </c>
      <c r="C9" s="16">
        <v>0.42</v>
      </c>
      <c r="D9" s="16">
        <v>11.16</v>
      </c>
      <c r="E9" s="35"/>
      <c r="F9" s="83">
        <f>'F_V Analysis'!H18</f>
        <v>63.310739110799965</v>
      </c>
      <c r="G9" s="84" t="b">
        <f t="shared" si="0"/>
        <v>0</v>
      </c>
      <c r="L9" s="189"/>
    </row>
    <row r="10" spans="2:12">
      <c r="B10" s="19" t="s">
        <v>14</v>
      </c>
      <c r="C10" s="16">
        <v>0.28999999999999998</v>
      </c>
      <c r="D10" s="16">
        <v>10.220000000000001</v>
      </c>
      <c r="E10" s="35"/>
      <c r="F10" s="16">
        <f>'F_V Analysis'!H19</f>
        <v>4.8901117683708524</v>
      </c>
      <c r="G10" s="72" t="b">
        <f t="shared" si="0"/>
        <v>1</v>
      </c>
    </row>
    <row r="11" spans="2:12" ht="15" thickBot="1">
      <c r="B11" s="22" t="s">
        <v>15</v>
      </c>
      <c r="C11" s="24">
        <v>0.12</v>
      </c>
      <c r="D11" s="24">
        <v>11.17</v>
      </c>
      <c r="E11" s="23"/>
      <c r="F11" s="24">
        <f>'F_V Analysis'!H20</f>
        <v>4.7589955591308497</v>
      </c>
      <c r="G11" s="73" t="b">
        <f t="shared" si="0"/>
        <v>1</v>
      </c>
    </row>
    <row r="13" spans="2:12">
      <c r="B13" s="3" t="s">
        <v>32</v>
      </c>
    </row>
    <row r="14" spans="2:12" ht="29.25" customHeight="1">
      <c r="B14" s="218" t="s">
        <v>71</v>
      </c>
      <c r="C14" s="218"/>
      <c r="D14" s="218"/>
      <c r="E14" s="218"/>
      <c r="F14" s="218"/>
      <c r="G14" s="218"/>
    </row>
    <row r="15" spans="2:12" ht="8.25" customHeight="1">
      <c r="B15" s="85"/>
      <c r="C15" s="85"/>
      <c r="D15" s="85"/>
      <c r="E15" s="85"/>
      <c r="F15" s="85"/>
      <c r="G15" s="85"/>
    </row>
    <row r="16" spans="2:12" ht="30" customHeight="1">
      <c r="B16" s="218" t="s">
        <v>186</v>
      </c>
      <c r="C16" s="218"/>
      <c r="D16" s="218"/>
      <c r="E16" s="218"/>
      <c r="F16" s="218"/>
      <c r="G16" s="218"/>
    </row>
    <row r="17" spans="2:7" ht="8.25" customHeight="1">
      <c r="B17" s="85"/>
      <c r="C17" s="85"/>
      <c r="D17" s="85"/>
      <c r="E17" s="85"/>
      <c r="F17" s="85"/>
      <c r="G17" s="85"/>
    </row>
    <row r="18" spans="2:7" ht="45" customHeight="1">
      <c r="B18" s="218" t="s">
        <v>187</v>
      </c>
      <c r="C18" s="218"/>
      <c r="D18" s="218"/>
      <c r="E18" s="218"/>
      <c r="F18" s="218"/>
      <c r="G18" s="218"/>
    </row>
    <row r="19" spans="2:7" ht="8.25" customHeight="1">
      <c r="B19" s="85"/>
      <c r="C19" s="85"/>
      <c r="D19" s="85"/>
      <c r="E19" s="85"/>
      <c r="F19" s="85"/>
      <c r="G19" s="85"/>
    </row>
    <row r="20" spans="2:7" ht="30" customHeight="1">
      <c r="B20" s="218" t="s">
        <v>70</v>
      </c>
      <c r="C20" s="218"/>
      <c r="D20" s="218"/>
      <c r="E20" s="218"/>
      <c r="F20" s="218"/>
      <c r="G20" s="218"/>
    </row>
    <row r="21" spans="2:7" ht="8.25" customHeight="1">
      <c r="B21" s="85"/>
      <c r="C21" s="85"/>
      <c r="D21" s="85"/>
      <c r="E21" s="85"/>
      <c r="F21" s="85"/>
      <c r="G21" s="85"/>
    </row>
  </sheetData>
  <mergeCells count="6">
    <mergeCell ref="B20:G20"/>
    <mergeCell ref="B2:G2"/>
    <mergeCell ref="B4:B5"/>
    <mergeCell ref="B14:G14"/>
    <mergeCell ref="B16:G16"/>
    <mergeCell ref="B18:G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B1:K19"/>
  <sheetViews>
    <sheetView view="pageBreakPreview" zoomScale="60" zoomScaleNormal="100" workbookViewId="0">
      <selection sqref="A1:L21"/>
    </sheetView>
  </sheetViews>
  <sheetFormatPr defaultRowHeight="14.25"/>
  <cols>
    <col min="1" max="1" width="2.7109375" style="3" customWidth="1"/>
    <col min="2" max="2" width="21.42578125" style="3" bestFit="1" customWidth="1"/>
    <col min="3" max="3" width="9.42578125" style="3" bestFit="1" customWidth="1"/>
    <col min="4" max="5" width="9.28515625" style="3" bestFit="1" customWidth="1"/>
    <col min="6" max="6" width="3.5703125" style="3" customWidth="1"/>
    <col min="7" max="7" width="9.28515625" style="3" bestFit="1" customWidth="1"/>
    <col min="8" max="8" width="9.42578125" style="3" bestFit="1" customWidth="1"/>
    <col min="9" max="11" width="9.28515625" style="3" bestFit="1" customWidth="1"/>
    <col min="12" max="16384" width="9.140625" style="3"/>
  </cols>
  <sheetData>
    <row r="1" spans="2:11">
      <c r="B1" s="220" t="s">
        <v>174</v>
      </c>
      <c r="C1" s="220"/>
      <c r="D1" s="220"/>
      <c r="E1" s="220"/>
      <c r="F1" s="220"/>
      <c r="G1" s="220"/>
      <c r="H1" s="220"/>
      <c r="I1" s="220"/>
      <c r="J1" s="220"/>
      <c r="K1" s="220"/>
    </row>
    <row r="3" spans="2:11" ht="42.75">
      <c r="B3" s="3" t="s">
        <v>21</v>
      </c>
      <c r="C3" s="1" t="s">
        <v>72</v>
      </c>
      <c r="D3" s="1" t="s">
        <v>73</v>
      </c>
      <c r="E3" s="3" t="s">
        <v>74</v>
      </c>
      <c r="G3" s="1" t="s">
        <v>75</v>
      </c>
      <c r="H3" s="1" t="s">
        <v>76</v>
      </c>
      <c r="I3" s="1" t="s">
        <v>77</v>
      </c>
      <c r="J3" s="1" t="s">
        <v>78</v>
      </c>
      <c r="K3" s="1" t="s">
        <v>79</v>
      </c>
    </row>
    <row r="4" spans="2:11" ht="6" customHeight="1">
      <c r="C4" s="1"/>
      <c r="D4" s="1"/>
    </row>
    <row r="5" spans="2:11" ht="14.25" customHeight="1">
      <c r="B5" s="220" t="s">
        <v>0</v>
      </c>
      <c r="C5" s="220"/>
      <c r="D5" s="220"/>
      <c r="E5" s="220"/>
      <c r="F5" s="220"/>
      <c r="G5" s="220"/>
      <c r="H5" s="220"/>
      <c r="I5" s="220"/>
      <c r="J5" s="220"/>
      <c r="K5" s="220"/>
    </row>
    <row r="6" spans="2:11">
      <c r="B6" s="3" t="s">
        <v>8</v>
      </c>
      <c r="C6" s="87">
        <f>'Existing Rates &amp; Forecast Vols'!C7</f>
        <v>18.170000000000002</v>
      </c>
      <c r="D6" s="87">
        <f>'Floor_Ceiling Review'!F6</f>
        <v>19.241640204446238</v>
      </c>
      <c r="E6" s="87">
        <f>D6-C6</f>
        <v>1.0716402044462363</v>
      </c>
      <c r="F6" s="87"/>
      <c r="G6" s="87">
        <f>E6</f>
        <v>1.0716402044462363</v>
      </c>
      <c r="H6" s="87">
        <f>E6/2</f>
        <v>0.53582010222311816</v>
      </c>
      <c r="I6" s="87">
        <f>E6/3</f>
        <v>0.35721340148207875</v>
      </c>
      <c r="J6" s="87">
        <f>E6/4</f>
        <v>0.26791005111155908</v>
      </c>
      <c r="K6" s="87">
        <f>E6/5</f>
        <v>0.21432804088924726</v>
      </c>
    </row>
    <row r="7" spans="2:11">
      <c r="B7" s="3" t="s">
        <v>10</v>
      </c>
      <c r="C7" s="87">
        <f>'Existing Rates &amp; Forecast Vols'!C8</f>
        <v>20.98</v>
      </c>
      <c r="D7" s="87">
        <f>'Floor_Ceiling Review'!F7</f>
        <v>27.14663958803666</v>
      </c>
      <c r="E7" s="87">
        <f t="shared" ref="E7:E11" si="0">D7-C7</f>
        <v>6.1666395880366593</v>
      </c>
      <c r="F7" s="87"/>
      <c r="G7" s="87">
        <f t="shared" ref="G7:G11" si="1">E7</f>
        <v>6.1666395880366593</v>
      </c>
      <c r="H7" s="87">
        <f t="shared" ref="H7:H11" si="2">E7/2</f>
        <v>3.0833197940183297</v>
      </c>
      <c r="I7" s="87">
        <f t="shared" ref="I7:I11" si="3">E7/3</f>
        <v>2.0555465293455533</v>
      </c>
      <c r="J7" s="87">
        <f t="shared" ref="J7:J11" si="4">E7/4</f>
        <v>1.5416598970091648</v>
      </c>
      <c r="K7" s="87">
        <f t="shared" ref="K7:K11" si="5">E7/5</f>
        <v>1.233327917607332</v>
      </c>
    </row>
    <row r="8" spans="2:11">
      <c r="B8" s="3" t="s">
        <v>11</v>
      </c>
      <c r="C8" s="87">
        <f>'Existing Rates &amp; Forecast Vols'!C9</f>
        <v>133.68</v>
      </c>
      <c r="D8" s="87">
        <f>'Floor_Ceiling Review'!D8</f>
        <v>145.84</v>
      </c>
      <c r="E8" s="87">
        <f t="shared" si="0"/>
        <v>12.159999999999997</v>
      </c>
      <c r="F8" s="87"/>
      <c r="G8" s="87">
        <f t="shared" si="1"/>
        <v>12.159999999999997</v>
      </c>
      <c r="H8" s="87">
        <f t="shared" si="2"/>
        <v>6.0799999999999983</v>
      </c>
      <c r="I8" s="87">
        <f t="shared" si="3"/>
        <v>4.0533333333333319</v>
      </c>
      <c r="J8" s="87">
        <f t="shared" si="4"/>
        <v>3.0399999999999991</v>
      </c>
      <c r="K8" s="87">
        <f t="shared" si="5"/>
        <v>2.4319999999999995</v>
      </c>
    </row>
    <row r="9" spans="2:11">
      <c r="B9" s="3" t="s">
        <v>13</v>
      </c>
      <c r="C9" s="87">
        <f>'Existing Rates &amp; Forecast Vols'!C10</f>
        <v>70.069999999999993</v>
      </c>
      <c r="D9" s="87">
        <f>'Floor_Ceiling Review'!F9*0.5</f>
        <v>31.655369555399982</v>
      </c>
      <c r="E9" s="87">
        <f t="shared" si="0"/>
        <v>-38.414630444600007</v>
      </c>
      <c r="F9" s="87"/>
      <c r="G9" s="87">
        <f t="shared" si="1"/>
        <v>-38.414630444600007</v>
      </c>
      <c r="H9" s="87">
        <f t="shared" si="2"/>
        <v>-19.207315222300004</v>
      </c>
      <c r="I9" s="87">
        <f t="shared" si="3"/>
        <v>-12.804876814866669</v>
      </c>
      <c r="J9" s="87">
        <f t="shared" si="4"/>
        <v>-9.6036576111500018</v>
      </c>
      <c r="K9" s="87">
        <f t="shared" si="5"/>
        <v>-7.6829260889200013</v>
      </c>
    </row>
    <row r="10" spans="2:11">
      <c r="B10" s="3" t="s">
        <v>14</v>
      </c>
      <c r="C10" s="87">
        <f>'Existing Rates &amp; Forecast Vols'!C11</f>
        <v>3.79</v>
      </c>
      <c r="D10" s="87">
        <f>'Floor_Ceiling Review'!F10</f>
        <v>4.8901117683708524</v>
      </c>
      <c r="E10" s="87">
        <f t="shared" si="0"/>
        <v>1.1001117683708523</v>
      </c>
      <c r="F10" s="87"/>
      <c r="G10" s="87">
        <f t="shared" si="1"/>
        <v>1.1001117683708523</v>
      </c>
      <c r="H10" s="87">
        <f t="shared" si="2"/>
        <v>0.55005588418542617</v>
      </c>
      <c r="I10" s="87">
        <f t="shared" si="3"/>
        <v>0.36670392279028413</v>
      </c>
      <c r="J10" s="87">
        <f t="shared" si="4"/>
        <v>0.27502794209271308</v>
      </c>
      <c r="K10" s="87">
        <f t="shared" si="5"/>
        <v>0.22002235367417047</v>
      </c>
    </row>
    <row r="11" spans="2:11">
      <c r="B11" s="3" t="s">
        <v>15</v>
      </c>
      <c r="C11" s="87">
        <f>'Existing Rates &amp; Forecast Vols'!C12</f>
        <v>4.95</v>
      </c>
      <c r="D11" s="87">
        <f>'Floor_Ceiling Review'!F11</f>
        <v>4.7589955591308497</v>
      </c>
      <c r="E11" s="87">
        <f t="shared" si="0"/>
        <v>-0.19100444086915047</v>
      </c>
      <c r="F11" s="87"/>
      <c r="G11" s="87">
        <f t="shared" si="1"/>
        <v>-0.19100444086915047</v>
      </c>
      <c r="H11" s="87">
        <f t="shared" si="2"/>
        <v>-9.5502220434575236E-2</v>
      </c>
      <c r="I11" s="87">
        <f t="shared" si="3"/>
        <v>-6.3668146956383495E-2</v>
      </c>
      <c r="J11" s="87">
        <f t="shared" si="4"/>
        <v>-4.7751110217287618E-2</v>
      </c>
      <c r="K11" s="87">
        <f t="shared" si="5"/>
        <v>-3.8200888173830091E-2</v>
      </c>
    </row>
    <row r="13" spans="2:11">
      <c r="B13" s="220" t="s">
        <v>17</v>
      </c>
      <c r="C13" s="220"/>
      <c r="D13" s="220"/>
      <c r="E13" s="220"/>
      <c r="F13" s="220"/>
      <c r="G13" s="220"/>
      <c r="H13" s="220"/>
      <c r="I13" s="220"/>
      <c r="J13" s="220"/>
      <c r="K13" s="220"/>
    </row>
    <row r="14" spans="2:11">
      <c r="B14" s="3" t="s">
        <v>8</v>
      </c>
      <c r="C14" s="87">
        <f>'Existing Rates &amp; Forecast Vols'!C21</f>
        <v>15.57</v>
      </c>
      <c r="D14" s="87">
        <f>D6</f>
        <v>19.241640204446238</v>
      </c>
      <c r="E14" s="87">
        <f>D14-C14</f>
        <v>3.6716402044462377</v>
      </c>
      <c r="F14" s="87"/>
      <c r="G14" s="87">
        <f>E14</f>
        <v>3.6716402044462377</v>
      </c>
      <c r="H14" s="87">
        <f>E14/2</f>
        <v>1.8358201022231189</v>
      </c>
      <c r="I14" s="87">
        <f>E14/3</f>
        <v>1.2238800681487458</v>
      </c>
      <c r="J14" s="87">
        <f>E14/4</f>
        <v>0.91791005111155943</v>
      </c>
      <c r="K14" s="87">
        <f>E14/5</f>
        <v>0.73432804088924752</v>
      </c>
    </row>
    <row r="15" spans="2:11">
      <c r="B15" s="3" t="s">
        <v>10</v>
      </c>
      <c r="C15" s="87">
        <f>'Existing Rates &amp; Forecast Vols'!C22</f>
        <v>30.89</v>
      </c>
      <c r="D15" s="87">
        <f t="shared" ref="D15:D19" si="6">D7</f>
        <v>27.14663958803666</v>
      </c>
      <c r="E15" s="87">
        <f t="shared" ref="E15:E19" si="7">D15-C15</f>
        <v>-3.7433604119633408</v>
      </c>
      <c r="F15" s="87"/>
      <c r="G15" s="87">
        <f t="shared" ref="G15:G19" si="8">E15</f>
        <v>-3.7433604119633408</v>
      </c>
      <c r="H15" s="87">
        <f t="shared" ref="H15:H19" si="9">E15/2</f>
        <v>-1.8716802059816704</v>
      </c>
      <c r="I15" s="87">
        <f t="shared" ref="I15:I19" si="10">E15/3</f>
        <v>-1.2477868039877802</v>
      </c>
      <c r="J15" s="87">
        <f t="shared" ref="J15:J19" si="11">E15/4</f>
        <v>-0.9358401029908352</v>
      </c>
      <c r="K15" s="87">
        <f t="shared" ref="K15:K19" si="12">E15/5</f>
        <v>-0.74867208239266814</v>
      </c>
    </row>
    <row r="16" spans="2:11">
      <c r="B16" s="3" t="s">
        <v>11</v>
      </c>
      <c r="C16" s="87">
        <f>'Existing Rates &amp; Forecast Vols'!C23</f>
        <v>557.9</v>
      </c>
      <c r="D16" s="87">
        <f t="shared" si="6"/>
        <v>145.84</v>
      </c>
      <c r="E16" s="87">
        <f t="shared" si="7"/>
        <v>-412.05999999999995</v>
      </c>
      <c r="F16" s="87"/>
      <c r="G16" s="87">
        <f t="shared" si="8"/>
        <v>-412.05999999999995</v>
      </c>
      <c r="H16" s="87">
        <f t="shared" si="9"/>
        <v>-206.02999999999997</v>
      </c>
      <c r="I16" s="87">
        <f t="shared" si="10"/>
        <v>-137.35333333333332</v>
      </c>
      <c r="J16" s="87">
        <f t="shared" si="11"/>
        <v>-103.01499999999999</v>
      </c>
      <c r="K16" s="87">
        <f t="shared" si="12"/>
        <v>-82.411999999999992</v>
      </c>
    </row>
    <row r="17" spans="2:11">
      <c r="B17" s="3" t="s">
        <v>13</v>
      </c>
      <c r="C17" s="87">
        <f>'Existing Rates &amp; Forecast Vols'!C24</f>
        <v>51.63</v>
      </c>
      <c r="D17" s="87">
        <f t="shared" si="6"/>
        <v>31.655369555399982</v>
      </c>
      <c r="E17" s="87">
        <f t="shared" si="7"/>
        <v>-19.97463044460002</v>
      </c>
      <c r="F17" s="87"/>
      <c r="G17" s="87">
        <f t="shared" si="8"/>
        <v>-19.97463044460002</v>
      </c>
      <c r="H17" s="87">
        <f t="shared" si="9"/>
        <v>-9.9873152223000101</v>
      </c>
      <c r="I17" s="87">
        <f t="shared" si="10"/>
        <v>-6.6582101482000065</v>
      </c>
      <c r="J17" s="87">
        <f t="shared" si="11"/>
        <v>-4.9936576111500051</v>
      </c>
      <c r="K17" s="87">
        <f t="shared" si="12"/>
        <v>-3.9949260889200042</v>
      </c>
    </row>
    <row r="18" spans="2:11">
      <c r="B18" s="3" t="s">
        <v>14</v>
      </c>
      <c r="C18" s="87">
        <f>'Existing Rates &amp; Forecast Vols'!C25</f>
        <v>4.3</v>
      </c>
      <c r="D18" s="87">
        <f t="shared" si="6"/>
        <v>4.8901117683708524</v>
      </c>
      <c r="E18" s="87">
        <f t="shared" si="7"/>
        <v>0.59011176837085255</v>
      </c>
      <c r="F18" s="87"/>
      <c r="G18" s="87">
        <f t="shared" si="8"/>
        <v>0.59011176837085255</v>
      </c>
      <c r="H18" s="87">
        <f t="shared" si="9"/>
        <v>0.29505588418542628</v>
      </c>
      <c r="I18" s="87">
        <f t="shared" si="10"/>
        <v>0.19670392279028417</v>
      </c>
      <c r="J18" s="87">
        <f t="shared" si="11"/>
        <v>0.14752794209271314</v>
      </c>
      <c r="K18" s="87">
        <f t="shared" si="12"/>
        <v>0.11802235367417051</v>
      </c>
    </row>
    <row r="19" spans="2:11">
      <c r="B19" s="3" t="s">
        <v>15</v>
      </c>
      <c r="C19" s="87">
        <f>'Existing Rates &amp; Forecast Vols'!C26</f>
        <v>3.07</v>
      </c>
      <c r="D19" s="87">
        <f t="shared" si="6"/>
        <v>4.7589955591308497</v>
      </c>
      <c r="E19" s="87">
        <f t="shared" si="7"/>
        <v>1.6889955591308499</v>
      </c>
      <c r="F19" s="87"/>
      <c r="G19" s="87">
        <f t="shared" si="8"/>
        <v>1.6889955591308499</v>
      </c>
      <c r="H19" s="87">
        <f t="shared" si="9"/>
        <v>0.84449777956542493</v>
      </c>
      <c r="I19" s="87">
        <f t="shared" si="10"/>
        <v>0.56299851971028325</v>
      </c>
      <c r="J19" s="87">
        <f t="shared" si="11"/>
        <v>0.42224888978271247</v>
      </c>
      <c r="K19" s="87">
        <f t="shared" si="12"/>
        <v>0.33779911182616995</v>
      </c>
    </row>
  </sheetData>
  <mergeCells count="3">
    <mergeCell ref="B5:K5"/>
    <mergeCell ref="B13:K13"/>
    <mergeCell ref="B1:K1"/>
  </mergeCells>
  <pageMargins left="0.7" right="0.7" top="0.75" bottom="0.75" header="0.3" footer="0.3"/>
  <pageSetup scale="81" orientation="portrait" r:id="rId1"/>
</worksheet>
</file>

<file path=xl/worksheets/sheet9.xml><?xml version="1.0" encoding="utf-8"?>
<worksheet xmlns="http://schemas.openxmlformats.org/spreadsheetml/2006/main" xmlns:r="http://schemas.openxmlformats.org/officeDocument/2006/relationships">
  <dimension ref="B1:H14"/>
  <sheetViews>
    <sheetView tabSelected="1" view="pageBreakPreview" zoomScale="60" zoomScaleNormal="100" workbookViewId="0">
      <selection sqref="A1:I15"/>
    </sheetView>
  </sheetViews>
  <sheetFormatPr defaultRowHeight="15"/>
  <cols>
    <col min="1" max="1" width="2.7109375" customWidth="1"/>
    <col min="2" max="2" width="21.85546875" customWidth="1"/>
    <col min="3" max="3" width="14.42578125" customWidth="1"/>
    <col min="4" max="5" width="13.5703125" customWidth="1"/>
    <col min="6" max="6" width="14.42578125" bestFit="1" customWidth="1"/>
    <col min="7" max="7" width="11.140625" customWidth="1"/>
    <col min="8" max="8" width="14.42578125" bestFit="1" customWidth="1"/>
  </cols>
  <sheetData>
    <row r="1" spans="2:8" ht="15.75" thickBot="1"/>
    <row r="2" spans="2:8" ht="18">
      <c r="B2" s="221" t="s">
        <v>83</v>
      </c>
      <c r="C2" s="222"/>
      <c r="D2" s="222"/>
      <c r="E2" s="222"/>
      <c r="F2" s="222"/>
      <c r="G2" s="222"/>
      <c r="H2" s="223"/>
    </row>
    <row r="3" spans="2:8">
      <c r="B3" s="20"/>
      <c r="C3" s="21"/>
      <c r="D3" s="21"/>
      <c r="E3" s="21"/>
      <c r="F3" s="21"/>
      <c r="G3" s="21"/>
      <c r="H3" s="11"/>
    </row>
    <row r="4" spans="2:8" ht="85.5">
      <c r="B4" s="71" t="s">
        <v>21</v>
      </c>
      <c r="C4" s="32" t="s">
        <v>36</v>
      </c>
      <c r="D4" s="32" t="s">
        <v>39</v>
      </c>
      <c r="E4" s="32" t="s">
        <v>55</v>
      </c>
      <c r="F4" s="32" t="s">
        <v>38</v>
      </c>
      <c r="G4" s="32" t="s">
        <v>51</v>
      </c>
      <c r="H4" s="33" t="s">
        <v>52</v>
      </c>
    </row>
    <row r="5" spans="2:8">
      <c r="B5" s="19" t="s">
        <v>8</v>
      </c>
      <c r="C5" s="34">
        <f>'R|C Ratio'!C$8</f>
        <v>11876815.4</v>
      </c>
      <c r="D5" s="34">
        <f>'R|C Ratio'!F$8</f>
        <v>887426.5</v>
      </c>
      <c r="E5" s="34">
        <f>C5-D5</f>
        <v>10989388.9</v>
      </c>
      <c r="F5" s="34">
        <f>'R|C Ratio'!E$8</f>
        <v>9927778</v>
      </c>
      <c r="G5" s="67">
        <f t="shared" ref="G5:G10" si="0">(H5+D5)/C5</f>
        <v>0.91092156454667139</v>
      </c>
      <c r="H5" s="63">
        <f>H12-(H6+H7+H8+H9+H10)</f>
        <v>9931420.7660000008</v>
      </c>
    </row>
    <row r="6" spans="2:8">
      <c r="B6" s="19" t="s">
        <v>10</v>
      </c>
      <c r="C6" s="34">
        <f>'R|C Ratio'!C$9</f>
        <v>2376032.2000000002</v>
      </c>
      <c r="D6" s="34">
        <f>'R|C Ratio'!F$9</f>
        <v>171803</v>
      </c>
      <c r="E6" s="34">
        <f t="shared" ref="E6:E10" si="1">C6-D6</f>
        <v>2204229.2000000002</v>
      </c>
      <c r="F6" s="34">
        <f>'R|C Ratio'!E$9</f>
        <v>2426082</v>
      </c>
      <c r="G6" s="62">
        <f t="shared" si="0"/>
        <v>1.0933711251892966</v>
      </c>
      <c r="H6" s="63">
        <v>2426082</v>
      </c>
    </row>
    <row r="7" spans="2:8">
      <c r="B7" s="19" t="s">
        <v>11</v>
      </c>
      <c r="C7" s="34">
        <f>'R|C Ratio'!C$10</f>
        <v>4090319.3</v>
      </c>
      <c r="D7" s="34">
        <f>'R|C Ratio'!F$10</f>
        <v>297617.5</v>
      </c>
      <c r="E7" s="34">
        <f t="shared" si="1"/>
        <v>3792701.8</v>
      </c>
      <c r="F7" s="34">
        <f>'R|C Ratio'!E$10</f>
        <v>4608377</v>
      </c>
      <c r="G7" s="62">
        <f t="shared" si="0"/>
        <v>1.1994160211404523</v>
      </c>
      <c r="H7" s="63">
        <v>4608377</v>
      </c>
    </row>
    <row r="8" spans="2:8">
      <c r="B8" s="19" t="s">
        <v>13</v>
      </c>
      <c r="C8" s="34">
        <f>'R|C Ratio'!C$11</f>
        <v>36954</v>
      </c>
      <c r="D8" s="34">
        <f>'R|C Ratio'!F$11</f>
        <v>3257</v>
      </c>
      <c r="E8" s="34">
        <f t="shared" si="1"/>
        <v>33697</v>
      </c>
      <c r="F8" s="34">
        <f>'R|C Ratio'!E$11</f>
        <v>93264</v>
      </c>
      <c r="G8" s="67">
        <f t="shared" si="0"/>
        <v>2.2589000000000006</v>
      </c>
      <c r="H8" s="63">
        <v>80218.390600000013</v>
      </c>
    </row>
    <row r="9" spans="2:8">
      <c r="B9" s="19" t="s">
        <v>14</v>
      </c>
      <c r="C9" s="34">
        <f>'R|C Ratio'!C$12</f>
        <v>82426</v>
      </c>
      <c r="D9" s="34">
        <f>'R|C Ratio'!F$12</f>
        <v>5731</v>
      </c>
      <c r="E9" s="34">
        <f t="shared" si="1"/>
        <v>76695</v>
      </c>
      <c r="F9" s="34">
        <f>'R|C Ratio'!E$12</f>
        <v>59948</v>
      </c>
      <c r="G9" s="67">
        <f t="shared" si="0"/>
        <v>0.91089999999999993</v>
      </c>
      <c r="H9" s="63">
        <v>69350.843399999998</v>
      </c>
    </row>
    <row r="10" spans="2:8">
      <c r="B10" s="19" t="s">
        <v>15</v>
      </c>
      <c r="C10" s="34">
        <f>'R|C Ratio'!C$13</f>
        <v>503635</v>
      </c>
      <c r="D10" s="34">
        <f>'R|C Ratio'!F$13</f>
        <v>37349</v>
      </c>
      <c r="E10" s="34">
        <f t="shared" si="1"/>
        <v>466286</v>
      </c>
      <c r="F10" s="34">
        <f>'R|C Ratio'!E$13</f>
        <v>447549</v>
      </c>
      <c r="G10" s="62">
        <f t="shared" si="0"/>
        <v>0.96279646966553156</v>
      </c>
      <c r="H10" s="63">
        <v>447549</v>
      </c>
    </row>
    <row r="11" spans="2:8">
      <c r="B11" s="19"/>
      <c r="C11" s="35"/>
      <c r="D11" s="35"/>
      <c r="E11" s="35"/>
      <c r="F11" s="35"/>
      <c r="G11" s="35"/>
      <c r="H11" s="57"/>
    </row>
    <row r="12" spans="2:8" ht="15.75" thickBot="1">
      <c r="B12" s="22" t="s">
        <v>27</v>
      </c>
      <c r="C12" s="58">
        <f>SUM(C5:C10)</f>
        <v>18966181.900000002</v>
      </c>
      <c r="D12" s="58">
        <f>SUM(D5:D10)</f>
        <v>1403184</v>
      </c>
      <c r="E12" s="58">
        <f>SUM(E5:E10)</f>
        <v>17562997.900000002</v>
      </c>
      <c r="F12" s="58">
        <f>SUM(F5:F10)</f>
        <v>17562998</v>
      </c>
      <c r="G12" s="23"/>
      <c r="H12" s="64">
        <f>F12</f>
        <v>17562998</v>
      </c>
    </row>
    <row r="14" spans="2:8">
      <c r="B14" s="65" t="s">
        <v>53</v>
      </c>
      <c r="C14" s="66" t="str">
        <f>IF((H5+H6+H7+H8+H9+H10)-F12&lt;1,"YES","NO")</f>
        <v>YES</v>
      </c>
    </row>
  </sheetData>
  <mergeCells count="1">
    <mergeCell ref="B2:H2"/>
  </mergeCells>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 Sheet</vt:lpstr>
      <vt:lpstr>Existing Rates &amp; Forecast Vols</vt:lpstr>
      <vt:lpstr>Existing F_V Ratios</vt:lpstr>
      <vt:lpstr>R|C Ratio</vt:lpstr>
      <vt:lpstr>Target R|C Ratios</vt:lpstr>
      <vt:lpstr>F_V Analysis</vt:lpstr>
      <vt:lpstr>Floor_Ceiling Review</vt:lpstr>
      <vt:lpstr>Target MSC Change</vt:lpstr>
      <vt:lpstr>2013 R|C Ratio Adj.</vt:lpstr>
      <vt:lpstr>2013 Rate Design</vt:lpstr>
      <vt:lpstr>2013 Area Rate Design</vt:lpstr>
      <vt:lpstr>2013 Reconciliation</vt:lpstr>
      <vt:lpstr>2014 R|C Ratio Adj.</vt:lpstr>
      <vt:lpstr>2014 Rate Design</vt:lpstr>
      <vt:lpstr>2014 Area Rate Design</vt:lpstr>
      <vt:lpstr>2014 Reconciliation</vt:lpstr>
      <vt:lpstr>2015 R|C Ratio Adj.</vt:lpstr>
      <vt:lpstr>2015 Rate Design</vt:lpstr>
      <vt:lpstr>2015 Area Rate Design</vt:lpstr>
      <vt:lpstr>2015 Reconciliation</vt:lpstr>
      <vt:lpstr>2016 R|C Ratio Adj.</vt:lpstr>
      <vt:lpstr>2016 Rate Design</vt:lpstr>
      <vt:lpstr>2016 Area Rate Design</vt:lpstr>
      <vt:lpstr>2016 Reconciliation</vt:lpstr>
      <vt:lpstr>Rate Design Summary</vt:lpstr>
      <vt:lpstr>'2013 Area Rate Design'!Print_Area</vt:lpstr>
      <vt:lpstr>'2013 R|C Ratio Adj.'!Print_Area</vt:lpstr>
      <vt:lpstr>'2013 Rate Design'!Print_Area</vt:lpstr>
      <vt:lpstr>'2013 Reconciliation'!Print_Area</vt:lpstr>
      <vt:lpstr>'2014 Area Rate Design'!Print_Area</vt:lpstr>
      <vt:lpstr>'2014 R|C Ratio Adj.'!Print_Area</vt:lpstr>
      <vt:lpstr>'2014 Rate Design'!Print_Area</vt:lpstr>
      <vt:lpstr>'2014 Reconciliation'!Print_Area</vt:lpstr>
      <vt:lpstr>'2015 Area Rate Design'!Print_Area</vt:lpstr>
      <vt:lpstr>'2015 R|C Ratio Adj.'!Print_Area</vt:lpstr>
      <vt:lpstr>'2015 Rate Design'!Print_Area</vt:lpstr>
      <vt:lpstr>'2015 Reconciliation'!Print_Area</vt:lpstr>
      <vt:lpstr>'2016 Area Rate Design'!Print_Area</vt:lpstr>
      <vt:lpstr>'2016 R|C Ratio Adj.'!Print_Area</vt:lpstr>
      <vt:lpstr>'2016 Rate Design'!Print_Area</vt:lpstr>
      <vt:lpstr>'2016 Reconciliation'!Print_Area</vt:lpstr>
      <vt:lpstr>'Cover Sheet'!Print_Area</vt:lpstr>
      <vt:lpstr>'Existing F_V Ratios'!Print_Area</vt:lpstr>
      <vt:lpstr>'Existing Rates &amp; Forecast Vols'!Print_Area</vt:lpstr>
      <vt:lpstr>'F_V Analysis'!Print_Area</vt:lpstr>
      <vt:lpstr>'Floor_Ceiling Review'!Print_Area</vt:lpstr>
      <vt:lpstr>'R|C Ratio'!Print_Area</vt:lpstr>
      <vt:lpstr>'Rate Design Summary'!Print_Area</vt:lpstr>
      <vt:lpstr>'Target MSC Change'!Print_Area</vt:lpstr>
      <vt:lpstr>'Target R|C Ratios'!Print_Area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BarberR</cp:lastModifiedBy>
  <cp:lastPrinted>2012-11-26T13:41:25Z</cp:lastPrinted>
  <dcterms:created xsi:type="dcterms:W3CDTF">2012-09-07T14:26:15Z</dcterms:created>
  <dcterms:modified xsi:type="dcterms:W3CDTF">2012-11-27T13:46:23Z</dcterms:modified>
</cp:coreProperties>
</file>