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0" windowWidth="15480" windowHeight="10920" tabRatio="906" activeTab="0"/>
  </bookViews>
  <sheets>
    <sheet name="SMRiderAdder" sheetId="1" r:id="rId1"/>
    <sheet name="SMFA Continuity Stub Year" sheetId="2" r:id="rId2"/>
    <sheet name="SM UCC Continuity Stub Year" sheetId="3" r:id="rId3"/>
    <sheet name="Rev Req. Stub Year" sheetId="4" r:id="rId4"/>
    <sheet name="Opex_Int_Mthly - Stub Year" sheetId="5" r:id="rId5"/>
  </sheets>
  <externalReferences>
    <externalReference r:id="rId8"/>
  </externalReferences>
  <definedNames>
    <definedName name="_xlnm.Print_Area" localSheetId="4">'Opex_Int_Mthly - Stub Year'!$C$5:$P$102</definedName>
    <definedName name="_xlnm.Print_Area" localSheetId="3">'Rev Req. Stub Year'!$A$1:$J$82</definedName>
    <definedName name="_xlnm.Print_Area" localSheetId="0">'SMRiderAdder'!$A$1:$I$5</definedName>
    <definedName name="_xlnm.Print_Titles" localSheetId="4">'Opex_Int_Mthly - Stub Year'!$1:$4</definedName>
  </definedNames>
  <calcPr fullCalcOnLoad="1"/>
</workbook>
</file>

<file path=xl/sharedStrings.xml><?xml version="1.0" encoding="utf-8"?>
<sst xmlns="http://schemas.openxmlformats.org/spreadsheetml/2006/main" count="395" uniqueCount="196">
  <si>
    <t>OH &amp; UG Services</t>
  </si>
  <si>
    <t>Smart meters-1860</t>
  </si>
  <si>
    <t>Computers-1925</t>
  </si>
  <si>
    <t>Tools, Shops - 1940</t>
  </si>
  <si>
    <t>Amortization</t>
  </si>
  <si>
    <t>Opening Balance</t>
  </si>
  <si>
    <t>For Accounting</t>
  </si>
  <si>
    <t>For Tax Purposes</t>
  </si>
  <si>
    <t>CCA Class</t>
  </si>
  <si>
    <t>Class 47</t>
  </si>
  <si>
    <t>Class 45.1</t>
  </si>
  <si>
    <t>Class 12</t>
  </si>
  <si>
    <t>Class 8</t>
  </si>
  <si>
    <t>CCA Rate</t>
  </si>
  <si>
    <t>Opening UCC Balance</t>
  </si>
  <si>
    <t>Closing UCC Balance</t>
  </si>
  <si>
    <t>CCA For Opening UCC</t>
  </si>
  <si>
    <t>Smart Meters Fixed Assets in Rate Base</t>
  </si>
  <si>
    <t>Return on Rate Base</t>
  </si>
  <si>
    <t xml:space="preserve">   Deemed Debt - Long Term</t>
  </si>
  <si>
    <t xml:space="preserve">   Deemed Debt - Short Term</t>
  </si>
  <si>
    <t xml:space="preserve">   Deemed Equity</t>
  </si>
  <si>
    <t xml:space="preserve">   Weighted Debt Rate - Long Term</t>
  </si>
  <si>
    <t xml:space="preserve">   Short Term Debt Rate</t>
  </si>
  <si>
    <t xml:space="preserve">   Equity Rate</t>
  </si>
  <si>
    <t xml:space="preserve">   Return on Rate Base</t>
  </si>
  <si>
    <t>M=J+K+L</t>
  </si>
  <si>
    <t>Amortization Expenses</t>
  </si>
  <si>
    <t xml:space="preserve">   Revenue Requirement before PILs</t>
  </si>
  <si>
    <t xml:space="preserve">   Depreciation Expense</t>
  </si>
  <si>
    <t>P</t>
  </si>
  <si>
    <t xml:space="preserve">   Interest Expense</t>
  </si>
  <si>
    <t>Grossed up PILs</t>
  </si>
  <si>
    <t>Revenue Requirement before PILs</t>
  </si>
  <si>
    <t>T</t>
  </si>
  <si>
    <t>U</t>
  </si>
  <si>
    <t>Net Income</t>
  </si>
  <si>
    <t>Revised Taxable Income</t>
  </si>
  <si>
    <t>Tax Rate</t>
  </si>
  <si>
    <t>Income Taxes Payable</t>
  </si>
  <si>
    <t>Ontario Capital Tax</t>
  </si>
  <si>
    <t>Less: Exemption</t>
  </si>
  <si>
    <t>Deemed Taxable Capital</t>
  </si>
  <si>
    <t>Ontario Capital Tax Rate</t>
  </si>
  <si>
    <t>NET OCT Amount</t>
  </si>
  <si>
    <t>PILs Payable</t>
  </si>
  <si>
    <t>Gross Up</t>
  </si>
  <si>
    <t>Grossed Up PILs</t>
  </si>
  <si>
    <t>Change in Income Taxes Payable</t>
  </si>
  <si>
    <t>Change in OCT</t>
  </si>
  <si>
    <t>Average Fixed Asset Values</t>
  </si>
  <si>
    <t>Working Capital</t>
  </si>
  <si>
    <t>Operation Expense</t>
  </si>
  <si>
    <t>15% Working Capital</t>
  </si>
  <si>
    <t>Operating Expenses</t>
  </si>
  <si>
    <t>Incremental Operating Expenses</t>
  </si>
  <si>
    <t>CCA</t>
  </si>
  <si>
    <t>Smart Meter Related Fixed Assets</t>
  </si>
  <si>
    <t>Revenue Requirement for Smart Meters</t>
  </si>
  <si>
    <t>Annualized amount required per metered customer</t>
  </si>
  <si>
    <t>Number of months in year</t>
  </si>
  <si>
    <t>Smart meters</t>
  </si>
  <si>
    <t>Computer Software</t>
  </si>
  <si>
    <t>Computer Hardware</t>
  </si>
  <si>
    <t>Stores &amp; Tools</t>
  </si>
  <si>
    <t>A</t>
  </si>
  <si>
    <t>B</t>
  </si>
  <si>
    <t>C=A+B</t>
  </si>
  <si>
    <t>D=C*Deemed Long Term Debt</t>
  </si>
  <si>
    <t>E=C*Deemed Short Term Debt</t>
  </si>
  <si>
    <t>F=C*Deemed Equity</t>
  </si>
  <si>
    <t>G=D*Weighted Debt Rate</t>
  </si>
  <si>
    <t>H=E*Short Term Debt Rate</t>
  </si>
  <si>
    <t>I=F*ROE Rate</t>
  </si>
  <si>
    <t>J=G+H+I</t>
  </si>
  <si>
    <t>Calculation of Taxable Income</t>
  </si>
  <si>
    <t xml:space="preserve">   Incremental Operating Expenses</t>
  </si>
  <si>
    <t>Taxable Income for PILs</t>
  </si>
  <si>
    <t>K</t>
  </si>
  <si>
    <t>L</t>
  </si>
  <si>
    <t>N=D+E</t>
  </si>
  <si>
    <t>O=K+L+N</t>
  </si>
  <si>
    <t>M</t>
  </si>
  <si>
    <t>Q=M+P</t>
  </si>
  <si>
    <t>Q</t>
  </si>
  <si>
    <t>S=Q/R</t>
  </si>
  <si>
    <t>Amortization Period</t>
  </si>
  <si>
    <t>General Office</t>
  </si>
  <si>
    <t>Building Renovations</t>
  </si>
  <si>
    <t>CCA For 2010 Additions</t>
  </si>
  <si>
    <t>Smart Meter Deferral Account Balance - PILs Calculation</t>
  </si>
  <si>
    <t>Forecast 2010 Additions</t>
  </si>
  <si>
    <t>Forecast Amortization For 2010</t>
  </si>
  <si>
    <t>2010 Net Book Value</t>
  </si>
  <si>
    <t>2010 Average NBV</t>
  </si>
  <si>
    <t>Revenue Requirement Calculations</t>
  </si>
  <si>
    <t>Total CCA - 2010</t>
  </si>
  <si>
    <t>R=March 2009 Total Metered Customers</t>
  </si>
  <si>
    <t>Computers-1925 - SFT</t>
  </si>
  <si>
    <t>Computers-1920 - HDW</t>
  </si>
  <si>
    <t>Computers-1920</t>
  </si>
  <si>
    <t>Total Metered Customers</t>
  </si>
  <si>
    <t>Smart Meter Rate Adder</t>
  </si>
  <si>
    <t>PILs</t>
  </si>
  <si>
    <t>Hydro One Brampton Networks Inc.</t>
  </si>
  <si>
    <t xml:space="preserve">Income Tax </t>
  </si>
  <si>
    <t>Date</t>
  </si>
  <si>
    <t>2010 Rate Year Entitlement (2009 Capital)</t>
  </si>
  <si>
    <t>Actual 2006 Additions</t>
  </si>
  <si>
    <t>Actual Amortization For 2006</t>
  </si>
  <si>
    <t>2006 Net Book Value</t>
  </si>
  <si>
    <t>2006 Average NBV</t>
  </si>
  <si>
    <t>Actual 2007 Additions</t>
  </si>
  <si>
    <t>Actual Amortization For 2007</t>
  </si>
  <si>
    <t>2007 Net Book Value</t>
  </si>
  <si>
    <t>2007 Average NBV</t>
  </si>
  <si>
    <t>Actual 2008 Additions</t>
  </si>
  <si>
    <t>Actual Amortization For 2008</t>
  </si>
  <si>
    <t>2008 Net Book Value</t>
  </si>
  <si>
    <t>2008 Average NBV</t>
  </si>
  <si>
    <t>Actual 2009 Additions</t>
  </si>
  <si>
    <t>Actual Amortization For 2009</t>
  </si>
  <si>
    <t>2009 Net Book Value</t>
  </si>
  <si>
    <t>2009 Average NBV</t>
  </si>
  <si>
    <t>2006 Actual Additions</t>
  </si>
  <si>
    <t>CCA For 2006 Additions</t>
  </si>
  <si>
    <t>Total CCA - 2006</t>
  </si>
  <si>
    <t>2007 Actual Additions</t>
  </si>
  <si>
    <t>CCA For 2007 Additions</t>
  </si>
  <si>
    <t>Total CCA - 2007</t>
  </si>
  <si>
    <t>2008 Actual Additions</t>
  </si>
  <si>
    <t>CCA For 2008 Additions</t>
  </si>
  <si>
    <t>Total CCA - 2008</t>
  </si>
  <si>
    <t>2009 Actual Additions</t>
  </si>
  <si>
    <t>CCA For 2009 Additions</t>
  </si>
  <si>
    <t>Total CCA - 2009</t>
  </si>
  <si>
    <t>Class 6</t>
  </si>
  <si>
    <t>Computers-1921</t>
  </si>
  <si>
    <t>2010 Forecast Additions</t>
  </si>
  <si>
    <t>EB</t>
  </si>
  <si>
    <t>2012 Smart Meter</t>
  </si>
  <si>
    <t>Smart Meter Fixed Asset Continuity 2006 to 2009 Capital</t>
  </si>
  <si>
    <t>Account 1556 - Sub-accounts Operating Expenses, Amortization Expenses, Carrying Charges</t>
  </si>
  <si>
    <t>Prescribed Interest Rates</t>
  </si>
  <si>
    <t>Approved Deferral and Variance Accounts</t>
  </si>
  <si>
    <t>CWIP</t>
  </si>
  <si>
    <t>Year</t>
  </si>
  <si>
    <t>Quarter</t>
  </si>
  <si>
    <t>Opening Balance (Principal)</t>
  </si>
  <si>
    <t>OM&amp;A Expenses</t>
  </si>
  <si>
    <t>Amortization / Depreciation Expense</t>
  </si>
  <si>
    <t>Closing Balance (Principal)</t>
  </si>
  <si>
    <t>(Annual) Interest Rate</t>
  </si>
  <si>
    <t>Interest (on opening balance)</t>
  </si>
  <si>
    <t>Cumulative Interest</t>
  </si>
  <si>
    <t>2006 Q1</t>
  </si>
  <si>
    <t>Q1</t>
  </si>
  <si>
    <t>2006 Q2</t>
  </si>
  <si>
    <t>2006 Q3</t>
  </si>
  <si>
    <t>2006 Q4</t>
  </si>
  <si>
    <t>Q2</t>
  </si>
  <si>
    <t>2007 Q1</t>
  </si>
  <si>
    <t>2007 Q2</t>
  </si>
  <si>
    <t>2007 Q3</t>
  </si>
  <si>
    <t>Q3</t>
  </si>
  <si>
    <t>2007 Q4</t>
  </si>
  <si>
    <t>2008 Q1</t>
  </si>
  <si>
    <t>2008 Q2</t>
  </si>
  <si>
    <t>Q4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</si>
  <si>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</si>
  <si>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</si>
  <si>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</si>
  <si>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</si>
  <si>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</si>
  <si>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</si>
  <si>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</si>
  <si>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</si>
  <si>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</si>
  <si>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</si>
  <si>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</si>
  <si>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</si>
  <si>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</si>
  <si>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</si>
  <si>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</si>
  <si>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</si>
  <si>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</si>
  <si>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</si>
  <si>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</si>
  <si>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</si>
  <si>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</si>
  <si>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</si>
  <si>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Actual 2010</t>
  </si>
  <si>
    <t>Smart Meter Stub Year (2010) Calculations</t>
  </si>
  <si>
    <t>Total Carrying Charges</t>
  </si>
  <si>
    <t xml:space="preserve">Smart Meter Costs Recovery: </t>
  </si>
  <si>
    <t xml:space="preserve">Smart Meter Costs Recovery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</si>
</sst>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%"/>
    <numFmt numFmtId="167" formatCode="_(* #,##0.00_);_(* \(#,##0.00\);_(* &quot;-&quot;_);_(@_)"/>
    <numFmt numFmtId="168" formatCode="0.000%"/>
    <numFmt numFmtId="169" formatCode="_(&quot;$&quot;* #,##0_);_(&quot;$&quot;* \(#,##0\);_(&quot;$&quot;* &quot;-&quot;??_);_(@_)"/>
    <numFmt numFmtId="170" formatCode="_(* #,##0_);_(* \(#,##0\);_(* &quot;-&quot;??_);_(@_)"/>
    <numFmt numFmtId="171" formatCode="0.0000%"/>
    <numFmt numFmtId="172" formatCode="#,##0.000_);[Red]\(#,##0.000\)"/>
    <numFmt numFmtId="173" formatCode="_(* #,##0.000_);_(* \(#,##0.000\);_(* &quot;-&quot;??_);_(@_)"/>
    <numFmt numFmtId="174" formatCode="_(* #,##0.0_);_(* \(#,##0.0\);_(* &quot;-&quot;??_);_(@_)"/>
    <numFmt numFmtId="175" formatCode="_(* #,##0.0_);_(* \(#,##0.0\);_(* &quot;-&quot;?_);_(@_)"/>
    <numFmt numFmtId="176" formatCode="_(* #,##0.00000_);_(* \(#,##0.00000\);_(* &quot;-&quot;?????_);_(@_)"/>
    <numFmt numFmtId="177" formatCode="_(* #,##0.0000_);_(* \(#,##0.0000\);_(* &quot;-&quot;??_);_(@_)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_-&quot;$&quot;* #,##0_-;\-&quot;$&quot;* #,##0_-;_-&quot;$&quot;* &quot;-&quot;??_-;_-@_-"/>
    <numFmt numFmtId="181" formatCode="[$-1009]mmmm\ d\,\ yyyy;@"/>
  </numFmts>
  <fonts count="6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sz val="4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color indexed="55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i/>
      <sz val="8"/>
      <name val="Arial"/>
      <family val="2"/>
    </font>
    <font>
      <b/>
      <i/>
      <sz val="8"/>
      <color indexed="55"/>
      <name val="Arial"/>
      <family val="2"/>
    </font>
    <font>
      <i/>
      <sz val="8"/>
      <color indexed="55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5" fillId="3" borderId="0" applyNumberFormat="0" applyBorder="0" applyAlignment="0" applyProtection="0"/>
    <xf numFmtId="0" fontId="51" fillId="4" borderId="0" applyNumberFormat="0" applyBorder="0" applyAlignment="0" applyProtection="0"/>
    <xf numFmtId="0" fontId="15" fillId="5" borderId="0" applyNumberFormat="0" applyBorder="0" applyAlignment="0" applyProtection="0"/>
    <xf numFmtId="0" fontId="51" fillId="6" borderId="0" applyNumberFormat="0" applyBorder="0" applyAlignment="0" applyProtection="0"/>
    <xf numFmtId="0" fontId="15" fillId="7" borderId="0" applyNumberFormat="0" applyBorder="0" applyAlignment="0" applyProtection="0"/>
    <xf numFmtId="0" fontId="51" fillId="8" borderId="0" applyNumberFormat="0" applyBorder="0" applyAlignment="0" applyProtection="0"/>
    <xf numFmtId="0" fontId="15" fillId="9" borderId="0" applyNumberFormat="0" applyBorder="0" applyAlignment="0" applyProtection="0"/>
    <xf numFmtId="0" fontId="51" fillId="10" borderId="0" applyNumberFormat="0" applyBorder="0" applyAlignment="0" applyProtection="0"/>
    <xf numFmtId="0" fontId="15" fillId="11" borderId="0" applyNumberFormat="0" applyBorder="0" applyAlignment="0" applyProtection="0"/>
    <xf numFmtId="0" fontId="51" fillId="12" borderId="0" applyNumberFormat="0" applyBorder="0" applyAlignment="0" applyProtection="0"/>
    <xf numFmtId="0" fontId="15" fillId="13" borderId="0" applyNumberFormat="0" applyBorder="0" applyAlignment="0" applyProtection="0"/>
    <xf numFmtId="0" fontId="51" fillId="14" borderId="0" applyNumberFormat="0" applyBorder="0" applyAlignment="0" applyProtection="0"/>
    <xf numFmtId="0" fontId="15" fillId="15" borderId="0" applyNumberFormat="0" applyBorder="0" applyAlignment="0" applyProtection="0"/>
    <xf numFmtId="0" fontId="51" fillId="16" borderId="0" applyNumberFormat="0" applyBorder="0" applyAlignment="0" applyProtection="0"/>
    <xf numFmtId="0" fontId="15" fillId="17" borderId="0" applyNumberFormat="0" applyBorder="0" applyAlignment="0" applyProtection="0"/>
    <xf numFmtId="0" fontId="51" fillId="18" borderId="0" applyNumberFormat="0" applyBorder="0" applyAlignment="0" applyProtection="0"/>
    <xf numFmtId="0" fontId="15" fillId="19" borderId="0" applyNumberFormat="0" applyBorder="0" applyAlignment="0" applyProtection="0"/>
    <xf numFmtId="0" fontId="51" fillId="20" borderId="0" applyNumberFormat="0" applyBorder="0" applyAlignment="0" applyProtection="0"/>
    <xf numFmtId="0" fontId="15" fillId="9" borderId="0" applyNumberFormat="0" applyBorder="0" applyAlignment="0" applyProtection="0"/>
    <xf numFmtId="0" fontId="51" fillId="21" borderId="0" applyNumberFormat="0" applyBorder="0" applyAlignment="0" applyProtection="0"/>
    <xf numFmtId="0" fontId="15" fillId="15" borderId="0" applyNumberFormat="0" applyBorder="0" applyAlignment="0" applyProtection="0"/>
    <xf numFmtId="0" fontId="51" fillId="22" borderId="0" applyNumberFormat="0" applyBorder="0" applyAlignment="0" applyProtection="0"/>
    <xf numFmtId="0" fontId="15" fillId="23" borderId="0" applyNumberFormat="0" applyBorder="0" applyAlignment="0" applyProtection="0"/>
    <xf numFmtId="0" fontId="52" fillId="24" borderId="0" applyNumberFormat="0" applyBorder="0" applyAlignment="0" applyProtection="0"/>
    <xf numFmtId="0" fontId="16" fillId="25" borderId="0" applyNumberFormat="0" applyBorder="0" applyAlignment="0" applyProtection="0"/>
    <xf numFmtId="0" fontId="52" fillId="26" borderId="0" applyNumberFormat="0" applyBorder="0" applyAlignment="0" applyProtection="0"/>
    <xf numFmtId="0" fontId="16" fillId="17" borderId="0" applyNumberFormat="0" applyBorder="0" applyAlignment="0" applyProtection="0"/>
    <xf numFmtId="0" fontId="52" fillId="27" borderId="0" applyNumberFormat="0" applyBorder="0" applyAlignment="0" applyProtection="0"/>
    <xf numFmtId="0" fontId="16" fillId="19" borderId="0" applyNumberFormat="0" applyBorder="0" applyAlignment="0" applyProtection="0"/>
    <xf numFmtId="0" fontId="52" fillId="28" borderId="0" applyNumberFormat="0" applyBorder="0" applyAlignment="0" applyProtection="0"/>
    <xf numFmtId="0" fontId="16" fillId="29" borderId="0" applyNumberFormat="0" applyBorder="0" applyAlignment="0" applyProtection="0"/>
    <xf numFmtId="0" fontId="52" fillId="30" borderId="0" applyNumberFormat="0" applyBorder="0" applyAlignment="0" applyProtection="0"/>
    <xf numFmtId="0" fontId="16" fillId="31" borderId="0" applyNumberFormat="0" applyBorder="0" applyAlignment="0" applyProtection="0"/>
    <xf numFmtId="0" fontId="52" fillId="32" borderId="0" applyNumberFormat="0" applyBorder="0" applyAlignment="0" applyProtection="0"/>
    <xf numFmtId="0" fontId="16" fillId="33" borderId="0" applyNumberFormat="0" applyBorder="0" applyAlignment="0" applyProtection="0"/>
    <xf numFmtId="0" fontId="52" fillId="34" borderId="0" applyNumberFormat="0" applyBorder="0" applyAlignment="0" applyProtection="0"/>
    <xf numFmtId="0" fontId="16" fillId="35" borderId="0" applyNumberFormat="0" applyBorder="0" applyAlignment="0" applyProtection="0"/>
    <xf numFmtId="0" fontId="52" fillId="36" borderId="0" applyNumberFormat="0" applyBorder="0" applyAlignment="0" applyProtection="0"/>
    <xf numFmtId="0" fontId="16" fillId="37" borderId="0" applyNumberFormat="0" applyBorder="0" applyAlignment="0" applyProtection="0"/>
    <xf numFmtId="0" fontId="52" fillId="38" borderId="0" applyNumberFormat="0" applyBorder="0" applyAlignment="0" applyProtection="0"/>
    <xf numFmtId="0" fontId="16" fillId="39" borderId="0" applyNumberFormat="0" applyBorder="0" applyAlignment="0" applyProtection="0"/>
    <xf numFmtId="0" fontId="52" fillId="40" borderId="0" applyNumberFormat="0" applyBorder="0" applyAlignment="0" applyProtection="0"/>
    <xf numFmtId="0" fontId="16" fillId="29" borderId="0" applyNumberFormat="0" applyBorder="0" applyAlignment="0" applyProtection="0"/>
    <xf numFmtId="0" fontId="52" fillId="41" borderId="0" applyNumberFormat="0" applyBorder="0" applyAlignment="0" applyProtection="0"/>
    <xf numFmtId="0" fontId="16" fillId="31" borderId="0" applyNumberFormat="0" applyBorder="0" applyAlignment="0" applyProtection="0"/>
    <xf numFmtId="0" fontId="52" fillId="42" borderId="0" applyNumberFormat="0" applyBorder="0" applyAlignment="0" applyProtection="0"/>
    <xf numFmtId="0" fontId="16" fillId="43" borderId="0" applyNumberFormat="0" applyBorder="0" applyAlignment="0" applyProtection="0"/>
    <xf numFmtId="0" fontId="53" fillId="44" borderId="0" applyNumberFormat="0" applyBorder="0" applyAlignment="0" applyProtection="0"/>
    <xf numFmtId="0" fontId="17" fillId="5" borderId="0" applyNumberFormat="0" applyBorder="0" applyAlignment="0" applyProtection="0"/>
    <xf numFmtId="0" fontId="54" fillId="45" borderId="1" applyNumberFormat="0" applyAlignment="0" applyProtection="0"/>
    <xf numFmtId="0" fontId="18" fillId="46" borderId="2" applyNumberFormat="0" applyAlignment="0" applyProtection="0"/>
    <xf numFmtId="0" fontId="55" fillId="47" borderId="3" applyNumberFormat="0" applyAlignment="0" applyProtection="0"/>
    <xf numFmtId="0" fontId="1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49" borderId="0" applyNumberFormat="0" applyBorder="0" applyAlignment="0" applyProtection="0"/>
    <xf numFmtId="0" fontId="21" fillId="7" borderId="0" applyNumberFormat="0" applyBorder="0" applyAlignment="0" applyProtection="0"/>
    <xf numFmtId="0" fontId="58" fillId="0" borderId="5" applyNumberFormat="0" applyFill="0" applyAlignment="0" applyProtection="0"/>
    <xf numFmtId="0" fontId="22" fillId="0" borderId="6" applyNumberFormat="0" applyFill="0" applyAlignment="0" applyProtection="0"/>
    <xf numFmtId="0" fontId="59" fillId="0" borderId="7" applyNumberFormat="0" applyFill="0" applyAlignment="0" applyProtection="0"/>
    <xf numFmtId="0" fontId="23" fillId="0" borderId="8" applyNumberFormat="0" applyFill="0" applyAlignment="0" applyProtection="0"/>
    <xf numFmtId="0" fontId="60" fillId="0" borderId="9" applyNumberFormat="0" applyFill="0" applyAlignment="0" applyProtection="0"/>
    <xf numFmtId="0" fontId="24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50" borderId="1" applyNumberFormat="0" applyAlignment="0" applyProtection="0"/>
    <xf numFmtId="0" fontId="25" fillId="13" borderId="2" applyNumberFormat="0" applyAlignment="0" applyProtection="0"/>
    <xf numFmtId="0" fontId="63" fillId="0" borderId="11" applyNumberFormat="0" applyFill="0" applyAlignment="0" applyProtection="0"/>
    <xf numFmtId="0" fontId="26" fillId="0" borderId="12" applyNumberFormat="0" applyFill="0" applyAlignment="0" applyProtection="0"/>
    <xf numFmtId="0" fontId="64" fillId="51" borderId="0" applyNumberFormat="0" applyBorder="0" applyAlignment="0" applyProtection="0"/>
    <xf numFmtId="0" fontId="27" fillId="52" borderId="0" applyNumberFormat="0" applyBorder="0" applyAlignment="0" applyProtection="0"/>
    <xf numFmtId="0" fontId="0" fillId="0" borderId="0">
      <alignment/>
      <protection/>
    </xf>
    <xf numFmtId="0" fontId="0" fillId="53" borderId="13" applyNumberFormat="0" applyFont="0" applyAlignment="0" applyProtection="0"/>
    <xf numFmtId="0" fontId="14" fillId="54" borderId="14" applyNumberFormat="0" applyFont="0" applyAlignment="0" applyProtection="0"/>
    <xf numFmtId="0" fontId="65" fillId="45" borderId="15" applyNumberFormat="0" applyAlignment="0" applyProtection="0"/>
    <xf numFmtId="0" fontId="28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7" fillId="0" borderId="17" applyNumberFormat="0" applyFill="0" applyAlignment="0" applyProtection="0"/>
    <xf numFmtId="0" fontId="29" fillId="0" borderId="18" applyNumberFormat="0" applyFill="0" applyAlignment="0" applyProtection="0"/>
    <xf numFmtId="0" fontId="68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1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/>
    </xf>
    <xf numFmtId="1" fontId="2" fillId="0" borderId="0" xfId="76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41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5" fillId="55" borderId="0" xfId="0" applyFont="1" applyFill="1" applyAlignment="1">
      <alignment/>
    </xf>
    <xf numFmtId="0" fontId="10" fillId="55" borderId="0" xfId="0" applyFont="1" applyFill="1" applyAlignment="1">
      <alignment/>
    </xf>
    <xf numFmtId="0" fontId="0" fillId="55" borderId="0" xfId="0" applyFill="1" applyAlignment="1">
      <alignment/>
    </xf>
    <xf numFmtId="0" fontId="0" fillId="0" borderId="20" xfId="0" applyBorder="1" applyAlignment="1">
      <alignment/>
    </xf>
    <xf numFmtId="44" fontId="0" fillId="0" borderId="20" xfId="0" applyNumberFormat="1" applyBorder="1" applyAlignment="1">
      <alignment/>
    </xf>
    <xf numFmtId="165" fontId="6" fillId="0" borderId="21" xfId="76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41" fontId="0" fillId="0" borderId="20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/>
    </xf>
    <xf numFmtId="165" fontId="0" fillId="0" borderId="20" xfId="0" applyNumberFormat="1" applyBorder="1" applyAlignment="1">
      <alignment/>
    </xf>
    <xf numFmtId="0" fontId="0" fillId="0" borderId="25" xfId="0" applyBorder="1" applyAlignment="1">
      <alignment horizontal="center"/>
    </xf>
    <xf numFmtId="165" fontId="0" fillId="0" borderId="26" xfId="0" applyNumberFormat="1" applyBorder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17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170" fontId="0" fillId="0" borderId="0" xfId="0" applyNumberFormat="1" applyFill="1" applyAlignment="1">
      <alignment wrapText="1"/>
    </xf>
    <xf numFmtId="43" fontId="0" fillId="0" borderId="0" xfId="74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70" fontId="0" fillId="0" borderId="0" xfId="74" applyNumberFormat="1" applyFont="1" applyFill="1" applyAlignment="1">
      <alignment/>
    </xf>
    <xf numFmtId="170" fontId="0" fillId="0" borderId="0" xfId="74" applyNumberFormat="1" applyFont="1" applyFill="1" applyAlignment="1">
      <alignment/>
    </xf>
    <xf numFmtId="170" fontId="0" fillId="0" borderId="19" xfId="74" applyNumberFormat="1" applyFont="1" applyFill="1" applyBorder="1" applyAlignment="1">
      <alignment/>
    </xf>
    <xf numFmtId="170" fontId="0" fillId="0" borderId="0" xfId="74" applyNumberFormat="1" applyFont="1" applyFill="1" applyAlignment="1">
      <alignment/>
    </xf>
    <xf numFmtId="43" fontId="0" fillId="0" borderId="0" xfId="74" applyFont="1" applyFill="1" applyAlignment="1">
      <alignment/>
    </xf>
    <xf numFmtId="170" fontId="0" fillId="0" borderId="0" xfId="0" applyNumberFormat="1" applyFont="1" applyFill="1" applyAlignment="1">
      <alignment wrapText="1"/>
    </xf>
    <xf numFmtId="43" fontId="0" fillId="0" borderId="0" xfId="74" applyAlignment="1">
      <alignment/>
    </xf>
    <xf numFmtId="43" fontId="0" fillId="0" borderId="0" xfId="74" applyFont="1" applyAlignment="1">
      <alignment/>
    </xf>
    <xf numFmtId="9" fontId="0" fillId="0" borderId="0" xfId="111" applyFont="1" applyAlignment="1">
      <alignment/>
    </xf>
    <xf numFmtId="170" fontId="0" fillId="0" borderId="0" xfId="74" applyNumberFormat="1" applyAlignment="1">
      <alignment/>
    </xf>
    <xf numFmtId="170" fontId="0" fillId="0" borderId="0" xfId="74" applyNumberFormat="1" applyAlignment="1">
      <alignment/>
    </xf>
    <xf numFmtId="170" fontId="0" fillId="0" borderId="19" xfId="74" applyNumberFormat="1" applyBorder="1" applyAlignment="1">
      <alignment/>
    </xf>
    <xf numFmtId="43" fontId="0" fillId="0" borderId="0" xfId="74" applyFont="1" applyAlignment="1">
      <alignment/>
    </xf>
    <xf numFmtId="0" fontId="0" fillId="0" borderId="0" xfId="0" applyAlignment="1">
      <alignment horizontal="left" indent="1"/>
    </xf>
    <xf numFmtId="169" fontId="0" fillId="0" borderId="21" xfId="81" applyNumberFormat="1" applyFont="1" applyBorder="1" applyAlignment="1">
      <alignment/>
    </xf>
    <xf numFmtId="169" fontId="0" fillId="0" borderId="0" xfId="81" applyNumberFormat="1" applyFont="1" applyBorder="1" applyAlignment="1">
      <alignment/>
    </xf>
    <xf numFmtId="41" fontId="0" fillId="0" borderId="21" xfId="76" applyNumberFormat="1" applyFont="1" applyBorder="1" applyAlignment="1">
      <alignment horizontal="center"/>
    </xf>
    <xf numFmtId="41" fontId="0" fillId="0" borderId="0" xfId="76" applyNumberFormat="1" applyFont="1" applyBorder="1" applyAlignment="1">
      <alignment horizontal="center"/>
    </xf>
    <xf numFmtId="169" fontId="0" fillId="0" borderId="0" xfId="81" applyNumberFormat="1" applyBorder="1" applyAlignment="1">
      <alignment horizontal="center"/>
    </xf>
    <xf numFmtId="169" fontId="0" fillId="52" borderId="21" xfId="81" applyNumberFormat="1" applyFont="1" applyFill="1" applyBorder="1" applyAlignment="1">
      <alignment horizontal="center"/>
    </xf>
    <xf numFmtId="44" fontId="0" fillId="0" borderId="0" xfId="0" applyNumberFormat="1" applyAlignment="1">
      <alignment/>
    </xf>
    <xf numFmtId="169" fontId="0" fillId="0" borderId="21" xfId="81" applyNumberFormat="1" applyBorder="1" applyAlignment="1">
      <alignment horizontal="center"/>
    </xf>
    <xf numFmtId="169" fontId="0" fillId="0" borderId="25" xfId="81" applyNumberFormat="1" applyBorder="1" applyAlignment="1">
      <alignment horizontal="center"/>
    </xf>
    <xf numFmtId="165" fontId="0" fillId="0" borderId="21" xfId="76" applyNumberFormat="1" applyFont="1" applyBorder="1" applyAlignment="1">
      <alignment horizontal="center"/>
    </xf>
    <xf numFmtId="165" fontId="0" fillId="0" borderId="0" xfId="76" applyNumberFormat="1" applyFont="1" applyBorder="1" applyAlignment="1">
      <alignment horizontal="center"/>
    </xf>
    <xf numFmtId="166" fontId="0" fillId="56" borderId="21" xfId="111" applyNumberFormat="1" applyFill="1" applyBorder="1" applyAlignment="1">
      <alignment horizontal="right"/>
    </xf>
    <xf numFmtId="169" fontId="0" fillId="0" borderId="20" xfId="81" applyNumberFormat="1" applyFont="1" applyBorder="1" applyAlignment="1">
      <alignment/>
    </xf>
    <xf numFmtId="169" fontId="0" fillId="0" borderId="0" xfId="81" applyNumberFormat="1" applyFont="1" applyAlignment="1">
      <alignment/>
    </xf>
    <xf numFmtId="169" fontId="6" fillId="0" borderId="0" xfId="81" applyNumberFormat="1" applyFont="1" applyBorder="1" applyAlignment="1">
      <alignment horizontal="center"/>
    </xf>
    <xf numFmtId="169" fontId="6" fillId="0" borderId="20" xfId="81" applyNumberFormat="1" applyFont="1" applyBorder="1" applyAlignment="1">
      <alignment/>
    </xf>
    <xf numFmtId="169" fontId="6" fillId="0" borderId="0" xfId="81" applyNumberFormat="1" applyFont="1" applyAlignment="1">
      <alignment/>
    </xf>
    <xf numFmtId="10" fontId="0" fillId="52" borderId="21" xfId="111" applyNumberFormat="1" applyFill="1" applyBorder="1" applyAlignment="1">
      <alignment horizontal="center"/>
    </xf>
    <xf numFmtId="169" fontId="0" fillId="0" borderId="20" xfId="81" applyNumberFormat="1" applyFill="1" applyBorder="1" applyAlignment="1">
      <alignment horizontal="center"/>
    </xf>
    <xf numFmtId="169" fontId="0" fillId="0" borderId="0" xfId="81" applyNumberFormat="1" applyFill="1" applyBorder="1" applyAlignment="1">
      <alignment horizontal="center"/>
    </xf>
    <xf numFmtId="169" fontId="7" fillId="0" borderId="20" xfId="81" applyNumberFormat="1" applyFont="1" applyBorder="1" applyAlignment="1">
      <alignment/>
    </xf>
    <xf numFmtId="169" fontId="7" fillId="0" borderId="0" xfId="81" applyNumberFormat="1" applyFont="1" applyAlignment="1">
      <alignment/>
    </xf>
    <xf numFmtId="169" fontId="0" fillId="0" borderId="27" xfId="81" applyNumberFormat="1" applyBorder="1" applyAlignment="1">
      <alignment horizontal="center"/>
    </xf>
    <xf numFmtId="169" fontId="0" fillId="0" borderId="20" xfId="81" applyNumberFormat="1" applyBorder="1" applyAlignment="1">
      <alignment horizontal="center"/>
    </xf>
    <xf numFmtId="169" fontId="0" fillId="0" borderId="0" xfId="81" applyNumberFormat="1" applyAlignment="1">
      <alignment horizontal="center"/>
    </xf>
    <xf numFmtId="169" fontId="0" fillId="0" borderId="26" xfId="81" applyNumberFormat="1" applyBorder="1" applyAlignment="1">
      <alignment horizontal="center"/>
    </xf>
    <xf numFmtId="41" fontId="0" fillId="0" borderId="27" xfId="76" applyNumberFormat="1" applyFont="1" applyBorder="1" applyAlignment="1">
      <alignment horizontal="center"/>
    </xf>
    <xf numFmtId="41" fontId="0" fillId="0" borderId="20" xfId="76" applyNumberFormat="1" applyFont="1" applyBorder="1" applyAlignment="1">
      <alignment horizontal="center"/>
    </xf>
    <xf numFmtId="41" fontId="0" fillId="0" borderId="0" xfId="76" applyNumberFormat="1" applyFont="1" applyAlignment="1">
      <alignment horizontal="center"/>
    </xf>
    <xf numFmtId="41" fontId="0" fillId="0" borderId="26" xfId="76" applyNumberFormat="1" applyFont="1" applyBorder="1" applyAlignment="1">
      <alignment horizontal="center"/>
    </xf>
    <xf numFmtId="41" fontId="0" fillId="7" borderId="20" xfId="76" applyNumberFormat="1" applyFont="1" applyFill="1" applyBorder="1" applyAlignment="1">
      <alignment horizontal="center"/>
    </xf>
    <xf numFmtId="41" fontId="0" fillId="7" borderId="0" xfId="76" applyNumberFormat="1" applyFont="1" applyFill="1" applyBorder="1" applyAlignment="1">
      <alignment horizontal="center"/>
    </xf>
    <xf numFmtId="43" fontId="0" fillId="0" borderId="22" xfId="74" applyFont="1" applyBorder="1" applyAlignment="1">
      <alignment horizontal="center"/>
    </xf>
    <xf numFmtId="43" fontId="0" fillId="0" borderId="0" xfId="74" applyFont="1" applyBorder="1" applyAlignment="1">
      <alignment horizontal="center"/>
    </xf>
    <xf numFmtId="165" fontId="0" fillId="7" borderId="21" xfId="76" applyNumberFormat="1" applyFont="1" applyFill="1" applyBorder="1" applyAlignment="1">
      <alignment horizontal="center"/>
    </xf>
    <xf numFmtId="10" fontId="0" fillId="52" borderId="21" xfId="111" applyNumberFormat="1" applyFill="1" applyBorder="1" applyAlignment="1">
      <alignment horizontal="right"/>
    </xf>
    <xf numFmtId="165" fontId="0" fillId="0" borderId="23" xfId="76" applyNumberFormat="1" applyFont="1" applyBorder="1" applyAlignment="1">
      <alignment horizontal="center"/>
    </xf>
    <xf numFmtId="168" fontId="0" fillId="52" borderId="21" xfId="111" applyNumberFormat="1" applyFill="1" applyBorder="1" applyAlignment="1">
      <alignment horizontal="center"/>
    </xf>
    <xf numFmtId="10" fontId="0" fillId="0" borderId="0" xfId="111" applyNumberFormat="1" applyBorder="1" applyAlignment="1">
      <alignment horizontal="center"/>
    </xf>
    <xf numFmtId="165" fontId="0" fillId="0" borderId="20" xfId="76" applyNumberFormat="1" applyFont="1" applyBorder="1" applyAlignment="1">
      <alignment/>
    </xf>
    <xf numFmtId="165" fontId="0" fillId="0" borderId="0" xfId="76" applyNumberFormat="1" applyFont="1" applyAlignment="1">
      <alignment/>
    </xf>
    <xf numFmtId="0" fontId="0" fillId="0" borderId="0" xfId="104">
      <alignment/>
      <protection/>
    </xf>
    <xf numFmtId="0" fontId="0" fillId="0" borderId="0" xfId="104" applyProtection="1">
      <alignment/>
      <protection/>
    </xf>
    <xf numFmtId="0" fontId="2" fillId="0" borderId="0" xfId="104" applyFont="1" applyBorder="1" applyAlignment="1" applyProtection="1">
      <alignment horizontal="center"/>
      <protection/>
    </xf>
    <xf numFmtId="1" fontId="0" fillId="0" borderId="0" xfId="104" applyNumberFormat="1" applyProtection="1">
      <alignment/>
      <protection/>
    </xf>
    <xf numFmtId="10" fontId="0" fillId="0" borderId="0" xfId="104" applyNumberFormat="1" applyProtection="1">
      <alignment/>
      <protection/>
    </xf>
    <xf numFmtId="180" fontId="0" fillId="0" borderId="0" xfId="82" applyNumberFormat="1" applyFont="1" applyAlignment="1" applyProtection="1">
      <alignment/>
      <protection/>
    </xf>
    <xf numFmtId="0" fontId="0" fillId="0" borderId="0" xfId="104" applyFill="1" applyBorder="1" applyProtection="1">
      <alignment/>
      <protection/>
    </xf>
    <xf numFmtId="10" fontId="0" fillId="0" borderId="0" xfId="110" applyNumberFormat="1" applyFont="1" applyAlignment="1" applyProtection="1">
      <alignment horizontal="center"/>
      <protection/>
    </xf>
    <xf numFmtId="0" fontId="2" fillId="0" borderId="0" xfId="104" applyFont="1" applyBorder="1" applyAlignment="1" applyProtection="1">
      <alignment horizontal="center" wrapText="1"/>
      <protection/>
    </xf>
    <xf numFmtId="0" fontId="31" fillId="0" borderId="0" xfId="104" applyFont="1" applyBorder="1" applyAlignment="1" applyProtection="1">
      <alignment horizontal="center"/>
      <protection/>
    </xf>
    <xf numFmtId="0" fontId="13" fillId="0" borderId="0" xfId="104" applyFont="1" applyBorder="1" applyProtection="1">
      <alignment/>
      <protection/>
    </xf>
    <xf numFmtId="0" fontId="0" fillId="0" borderId="0" xfId="104" applyBorder="1" applyAlignment="1" applyProtection="1">
      <alignment horizontal="center"/>
      <protection/>
    </xf>
    <xf numFmtId="0" fontId="2" fillId="0" borderId="0" xfId="104" applyFont="1" applyBorder="1" applyAlignment="1" applyProtection="1">
      <alignment wrapText="1"/>
      <protection/>
    </xf>
    <xf numFmtId="0" fontId="30" fillId="57" borderId="0" xfId="104" applyFont="1" applyFill="1" applyBorder="1" applyProtection="1">
      <alignment/>
      <protection/>
    </xf>
    <xf numFmtId="17" fontId="0" fillId="0" borderId="0" xfId="104" applyNumberFormat="1" applyProtection="1">
      <alignment/>
      <protection/>
    </xf>
    <xf numFmtId="0" fontId="32" fillId="0" borderId="0" xfId="104" applyFont="1" applyBorder="1" applyAlignment="1" applyProtection="1">
      <alignment horizontal="center"/>
      <protection/>
    </xf>
    <xf numFmtId="1" fontId="33" fillId="0" borderId="0" xfId="104" applyNumberFormat="1" applyFont="1" applyProtection="1">
      <alignment/>
      <protection/>
    </xf>
    <xf numFmtId="17" fontId="33" fillId="0" borderId="0" xfId="104" applyNumberFormat="1" applyFont="1" applyAlignment="1" applyProtection="1">
      <alignment horizontal="center"/>
      <protection/>
    </xf>
    <xf numFmtId="164" fontId="0" fillId="0" borderId="0" xfId="104" applyNumberFormat="1" applyProtection="1">
      <alignment/>
      <protection/>
    </xf>
    <xf numFmtId="0" fontId="30" fillId="0" borderId="0" xfId="104" applyFont="1" applyFill="1" applyBorder="1" applyProtection="1">
      <alignment/>
      <protection/>
    </xf>
    <xf numFmtId="179" fontId="0" fillId="6" borderId="28" xfId="82" applyNumberFormat="1" applyFont="1" applyFill="1" applyBorder="1" applyAlignment="1" applyProtection="1">
      <alignment/>
      <protection locked="0"/>
    </xf>
    <xf numFmtId="179" fontId="0" fillId="6" borderId="28" xfId="82" applyNumberFormat="1" applyFont="1" applyFill="1" applyBorder="1" applyAlignment="1" applyProtection="1">
      <alignment/>
      <protection locked="0"/>
    </xf>
    <xf numFmtId="179" fontId="0" fillId="0" borderId="0" xfId="104" applyNumberFormat="1">
      <alignment/>
      <protection/>
    </xf>
    <xf numFmtId="164" fontId="0" fillId="0" borderId="0" xfId="0" applyNumberFormat="1" applyFont="1" applyAlignment="1">
      <alignment/>
    </xf>
    <xf numFmtId="41" fontId="2" fillId="0" borderId="19" xfId="0" applyNumberFormat="1" applyFont="1" applyBorder="1" applyAlignment="1">
      <alignment/>
    </xf>
    <xf numFmtId="0" fontId="34" fillId="0" borderId="0" xfId="104" applyFont="1" applyFill="1" applyBorder="1" applyProtection="1">
      <alignment/>
      <protection/>
    </xf>
    <xf numFmtId="17" fontId="2" fillId="0" borderId="0" xfId="104" applyNumberFormat="1" applyFont="1" applyProtection="1">
      <alignment/>
      <protection/>
    </xf>
    <xf numFmtId="1" fontId="2" fillId="0" borderId="0" xfId="104" applyNumberFormat="1" applyFont="1" applyProtection="1">
      <alignment/>
      <protection/>
    </xf>
    <xf numFmtId="0" fontId="2" fillId="0" borderId="0" xfId="104" applyFont="1">
      <alignment/>
      <protection/>
    </xf>
    <xf numFmtId="1" fontId="2" fillId="55" borderId="29" xfId="76" applyNumberFormat="1" applyFont="1" applyFill="1" applyBorder="1" applyAlignment="1">
      <alignment horizontal="center"/>
    </xf>
    <xf numFmtId="1" fontId="2" fillId="55" borderId="30" xfId="76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0" xfId="104" applyFont="1" applyBorder="1" applyAlignment="1" applyProtection="1">
      <alignment horizontal="center" vertical="center" wrapText="1"/>
      <protection/>
    </xf>
    <xf numFmtId="179" fontId="0" fillId="6" borderId="32" xfId="82" applyNumberFormat="1" applyFont="1" applyFill="1" applyBorder="1" applyAlignment="1" applyProtection="1">
      <alignment/>
      <protection locked="0"/>
    </xf>
    <xf numFmtId="0" fontId="30" fillId="0" borderId="25" xfId="104" applyFont="1" applyFill="1" applyBorder="1" applyProtection="1">
      <alignment/>
      <protection/>
    </xf>
    <xf numFmtId="17" fontId="0" fillId="0" borderId="25" xfId="104" applyNumberFormat="1" applyBorder="1" applyProtection="1">
      <alignment/>
      <protection/>
    </xf>
    <xf numFmtId="1" fontId="0" fillId="0" borderId="25" xfId="104" applyNumberFormat="1" applyBorder="1" applyProtection="1">
      <alignment/>
      <protection/>
    </xf>
    <xf numFmtId="0" fontId="0" fillId="0" borderId="25" xfId="104" applyBorder="1">
      <alignment/>
      <protection/>
    </xf>
    <xf numFmtId="179" fontId="2" fillId="0" borderId="33" xfId="104" applyNumberFormat="1" applyFont="1" applyBorder="1" applyProtection="1">
      <alignment/>
      <protection/>
    </xf>
    <xf numFmtId="0" fontId="2" fillId="0" borderId="33" xfId="104" applyFont="1" applyBorder="1">
      <alignment/>
      <protection/>
    </xf>
    <xf numFmtId="0" fontId="2" fillId="0" borderId="0" xfId="104" applyFont="1" applyAlignment="1" applyProtection="1">
      <alignment horizontal="center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3" xfId="73"/>
    <cellStyle name="Comma 4" xfId="74"/>
    <cellStyle name="Comma 5" xfId="75"/>
    <cellStyle name="Comma_Smart Meter Rate Rider Calculation For 2008 Rate Year" xfId="76"/>
    <cellStyle name="Currency" xfId="77"/>
    <cellStyle name="Currency [0]" xfId="78"/>
    <cellStyle name="Currency 2" xfId="79"/>
    <cellStyle name="Currency 3" xfId="80"/>
    <cellStyle name="Currency 4" xfId="81"/>
    <cellStyle name="Currency 5" xfId="82"/>
    <cellStyle name="Explanatory Text" xfId="83"/>
    <cellStyle name="Explanatory Text 2" xfId="84"/>
    <cellStyle name="Followed Hyperlink" xfId="85"/>
    <cellStyle name="Good" xfId="86"/>
    <cellStyle name="Good 2" xfId="87"/>
    <cellStyle name="Heading 1" xfId="88"/>
    <cellStyle name="Heading 1 2" xfId="89"/>
    <cellStyle name="Heading 2" xfId="90"/>
    <cellStyle name="Heading 2 2" xfId="91"/>
    <cellStyle name="Heading 3" xfId="92"/>
    <cellStyle name="Heading 3 2" xfId="93"/>
    <cellStyle name="Heading 4" xfId="94"/>
    <cellStyle name="Heading 4 2" xfId="95"/>
    <cellStyle name="Hyperlink" xfId="96"/>
    <cellStyle name="Hyperlink 2" xfId="97"/>
    <cellStyle name="Input" xfId="98"/>
    <cellStyle name="Input 2" xfId="99"/>
    <cellStyle name="Linked Cell" xfId="100"/>
    <cellStyle name="Linked Cell 2" xfId="101"/>
    <cellStyle name="Neutral" xfId="102"/>
    <cellStyle name="Neutral 2" xfId="103"/>
    <cellStyle name="Normal 2" xfId="104"/>
    <cellStyle name="Note" xfId="105"/>
    <cellStyle name="Note 2" xfId="106"/>
    <cellStyle name="Output" xfId="107"/>
    <cellStyle name="Output 2" xfId="108"/>
    <cellStyle name="Percent" xfId="109"/>
    <cellStyle name="Percent 2" xfId="110"/>
    <cellStyle name="Percent 3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EB%20Filings\2013\Smart%20Meter%20Disposition\SM%20Costs\Inpu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OEB Template"/>
      <sheetName val="Forecast"/>
      <sheetName val="OM&amp;A"/>
      <sheetName val="Meters"/>
      <sheetName val="Collectors"/>
      <sheetName val="John's Adj to A356"/>
      <sheetName val="AMI"/>
      <sheetName val="Repeaters"/>
      <sheetName val="Cap&amp;Dep"/>
      <sheetName val="Depreciation"/>
      <sheetName val="Funding Adders"/>
      <sheetName val="Customer Forecast"/>
      <sheetName val="Prev Disp."/>
      <sheetName val="OS"/>
      <sheetName val="1555"/>
      <sheetName val="1556"/>
      <sheetName val="Stranded Meters"/>
      <sheetName val="Sheet6"/>
    </sheetNames>
    <sheetDataSet>
      <sheetData sheetId="3">
        <row r="5">
          <cell r="B5">
            <v>18115.921399735464</v>
          </cell>
        </row>
        <row r="6">
          <cell r="B6">
            <v>19844.98329647008</v>
          </cell>
        </row>
        <row r="7">
          <cell r="B7">
            <v>22228.12378855781</v>
          </cell>
        </row>
        <row r="8">
          <cell r="B8">
            <v>49255.2352841179</v>
          </cell>
        </row>
        <row r="9">
          <cell r="B9">
            <v>21102.586116282582</v>
          </cell>
        </row>
        <row r="10">
          <cell r="B10">
            <v>42265.12059245184</v>
          </cell>
        </row>
        <row r="11">
          <cell r="B11">
            <v>33918.13775823501</v>
          </cell>
        </row>
        <row r="12">
          <cell r="B12">
            <v>12104.82049652781</v>
          </cell>
        </row>
        <row r="13">
          <cell r="B13">
            <v>20493.36405112578</v>
          </cell>
        </row>
        <row r="14">
          <cell r="B14">
            <v>22309.141124748814</v>
          </cell>
        </row>
        <row r="15">
          <cell r="B15">
            <v>21161.082085403257</v>
          </cell>
        </row>
        <row r="16">
          <cell r="B16">
            <v>43115.51400634363</v>
          </cell>
        </row>
        <row r="53">
          <cell r="B53">
            <v>325914.0299999999</v>
          </cell>
        </row>
      </sheetData>
      <sheetData sheetId="10">
        <row r="19">
          <cell r="E19">
            <v>-104851.87772222224</v>
          </cell>
        </row>
        <row r="20">
          <cell r="E20">
            <v>-104851.87772222224</v>
          </cell>
        </row>
        <row r="21">
          <cell r="E21">
            <v>-104851.87772222224</v>
          </cell>
        </row>
        <row r="22">
          <cell r="E22">
            <v>-104851.87772222224</v>
          </cell>
        </row>
        <row r="23">
          <cell r="E23">
            <v>-104851.87772222224</v>
          </cell>
        </row>
        <row r="24">
          <cell r="E24">
            <v>-104851.87772222224</v>
          </cell>
        </row>
        <row r="25">
          <cell r="E25">
            <v>-104851.87772222224</v>
          </cell>
        </row>
        <row r="26">
          <cell r="E26">
            <v>-104851.87772222224</v>
          </cell>
        </row>
        <row r="27">
          <cell r="E27">
            <v>-104851.87772222224</v>
          </cell>
        </row>
        <row r="28">
          <cell r="E28">
            <v>-104851.87772222224</v>
          </cell>
        </row>
        <row r="29">
          <cell r="E29">
            <v>-104851.87772222224</v>
          </cell>
        </row>
        <row r="30">
          <cell r="E30">
            <v>-104851.87772222224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16.00390625" style="0" customWidth="1"/>
    <col min="6" max="6" width="13.57421875" style="0" bestFit="1" customWidth="1"/>
    <col min="7" max="7" width="14.421875" style="0" customWidth="1"/>
    <col min="8" max="8" width="12.8515625" style="0" bestFit="1" customWidth="1"/>
    <col min="9" max="9" width="10.28125" style="0" bestFit="1" customWidth="1"/>
    <col min="10" max="10" width="12.8515625" style="0" bestFit="1" customWidth="1"/>
  </cols>
  <sheetData>
    <row r="1" spans="1:6" ht="20.25">
      <c r="A1" s="21" t="s">
        <v>192</v>
      </c>
      <c r="B1" s="22"/>
      <c r="C1" s="22"/>
      <c r="D1" s="22"/>
      <c r="E1" s="22"/>
      <c r="F1" s="22"/>
    </row>
    <row r="2" ht="18">
      <c r="A2" s="6"/>
    </row>
    <row r="3" ht="12.75">
      <c r="A3" s="5"/>
    </row>
    <row r="4" spans="1:7" ht="15.75">
      <c r="A4" s="16" t="s">
        <v>194</v>
      </c>
      <c r="G4" s="8"/>
    </row>
    <row r="5" spans="1:8" ht="12.75">
      <c r="A5" s="5" t="s">
        <v>107</v>
      </c>
      <c r="F5" s="17">
        <f>'Rev Req. Stub Year'!D49</f>
        <v>3098675.185242971</v>
      </c>
      <c r="H5" s="17"/>
    </row>
    <row r="6" spans="1:6" ht="12.75">
      <c r="A6" s="5" t="s">
        <v>193</v>
      </c>
      <c r="F6" s="17">
        <f>'Opex_Int_Mthly - Stub Year'!O102</f>
        <v>61226.21005297927</v>
      </c>
    </row>
    <row r="7" spans="1:8" ht="13.5" thickBot="1">
      <c r="A7" s="5" t="s">
        <v>195</v>
      </c>
      <c r="F7" s="130">
        <f>SUM(F5:F6)</f>
        <v>3159901.39529595</v>
      </c>
      <c r="G7" s="2"/>
      <c r="H7" s="2"/>
    </row>
    <row r="8" ht="13.5" thickTop="1"/>
    <row r="9" ht="18">
      <c r="A9" s="6"/>
    </row>
  </sheetData>
  <sheetProtection/>
  <printOptions/>
  <pageMargins left="0.75" right="0.75" top="1" bottom="1" header="0.5" footer="0.5"/>
  <pageSetup fitToHeight="1" fitToWidth="1" horizontalDpi="525" verticalDpi="525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9">
      <selection activeCell="F35" sqref="F35"/>
    </sheetView>
  </sheetViews>
  <sheetFormatPr defaultColWidth="9.140625" defaultRowHeight="12.75"/>
  <cols>
    <col min="1" max="1" width="22.8515625" style="0" customWidth="1"/>
    <col min="2" max="2" width="11.7109375" style="0" customWidth="1"/>
    <col min="3" max="3" width="17.8515625" style="0" customWidth="1"/>
    <col min="4" max="4" width="17.57421875" style="48" customWidth="1"/>
    <col min="5" max="5" width="16.7109375" style="0" customWidth="1"/>
    <col min="6" max="6" width="18.8515625" style="0" bestFit="1" customWidth="1"/>
    <col min="7" max="7" width="18.8515625" style="0" customWidth="1"/>
    <col min="8" max="8" width="18.8515625" style="0" bestFit="1" customWidth="1"/>
  </cols>
  <sheetData>
    <row r="1" spans="1:2" ht="12.75">
      <c r="A1" s="5" t="s">
        <v>141</v>
      </c>
      <c r="B1" s="5"/>
    </row>
    <row r="5" spans="1:2" ht="12.75">
      <c r="A5" s="5" t="s">
        <v>6</v>
      </c>
      <c r="B5" s="5"/>
    </row>
    <row r="6" spans="1:2" ht="12.75">
      <c r="A6" s="5"/>
      <c r="B6" s="5"/>
    </row>
    <row r="7" spans="1:7" ht="38.25">
      <c r="A7" s="41"/>
      <c r="B7" s="42" t="s">
        <v>86</v>
      </c>
      <c r="C7" s="41" t="s">
        <v>5</v>
      </c>
      <c r="D7" s="49" t="s">
        <v>108</v>
      </c>
      <c r="E7" s="49" t="s">
        <v>109</v>
      </c>
      <c r="F7" s="50" t="s">
        <v>110</v>
      </c>
      <c r="G7" s="50" t="s">
        <v>111</v>
      </c>
    </row>
    <row r="8" spans="1:7" ht="12.75">
      <c r="A8" s="43" t="s">
        <v>0</v>
      </c>
      <c r="B8" s="43"/>
      <c r="C8" s="51">
        <v>0</v>
      </c>
      <c r="D8" s="51">
        <v>0</v>
      </c>
      <c r="E8" s="52">
        <v>0</v>
      </c>
      <c r="F8" s="44">
        <f>+D8-E8</f>
        <v>0</v>
      </c>
      <c r="G8" s="52">
        <f>(+C8+F8)/2</f>
        <v>0</v>
      </c>
    </row>
    <row r="9" spans="1:7" ht="12.75">
      <c r="A9" s="43" t="s">
        <v>1</v>
      </c>
      <c r="B9" s="43"/>
      <c r="C9" s="51">
        <v>0</v>
      </c>
      <c r="D9" s="52">
        <v>0</v>
      </c>
      <c r="E9" s="52">
        <f>D9/15/2</f>
        <v>0</v>
      </c>
      <c r="F9" s="44">
        <f>+D9-E9</f>
        <v>0</v>
      </c>
      <c r="G9" s="52">
        <f>(+C9+F9)/2</f>
        <v>0</v>
      </c>
    </row>
    <row r="10" spans="1:7" ht="12.75">
      <c r="A10" s="45" t="s">
        <v>99</v>
      </c>
      <c r="B10" s="43"/>
      <c r="C10" s="51">
        <v>0</v>
      </c>
      <c r="D10" s="51">
        <v>0</v>
      </c>
      <c r="E10" s="52"/>
      <c r="F10" s="44">
        <f>+D10-E10</f>
        <v>0</v>
      </c>
      <c r="G10" s="52">
        <f>(+C10+F10)/2</f>
        <v>0</v>
      </c>
    </row>
    <row r="11" spans="1:7" ht="12.75">
      <c r="A11" s="45" t="s">
        <v>98</v>
      </c>
      <c r="B11" s="43"/>
      <c r="C11" s="51">
        <v>0</v>
      </c>
      <c r="D11" s="51"/>
      <c r="E11" s="52"/>
      <c r="F11" s="44">
        <f>+D11-E11</f>
        <v>0</v>
      </c>
      <c r="G11" s="52">
        <f>(+C11+F11)/2</f>
        <v>0</v>
      </c>
    </row>
    <row r="12" spans="1:7" ht="12.75">
      <c r="A12" s="43" t="s">
        <v>3</v>
      </c>
      <c r="B12" s="43"/>
      <c r="C12" s="51">
        <v>0</v>
      </c>
      <c r="D12" s="51"/>
      <c r="E12" s="52"/>
      <c r="F12" s="44">
        <f>+D12-E12</f>
        <v>0</v>
      </c>
      <c r="G12" s="52">
        <f>(+C12+F12)/2</f>
        <v>0</v>
      </c>
    </row>
    <row r="13" spans="1:7" ht="13.5" thickBot="1">
      <c r="A13" s="41"/>
      <c r="B13" s="41"/>
      <c r="C13" s="53">
        <f>SUM(C8:C12)</f>
        <v>0</v>
      </c>
      <c r="D13" s="53">
        <f>SUM(D8:D12)</f>
        <v>0</v>
      </c>
      <c r="E13" s="53">
        <f>SUM(E8:E12)</f>
        <v>0</v>
      </c>
      <c r="F13" s="53">
        <f>SUM(F8:F12)</f>
        <v>0</v>
      </c>
      <c r="G13" s="53">
        <f>SUM(G8:G12)</f>
        <v>0</v>
      </c>
    </row>
    <row r="14" spans="1:7" ht="13.5" thickTop="1">
      <c r="A14" s="46"/>
      <c r="B14" s="46"/>
      <c r="C14" s="44"/>
      <c r="D14" s="52"/>
      <c r="E14" s="44"/>
      <c r="F14" s="44"/>
      <c r="G14" s="44"/>
    </row>
    <row r="15" spans="1:7" ht="38.25">
      <c r="A15" s="41"/>
      <c r="B15" s="42" t="s">
        <v>86</v>
      </c>
      <c r="C15" s="44" t="s">
        <v>5</v>
      </c>
      <c r="D15" s="47" t="s">
        <v>112</v>
      </c>
      <c r="E15" s="47" t="s">
        <v>113</v>
      </c>
      <c r="F15" s="44" t="s">
        <v>114</v>
      </c>
      <c r="G15" s="44" t="s">
        <v>115</v>
      </c>
    </row>
    <row r="16" spans="1:7" ht="12.75">
      <c r="A16" s="43" t="s">
        <v>0</v>
      </c>
      <c r="B16" s="43"/>
      <c r="C16" s="51">
        <f>+F8</f>
        <v>0</v>
      </c>
      <c r="D16" s="51"/>
      <c r="E16" s="52">
        <v>0</v>
      </c>
      <c r="F16" s="44">
        <f>+D16-E16</f>
        <v>0</v>
      </c>
      <c r="G16" s="52">
        <f>(+C16+F16)/2</f>
        <v>0</v>
      </c>
    </row>
    <row r="17" spans="1:7" ht="12.75">
      <c r="A17" s="43" t="s">
        <v>1</v>
      </c>
      <c r="B17" s="43">
        <v>15</v>
      </c>
      <c r="C17" s="51">
        <f>+F9</f>
        <v>0</v>
      </c>
      <c r="D17" s="54">
        <v>4302123.15</v>
      </c>
      <c r="E17" s="52">
        <f>D17/15/2</f>
        <v>143404.105</v>
      </c>
      <c r="F17" s="52">
        <f>+C17+D17-E17</f>
        <v>4158719.0450000004</v>
      </c>
      <c r="G17" s="52">
        <f>(+C17+F17)/2</f>
        <v>2079359.5225000002</v>
      </c>
    </row>
    <row r="18" spans="1:7" ht="12.75">
      <c r="A18" s="45" t="s">
        <v>100</v>
      </c>
      <c r="B18" s="43"/>
      <c r="C18" s="51">
        <f>+F10</f>
        <v>0</v>
      </c>
      <c r="D18" s="51"/>
      <c r="E18" s="52"/>
      <c r="F18" s="44">
        <f>+D18-E18</f>
        <v>0</v>
      </c>
      <c r="G18" s="52">
        <f>(+C18+F18)/2</f>
        <v>0</v>
      </c>
    </row>
    <row r="19" spans="1:7" ht="12.75">
      <c r="A19" s="43" t="s">
        <v>2</v>
      </c>
      <c r="B19" s="43"/>
      <c r="C19" s="51">
        <f>+F11</f>
        <v>0</v>
      </c>
      <c r="D19" s="51"/>
      <c r="E19" s="52"/>
      <c r="F19" s="44">
        <f>+D19-E19</f>
        <v>0</v>
      </c>
      <c r="G19" s="52">
        <f>(+C19+F19)/2</f>
        <v>0</v>
      </c>
    </row>
    <row r="20" spans="1:7" ht="12.75">
      <c r="A20" s="43" t="s">
        <v>3</v>
      </c>
      <c r="B20" s="43"/>
      <c r="C20" s="51">
        <f>+F12</f>
        <v>0</v>
      </c>
      <c r="D20" s="51"/>
      <c r="E20" s="52"/>
      <c r="F20" s="44">
        <f>+D20-E20</f>
        <v>0</v>
      </c>
      <c r="G20" s="52">
        <f>(+C20+F20)/2</f>
        <v>0</v>
      </c>
    </row>
    <row r="21" spans="1:7" ht="13.5" thickBot="1">
      <c r="A21" s="41"/>
      <c r="B21" s="41"/>
      <c r="C21" s="53">
        <f>SUM(C16:C20)</f>
        <v>0</v>
      </c>
      <c r="D21" s="53">
        <f>SUM(D16:D20)</f>
        <v>4302123.15</v>
      </c>
      <c r="E21" s="53">
        <f>SUM(E16:E20)</f>
        <v>143404.105</v>
      </c>
      <c r="F21" s="53">
        <f>SUM(F16:F20)</f>
        <v>4158719.0450000004</v>
      </c>
      <c r="G21" s="53">
        <f>SUM(G16:G20)</f>
        <v>2079359.5225000002</v>
      </c>
    </row>
    <row r="22" spans="1:7" ht="13.5" thickTop="1">
      <c r="A22" s="55"/>
      <c r="B22" s="41"/>
      <c r="C22" s="52"/>
      <c r="D22" s="52"/>
      <c r="E22" s="44"/>
      <c r="F22" s="44"/>
      <c r="G22" s="44"/>
    </row>
    <row r="23" spans="1:7" ht="38.25">
      <c r="A23" s="41"/>
      <c r="B23" s="41"/>
      <c r="C23" s="52" t="s">
        <v>5</v>
      </c>
      <c r="D23" s="47" t="s">
        <v>116</v>
      </c>
      <c r="E23" s="47" t="s">
        <v>117</v>
      </c>
      <c r="F23" s="44" t="s">
        <v>118</v>
      </c>
      <c r="G23" s="44" t="s">
        <v>119</v>
      </c>
    </row>
    <row r="24" spans="1:8" ht="12.75">
      <c r="A24" s="43" t="s">
        <v>0</v>
      </c>
      <c r="B24" s="43"/>
      <c r="C24" s="52">
        <f>F16</f>
        <v>0</v>
      </c>
      <c r="D24" s="52">
        <v>0</v>
      </c>
      <c r="E24" s="52">
        <v>0</v>
      </c>
      <c r="F24" s="52">
        <f>+C24+D24-E24</f>
        <v>0</v>
      </c>
      <c r="G24" s="52">
        <f>(+C24+F24)/2</f>
        <v>0</v>
      </c>
      <c r="H24" s="48"/>
    </row>
    <row r="25" spans="1:8" ht="12.75">
      <c r="A25" s="43" t="s">
        <v>1</v>
      </c>
      <c r="B25" s="43">
        <v>15</v>
      </c>
      <c r="C25" s="52">
        <f>F17</f>
        <v>4158719.0450000004</v>
      </c>
      <c r="D25" s="52">
        <v>5908200.880000002</v>
      </c>
      <c r="E25" s="52">
        <f>(D25/15/2)+(D17/15)</f>
        <v>483748.23933333345</v>
      </c>
      <c r="F25" s="52">
        <f>+C25+D25-E25</f>
        <v>9583171.68566667</v>
      </c>
      <c r="G25" s="52">
        <f>(+C25+F25)/2</f>
        <v>6870945.365333335</v>
      </c>
      <c r="H25" s="48"/>
    </row>
    <row r="26" spans="1:8" ht="12.75">
      <c r="A26" s="45" t="s">
        <v>100</v>
      </c>
      <c r="B26" s="43"/>
      <c r="C26" s="52">
        <f>F18</f>
        <v>0</v>
      </c>
      <c r="D26" s="52"/>
      <c r="E26" s="52"/>
      <c r="F26" s="52">
        <f>+C26+D26-E26</f>
        <v>0</v>
      </c>
      <c r="G26" s="52">
        <f>(+C26+F26)/2</f>
        <v>0</v>
      </c>
      <c r="H26" s="48"/>
    </row>
    <row r="27" spans="1:8" ht="12.75">
      <c r="A27" s="43" t="s">
        <v>2</v>
      </c>
      <c r="B27" s="43"/>
      <c r="C27" s="52">
        <f>F19</f>
        <v>0</v>
      </c>
      <c r="D27" s="52"/>
      <c r="E27" s="52"/>
      <c r="F27" s="52">
        <f>+C27+D27-E27</f>
        <v>0</v>
      </c>
      <c r="G27" s="52">
        <f>(+C27+F27)/2</f>
        <v>0</v>
      </c>
      <c r="H27" s="48"/>
    </row>
    <row r="28" spans="1:8" ht="12.75">
      <c r="A28" s="43" t="s">
        <v>3</v>
      </c>
      <c r="B28" s="43"/>
      <c r="C28" s="52">
        <f>F20</f>
        <v>0</v>
      </c>
      <c r="D28" s="52"/>
      <c r="E28" s="52"/>
      <c r="F28" s="52">
        <f>+C28+D28-E28</f>
        <v>0</v>
      </c>
      <c r="G28" s="52">
        <f>(+C28+F28)/2</f>
        <v>0</v>
      </c>
      <c r="H28" s="48"/>
    </row>
    <row r="29" spans="1:8" ht="13.5" thickBot="1">
      <c r="A29" s="41"/>
      <c r="B29" s="41"/>
      <c r="C29" s="53">
        <f>SUM(C24:C28)</f>
        <v>4158719.0450000004</v>
      </c>
      <c r="D29" s="53">
        <f>SUM(D24:D28)</f>
        <v>5908200.880000002</v>
      </c>
      <c r="E29" s="53">
        <f>SUM(E24:E28)</f>
        <v>483748.23933333345</v>
      </c>
      <c r="F29" s="53">
        <f>SUM(F24:F28)</f>
        <v>9583171.68566667</v>
      </c>
      <c r="G29" s="53">
        <f>SUM(G24:G28)</f>
        <v>6870945.365333335</v>
      </c>
      <c r="H29" s="48"/>
    </row>
    <row r="30" spans="1:7" ht="13.5" thickTop="1">
      <c r="A30" s="55"/>
      <c r="B30" s="41"/>
      <c r="C30" s="52"/>
      <c r="D30" s="52"/>
      <c r="E30" s="44"/>
      <c r="F30" s="44"/>
      <c r="G30" s="44"/>
    </row>
    <row r="31" spans="1:7" ht="38.25">
      <c r="A31" s="41"/>
      <c r="B31" s="41"/>
      <c r="C31" s="52" t="s">
        <v>5</v>
      </c>
      <c r="D31" s="56" t="s">
        <v>120</v>
      </c>
      <c r="E31" s="56" t="s">
        <v>121</v>
      </c>
      <c r="F31" s="44" t="s">
        <v>122</v>
      </c>
      <c r="G31" s="44" t="s">
        <v>123</v>
      </c>
    </row>
    <row r="32" spans="1:7" ht="12.75">
      <c r="A32" s="43" t="s">
        <v>0</v>
      </c>
      <c r="B32" s="43">
        <v>25</v>
      </c>
      <c r="C32" s="52">
        <f>F24</f>
        <v>0</v>
      </c>
      <c r="D32" s="52">
        <v>0</v>
      </c>
      <c r="E32" s="52">
        <v>0</v>
      </c>
      <c r="F32" s="52">
        <f aca="true" t="shared" si="0" ref="F32:F38">+C32+D32-E32</f>
        <v>0</v>
      </c>
      <c r="G32" s="52">
        <f aca="true" t="shared" si="1" ref="G32:G38">(+C32+F32)/2</f>
        <v>0</v>
      </c>
    </row>
    <row r="33" spans="1:7" ht="12.75">
      <c r="A33" s="43" t="s">
        <v>87</v>
      </c>
      <c r="B33" s="43">
        <v>10</v>
      </c>
      <c r="C33" s="52"/>
      <c r="D33" s="54">
        <v>0</v>
      </c>
      <c r="E33" s="54">
        <f>(D33/B33/2)</f>
        <v>0</v>
      </c>
      <c r="F33" s="52">
        <f>+C33+D33-E33</f>
        <v>0</v>
      </c>
      <c r="G33" s="52">
        <f t="shared" si="1"/>
        <v>0</v>
      </c>
    </row>
    <row r="34" spans="1:7" ht="12.75">
      <c r="A34" s="43" t="s">
        <v>88</v>
      </c>
      <c r="B34" s="43">
        <v>30</v>
      </c>
      <c r="C34" s="52"/>
      <c r="D34" s="54">
        <v>0</v>
      </c>
      <c r="E34" s="54">
        <f>(D34/B34/2)</f>
        <v>0</v>
      </c>
      <c r="F34" s="52">
        <f t="shared" si="0"/>
        <v>0</v>
      </c>
      <c r="G34" s="52">
        <f t="shared" si="1"/>
        <v>0</v>
      </c>
    </row>
    <row r="35" spans="1:7" ht="12.75">
      <c r="A35" s="43" t="s">
        <v>1</v>
      </c>
      <c r="B35" s="43">
        <v>15</v>
      </c>
      <c r="C35" s="52">
        <f>F25</f>
        <v>9583171.68566667</v>
      </c>
      <c r="D35" s="52">
        <v>8663013.96</v>
      </c>
      <c r="E35" s="52">
        <f>(D35/15/2)+((D25+D17)/15)</f>
        <v>969455.4006666667</v>
      </c>
      <c r="F35" s="52">
        <f>+C35+D35-E35</f>
        <v>17276730.245000005</v>
      </c>
      <c r="G35" s="52">
        <f>(+C35+F35)/2</f>
        <v>13429950.965333337</v>
      </c>
    </row>
    <row r="36" spans="1:7" ht="12.75">
      <c r="A36" s="45" t="s">
        <v>100</v>
      </c>
      <c r="B36" s="43">
        <v>5</v>
      </c>
      <c r="C36" s="52">
        <f>F26</f>
        <v>0</v>
      </c>
      <c r="D36" s="52"/>
      <c r="E36" s="52"/>
      <c r="F36" s="52">
        <f t="shared" si="0"/>
        <v>0</v>
      </c>
      <c r="G36" s="52">
        <f t="shared" si="1"/>
        <v>0</v>
      </c>
    </row>
    <row r="37" spans="1:7" ht="12.75">
      <c r="A37" s="43" t="s">
        <v>2</v>
      </c>
      <c r="B37" s="43">
        <v>5</v>
      </c>
      <c r="C37" s="52">
        <f>F27</f>
        <v>0</v>
      </c>
      <c r="D37" s="52"/>
      <c r="E37" s="52"/>
      <c r="F37" s="52">
        <f t="shared" si="0"/>
        <v>0</v>
      </c>
      <c r="G37" s="52">
        <f t="shared" si="1"/>
        <v>0</v>
      </c>
    </row>
    <row r="38" spans="1:7" ht="12.75">
      <c r="A38" s="43" t="s">
        <v>3</v>
      </c>
      <c r="B38" s="43">
        <v>10</v>
      </c>
      <c r="C38" s="52">
        <f>F28</f>
        <v>0</v>
      </c>
      <c r="D38" s="52"/>
      <c r="E38" s="52"/>
      <c r="F38" s="52">
        <f t="shared" si="0"/>
        <v>0</v>
      </c>
      <c r="G38" s="52">
        <f t="shared" si="1"/>
        <v>0</v>
      </c>
    </row>
    <row r="39" spans="1:7" ht="13.5" thickBot="1">
      <c r="A39" s="55"/>
      <c r="B39" s="41"/>
      <c r="C39" s="53">
        <f>SUM(C32:C38)</f>
        <v>9583171.68566667</v>
      </c>
      <c r="D39" s="53">
        <f>SUM(D32:D38)</f>
        <v>8663013.96</v>
      </c>
      <c r="E39" s="53">
        <f>SUM(E32:E38)</f>
        <v>969455.4006666667</v>
      </c>
      <c r="F39" s="53">
        <f>SUM(F32:F38)</f>
        <v>17276730.245000005</v>
      </c>
      <c r="G39" s="53">
        <f>SUM(G32:G38)</f>
        <v>13429950.965333337</v>
      </c>
    </row>
    <row r="40" spans="1:7" ht="13.5" thickTop="1">
      <c r="A40" s="55"/>
      <c r="B40" s="41"/>
      <c r="C40" s="44"/>
      <c r="D40" s="52"/>
      <c r="E40" s="52"/>
      <c r="F40" s="44"/>
      <c r="G40" s="44"/>
    </row>
    <row r="41" spans="1:7" ht="38.25">
      <c r="A41" s="55"/>
      <c r="B41" s="41"/>
      <c r="C41" s="52" t="s">
        <v>5</v>
      </c>
      <c r="D41" s="47" t="s">
        <v>91</v>
      </c>
      <c r="E41" s="47" t="s">
        <v>92</v>
      </c>
      <c r="F41" s="44" t="s">
        <v>93</v>
      </c>
      <c r="G41" s="44" t="s">
        <v>94</v>
      </c>
    </row>
    <row r="42" spans="1:7" ht="12.75">
      <c r="A42" s="43" t="s">
        <v>0</v>
      </c>
      <c r="B42" s="43">
        <v>25</v>
      </c>
      <c r="C42" s="52">
        <f aca="true" t="shared" si="2" ref="C42:C48">+F32</f>
        <v>0</v>
      </c>
      <c r="D42" s="52">
        <v>0</v>
      </c>
      <c r="E42" s="52">
        <v>0</v>
      </c>
      <c r="F42" s="52">
        <f aca="true" t="shared" si="3" ref="F42:F48">+C42+D42-E42</f>
        <v>0</v>
      </c>
      <c r="G42" s="52">
        <f aca="true" t="shared" si="4" ref="G42:G48">(+C42+F42)/2</f>
        <v>0</v>
      </c>
    </row>
    <row r="43" spans="1:7" ht="12.75">
      <c r="A43" s="43" t="s">
        <v>87</v>
      </c>
      <c r="B43" s="43">
        <v>10</v>
      </c>
      <c r="C43" s="52">
        <f t="shared" si="2"/>
        <v>0</v>
      </c>
      <c r="D43" s="54">
        <v>0</v>
      </c>
      <c r="E43" s="54">
        <f>((+D33)/B43)+(D43/B43/2)</f>
        <v>0</v>
      </c>
      <c r="F43" s="52">
        <f t="shared" si="3"/>
        <v>0</v>
      </c>
      <c r="G43" s="52">
        <f t="shared" si="4"/>
        <v>0</v>
      </c>
    </row>
    <row r="44" spans="1:7" ht="12.75">
      <c r="A44" s="43" t="s">
        <v>88</v>
      </c>
      <c r="B44" s="43">
        <v>30</v>
      </c>
      <c r="C44" s="52">
        <f t="shared" si="2"/>
        <v>0</v>
      </c>
      <c r="D44" s="54">
        <v>0</v>
      </c>
      <c r="E44" s="54">
        <f>((+D34)/B44)+(D44/B44/2)</f>
        <v>0</v>
      </c>
      <c r="F44" s="52">
        <f t="shared" si="3"/>
        <v>0</v>
      </c>
      <c r="G44" s="52">
        <f t="shared" si="4"/>
        <v>0</v>
      </c>
    </row>
    <row r="45" spans="1:7" ht="12.75">
      <c r="A45" s="43" t="s">
        <v>1</v>
      </c>
      <c r="B45" s="43">
        <v>15</v>
      </c>
      <c r="C45" s="52">
        <f>F35</f>
        <v>17276730.245000005</v>
      </c>
      <c r="D45" s="52">
        <v>0</v>
      </c>
      <c r="E45" s="52">
        <f>(D45/15)+((D35+D25+D17)/15)</f>
        <v>1258222.532666667</v>
      </c>
      <c r="F45" s="52">
        <f t="shared" si="3"/>
        <v>16018507.712333338</v>
      </c>
      <c r="G45" s="52">
        <f>(+C45+F45)/2</f>
        <v>16647618.97866667</v>
      </c>
    </row>
    <row r="46" spans="1:7" ht="12.75">
      <c r="A46" s="45" t="s">
        <v>100</v>
      </c>
      <c r="B46" s="43">
        <v>5</v>
      </c>
      <c r="C46" s="52">
        <f t="shared" si="2"/>
        <v>0</v>
      </c>
      <c r="D46" s="54">
        <v>0</v>
      </c>
      <c r="E46" s="52">
        <f>(D46/5)/2</f>
        <v>0</v>
      </c>
      <c r="F46" s="52">
        <f t="shared" si="3"/>
        <v>0</v>
      </c>
      <c r="G46" s="52">
        <f t="shared" si="4"/>
        <v>0</v>
      </c>
    </row>
    <row r="47" spans="1:7" ht="12.75">
      <c r="A47" s="43" t="s">
        <v>2</v>
      </c>
      <c r="B47" s="43">
        <v>5</v>
      </c>
      <c r="C47" s="52">
        <f t="shared" si="2"/>
        <v>0</v>
      </c>
      <c r="D47" s="52">
        <v>0</v>
      </c>
      <c r="E47" s="52">
        <f>(D47/5)/2</f>
        <v>0</v>
      </c>
      <c r="F47" s="52">
        <f t="shared" si="3"/>
        <v>0</v>
      </c>
      <c r="G47" s="52">
        <f t="shared" si="4"/>
        <v>0</v>
      </c>
    </row>
    <row r="48" spans="1:7" ht="12.75">
      <c r="A48" s="43" t="s">
        <v>3</v>
      </c>
      <c r="B48" s="43">
        <v>10</v>
      </c>
      <c r="C48" s="52">
        <f t="shared" si="2"/>
        <v>0</v>
      </c>
      <c r="D48" s="54">
        <v>0</v>
      </c>
      <c r="E48" s="52"/>
      <c r="F48" s="52">
        <f t="shared" si="3"/>
        <v>0</v>
      </c>
      <c r="G48" s="52">
        <f t="shared" si="4"/>
        <v>0</v>
      </c>
    </row>
    <row r="49" spans="1:7" ht="13.5" thickBot="1">
      <c r="A49" s="52"/>
      <c r="B49" s="41"/>
      <c r="C49" s="53">
        <f>SUM(C42:C48)</f>
        <v>17276730.245000005</v>
      </c>
      <c r="D49" s="53">
        <f>SUM(D42:D48)</f>
        <v>0</v>
      </c>
      <c r="E49" s="53">
        <f>SUM(E42:E48)</f>
        <v>1258222.532666667</v>
      </c>
      <c r="F49" s="53">
        <f>SUM(F42:F48)</f>
        <v>16018507.712333338</v>
      </c>
      <c r="G49" s="53">
        <f>SUM(G42:G48)</f>
        <v>16647618.97866667</v>
      </c>
    </row>
    <row r="50" spans="1:7" ht="13.5" thickTop="1">
      <c r="A50" s="52"/>
      <c r="B50" s="41"/>
      <c r="C50" s="44"/>
      <c r="D50" s="52"/>
      <c r="E50" s="44"/>
      <c r="F50" s="44"/>
      <c r="G50" s="44"/>
    </row>
  </sheetData>
  <sheetProtection/>
  <printOptions/>
  <pageMargins left="0.7" right="0.7" top="0.75" bottom="0.75" header="0.3" footer="0.3"/>
  <pageSetup horizontalDpi="600" verticalDpi="600" orientation="portrait" scale="70" r:id="rId1"/>
  <ignoredErrors>
    <ignoredError sqref="C4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2">
      <selection activeCell="E23" sqref="E23"/>
    </sheetView>
  </sheetViews>
  <sheetFormatPr defaultColWidth="9.140625" defaultRowHeight="12.75"/>
  <cols>
    <col min="1" max="1" width="17.8515625" style="0" bestFit="1" customWidth="1"/>
    <col min="2" max="2" width="15.7109375" style="0" customWidth="1"/>
    <col min="3" max="3" width="12.421875" style="0" customWidth="1"/>
    <col min="4" max="4" width="19.8515625" style="57" bestFit="1" customWidth="1"/>
    <col min="5" max="5" width="22.28125" style="0" customWidth="1"/>
    <col min="6" max="6" width="18.8515625" style="0" bestFit="1" customWidth="1"/>
    <col min="7" max="7" width="19.140625" style="0" bestFit="1" customWidth="1"/>
    <col min="8" max="8" width="18.8515625" style="0" bestFit="1" customWidth="1"/>
    <col min="9" max="9" width="19.140625" style="0" bestFit="1" customWidth="1"/>
    <col min="10" max="10" width="17.00390625" style="0" customWidth="1"/>
  </cols>
  <sheetData>
    <row r="1" spans="1:3" ht="12.75">
      <c r="A1" s="5" t="s">
        <v>141</v>
      </c>
      <c r="C1" s="5"/>
    </row>
    <row r="2" ht="12.75">
      <c r="A2" s="5"/>
    </row>
    <row r="3" ht="12.75">
      <c r="A3" s="5" t="s">
        <v>7</v>
      </c>
    </row>
    <row r="4" ht="12.75">
      <c r="A4" s="5"/>
    </row>
    <row r="5" spans="2:9" ht="25.5">
      <c r="B5" t="s">
        <v>8</v>
      </c>
      <c r="C5" t="s">
        <v>13</v>
      </c>
      <c r="D5" t="s">
        <v>14</v>
      </c>
      <c r="E5" s="58" t="s">
        <v>124</v>
      </c>
      <c r="F5" s="3" t="s">
        <v>16</v>
      </c>
      <c r="G5" s="18" t="s">
        <v>125</v>
      </c>
      <c r="H5" s="8" t="s">
        <v>126</v>
      </c>
      <c r="I5" t="s">
        <v>15</v>
      </c>
    </row>
    <row r="6" spans="1:9" ht="12.75">
      <c r="A6" s="1" t="s">
        <v>0</v>
      </c>
      <c r="B6" t="s">
        <v>9</v>
      </c>
      <c r="C6" s="59">
        <v>0.08</v>
      </c>
      <c r="D6" s="1">
        <v>0</v>
      </c>
      <c r="E6" s="60">
        <f>'SMFA Continuity Stub Year'!D8</f>
        <v>0</v>
      </c>
      <c r="F6" s="57">
        <f>+D6*C6</f>
        <v>0</v>
      </c>
      <c r="G6" s="57">
        <f>+E6*C6/2</f>
        <v>0</v>
      </c>
      <c r="H6" s="57">
        <f>+F6+G6</f>
        <v>0</v>
      </c>
      <c r="I6" s="2">
        <f>+E6-G6</f>
        <v>0</v>
      </c>
    </row>
    <row r="7" spans="1:9" ht="12.75">
      <c r="A7" s="1" t="s">
        <v>1</v>
      </c>
      <c r="B7" t="s">
        <v>9</v>
      </c>
      <c r="C7" s="59">
        <v>0.08</v>
      </c>
      <c r="D7" s="1">
        <v>0</v>
      </c>
      <c r="E7" s="60">
        <f>'SMFA Continuity Stub Year'!D9</f>
        <v>0</v>
      </c>
      <c r="F7" s="61">
        <f>+D7*C7</f>
        <v>0</v>
      </c>
      <c r="G7" s="61">
        <f>+E7*C7/2</f>
        <v>0</v>
      </c>
      <c r="H7" s="61">
        <f>+F7+G7</f>
        <v>0</v>
      </c>
      <c r="I7" s="39">
        <f>+E7-G7</f>
        <v>0</v>
      </c>
    </row>
    <row r="8" spans="1:9" ht="12.75">
      <c r="A8" s="19" t="s">
        <v>100</v>
      </c>
      <c r="B8" t="s">
        <v>10</v>
      </c>
      <c r="C8" s="59">
        <v>0.55</v>
      </c>
      <c r="D8" s="1">
        <v>0</v>
      </c>
      <c r="E8" s="60">
        <f>'SMFA Continuity Stub Year'!D10</f>
        <v>0</v>
      </c>
      <c r="F8" s="61">
        <f>+D8*C8</f>
        <v>0</v>
      </c>
      <c r="G8" s="61">
        <f>+E8*C8/2</f>
        <v>0</v>
      </c>
      <c r="H8" s="61">
        <f>+F8+G8</f>
        <v>0</v>
      </c>
      <c r="I8" s="39">
        <f>+E8-G8</f>
        <v>0</v>
      </c>
    </row>
    <row r="9" spans="1:9" ht="12.75">
      <c r="A9" s="1" t="s">
        <v>2</v>
      </c>
      <c r="B9" t="s">
        <v>11</v>
      </c>
      <c r="C9" s="59">
        <v>1</v>
      </c>
      <c r="D9" s="1">
        <v>0</v>
      </c>
      <c r="E9" s="60">
        <f>'SMFA Continuity Stub Year'!D11</f>
        <v>0</v>
      </c>
      <c r="F9" s="61">
        <f>+D9*C9</f>
        <v>0</v>
      </c>
      <c r="G9" s="61">
        <f>+E9*C9/2</f>
        <v>0</v>
      </c>
      <c r="H9" s="61">
        <f>+F9+G9</f>
        <v>0</v>
      </c>
      <c r="I9" s="39">
        <f>+E9-G9</f>
        <v>0</v>
      </c>
    </row>
    <row r="10" spans="1:9" ht="12.75">
      <c r="A10" s="1" t="s">
        <v>3</v>
      </c>
      <c r="B10" t="s">
        <v>12</v>
      </c>
      <c r="C10" s="59">
        <v>0.2</v>
      </c>
      <c r="D10" s="1">
        <v>0</v>
      </c>
      <c r="E10" s="60">
        <f>'SMFA Continuity Stub Year'!D12</f>
        <v>0</v>
      </c>
      <c r="F10" s="61">
        <f>+D10*C10</f>
        <v>0</v>
      </c>
      <c r="G10" s="61">
        <f>+E10*C10/2</f>
        <v>0</v>
      </c>
      <c r="H10" s="61">
        <f>+F10+G10</f>
        <v>0</v>
      </c>
      <c r="I10" s="39">
        <f>+E10-G10</f>
        <v>0</v>
      </c>
    </row>
    <row r="11" spans="1:9" ht="13.5" thickBot="1">
      <c r="A11" s="1"/>
      <c r="D11" s="4">
        <f aca="true" t="shared" si="0" ref="D11:I11">SUM(D6:D10)</f>
        <v>0</v>
      </c>
      <c r="E11" s="62">
        <f t="shared" si="0"/>
        <v>0</v>
      </c>
      <c r="F11" s="62">
        <f t="shared" si="0"/>
        <v>0</v>
      </c>
      <c r="G11" s="62">
        <f t="shared" si="0"/>
        <v>0</v>
      </c>
      <c r="H11" s="62">
        <f t="shared" si="0"/>
        <v>0</v>
      </c>
      <c r="I11" s="62">
        <f t="shared" si="0"/>
        <v>0</v>
      </c>
    </row>
    <row r="12" ht="13.5" thickTop="1">
      <c r="A12" s="5"/>
    </row>
    <row r="13" spans="2:9" ht="25.5">
      <c r="B13" t="s">
        <v>8</v>
      </c>
      <c r="C13" t="s">
        <v>13</v>
      </c>
      <c r="D13" t="s">
        <v>14</v>
      </c>
      <c r="E13" s="63" t="s">
        <v>127</v>
      </c>
      <c r="F13" s="3" t="s">
        <v>16</v>
      </c>
      <c r="G13" s="3" t="s">
        <v>128</v>
      </c>
      <c r="H13" t="s">
        <v>129</v>
      </c>
      <c r="I13" t="s">
        <v>15</v>
      </c>
    </row>
    <row r="14" spans="1:9" ht="12.75">
      <c r="A14" s="1" t="s">
        <v>0</v>
      </c>
      <c r="B14" t="s">
        <v>9</v>
      </c>
      <c r="C14" s="59">
        <v>0.08</v>
      </c>
      <c r="D14" s="40">
        <f>I6</f>
        <v>0</v>
      </c>
      <c r="E14" s="60">
        <f>'SMFA Continuity Stub Year'!D16</f>
        <v>0</v>
      </c>
      <c r="F14" s="61">
        <f>+D14*C14</f>
        <v>0</v>
      </c>
      <c r="G14" s="61">
        <f>+E14*C14/2</f>
        <v>0</v>
      </c>
      <c r="H14" s="61">
        <f>+F14+G14</f>
        <v>0</v>
      </c>
      <c r="I14" s="39">
        <f>+E14-G14</f>
        <v>0</v>
      </c>
    </row>
    <row r="15" spans="1:9" ht="12.75">
      <c r="A15" s="1" t="s">
        <v>1</v>
      </c>
      <c r="B15" t="s">
        <v>9</v>
      </c>
      <c r="C15" s="59">
        <v>0.08</v>
      </c>
      <c r="D15" s="40">
        <f>I7</f>
        <v>0</v>
      </c>
      <c r="E15" s="60">
        <f>'SMFA Continuity Stub Year'!D17</f>
        <v>4302123.15</v>
      </c>
      <c r="F15" s="61">
        <f>+D15*C15</f>
        <v>0</v>
      </c>
      <c r="G15" s="61">
        <f>+E15*C15/2</f>
        <v>172084.926</v>
      </c>
      <c r="H15" s="61">
        <f>+F15+G15</f>
        <v>172084.926</v>
      </c>
      <c r="I15" s="39">
        <f>+E15-G15</f>
        <v>4130038.2240000004</v>
      </c>
    </row>
    <row r="16" spans="1:9" ht="12.75">
      <c r="A16" s="19" t="s">
        <v>100</v>
      </c>
      <c r="B16" t="s">
        <v>10</v>
      </c>
      <c r="C16" s="59">
        <v>0.55</v>
      </c>
      <c r="D16" s="40">
        <f>I8</f>
        <v>0</v>
      </c>
      <c r="E16" s="60">
        <f>'SMFA Continuity Stub Year'!D18</f>
        <v>0</v>
      </c>
      <c r="F16" s="61">
        <f>+D16*C16</f>
        <v>0</v>
      </c>
      <c r="G16" s="61">
        <f>+E16*C16/2</f>
        <v>0</v>
      </c>
      <c r="H16" s="61">
        <f>+F16+G16</f>
        <v>0</v>
      </c>
      <c r="I16" s="39">
        <f>+E16-G16</f>
        <v>0</v>
      </c>
    </row>
    <row r="17" spans="1:9" ht="12.75">
      <c r="A17" s="1" t="s">
        <v>2</v>
      </c>
      <c r="B17" t="s">
        <v>11</v>
      </c>
      <c r="C17" s="59">
        <v>1</v>
      </c>
      <c r="D17" s="40">
        <f>I9</f>
        <v>0</v>
      </c>
      <c r="E17" s="60">
        <f>'SMFA Continuity Stub Year'!D19</f>
        <v>0</v>
      </c>
      <c r="F17" s="61">
        <f>+D17*C17</f>
        <v>0</v>
      </c>
      <c r="G17" s="61">
        <f>+E17*C17/2</f>
        <v>0</v>
      </c>
      <c r="H17" s="61">
        <f>+F17+G17</f>
        <v>0</v>
      </c>
      <c r="I17" s="39">
        <f>+E17-G17</f>
        <v>0</v>
      </c>
    </row>
    <row r="18" spans="1:9" ht="12.75">
      <c r="A18" s="1" t="s">
        <v>3</v>
      </c>
      <c r="B18" t="s">
        <v>12</v>
      </c>
      <c r="C18" s="59">
        <v>0.2</v>
      </c>
      <c r="D18" s="40">
        <f>I10</f>
        <v>0</v>
      </c>
      <c r="E18" s="60">
        <f>'SMFA Continuity Stub Year'!D20</f>
        <v>0</v>
      </c>
      <c r="F18" s="61">
        <f>+D18*C18</f>
        <v>0</v>
      </c>
      <c r="G18" s="61">
        <f>+E18*C18/2</f>
        <v>0</v>
      </c>
      <c r="H18" s="61">
        <f>+F18+G18</f>
        <v>0</v>
      </c>
      <c r="I18" s="39">
        <f>+E18-G18</f>
        <v>0</v>
      </c>
    </row>
    <row r="19" spans="4:9" ht="13.5" thickBot="1">
      <c r="D19" s="62">
        <f aca="true" t="shared" si="1" ref="D19:I19">SUM(D14:D18)</f>
        <v>0</v>
      </c>
      <c r="E19" s="62">
        <f t="shared" si="1"/>
        <v>4302123.15</v>
      </c>
      <c r="F19" s="62">
        <f t="shared" si="1"/>
        <v>0</v>
      </c>
      <c r="G19" s="62">
        <f t="shared" si="1"/>
        <v>172084.926</v>
      </c>
      <c r="H19" s="62">
        <f t="shared" si="1"/>
        <v>172084.926</v>
      </c>
      <c r="I19" s="62">
        <f t="shared" si="1"/>
        <v>4130038.2240000004</v>
      </c>
    </row>
    <row r="20" ht="13.5" thickTop="1"/>
    <row r="21" spans="2:9" ht="25.5">
      <c r="B21" t="s">
        <v>8</v>
      </c>
      <c r="C21" t="s">
        <v>13</v>
      </c>
      <c r="D21" t="s">
        <v>14</v>
      </c>
      <c r="E21" s="63" t="s">
        <v>130</v>
      </c>
      <c r="F21" s="3" t="s">
        <v>16</v>
      </c>
      <c r="G21" s="3" t="s">
        <v>131</v>
      </c>
      <c r="H21" t="s">
        <v>132</v>
      </c>
      <c r="I21" t="s">
        <v>15</v>
      </c>
    </row>
    <row r="22" spans="1:9" ht="12.75">
      <c r="A22" s="1" t="s">
        <v>0</v>
      </c>
      <c r="B22" t="s">
        <v>9</v>
      </c>
      <c r="C22" s="59">
        <v>0.08</v>
      </c>
      <c r="D22" s="2">
        <f>+I14</f>
        <v>0</v>
      </c>
      <c r="E22" s="60">
        <f>'SMFA Continuity Stub Year'!D24</f>
        <v>0</v>
      </c>
      <c r="F22" s="57">
        <f>+D22*C22</f>
        <v>0</v>
      </c>
      <c r="G22" s="57">
        <f>+E22*C22/2</f>
        <v>0</v>
      </c>
      <c r="H22" s="57">
        <f>+F22+G22</f>
        <v>0</v>
      </c>
      <c r="I22" s="2">
        <f>+D22+E22-H22</f>
        <v>0</v>
      </c>
    </row>
    <row r="23" spans="1:9" ht="12.75">
      <c r="A23" s="1" t="s">
        <v>1</v>
      </c>
      <c r="B23" t="s">
        <v>9</v>
      </c>
      <c r="C23" s="59">
        <v>0.08</v>
      </c>
      <c r="D23" s="39">
        <f>+I15</f>
        <v>4130038.2240000004</v>
      </c>
      <c r="E23" s="60">
        <f>'SMFA Continuity Stub Year'!D25</f>
        <v>5908200.880000002</v>
      </c>
      <c r="F23" s="61">
        <f>+D23*C23</f>
        <v>330403.05792000005</v>
      </c>
      <c r="G23" s="61">
        <f>+E23*C23/2</f>
        <v>236328.03520000007</v>
      </c>
      <c r="H23" s="61">
        <f>+F23+G23</f>
        <v>566731.0931200001</v>
      </c>
      <c r="I23" s="39">
        <f>+D23+E23-H23</f>
        <v>9471508.010880003</v>
      </c>
    </row>
    <row r="24" spans="1:9" ht="12.75">
      <c r="A24" s="19" t="s">
        <v>100</v>
      </c>
      <c r="B24" t="s">
        <v>10</v>
      </c>
      <c r="C24" s="59">
        <v>0.55</v>
      </c>
      <c r="D24" s="39">
        <f>+I16</f>
        <v>0</v>
      </c>
      <c r="E24" s="60">
        <f>'SMFA Continuity Stub Year'!D26</f>
        <v>0</v>
      </c>
      <c r="F24" s="61">
        <f>+D24*C24</f>
        <v>0</v>
      </c>
      <c r="G24" s="61">
        <f>+E24*C24/2</f>
        <v>0</v>
      </c>
      <c r="H24" s="61">
        <f>+F24+G24</f>
        <v>0</v>
      </c>
      <c r="I24" s="39">
        <f>+D24+E24-H24</f>
        <v>0</v>
      </c>
    </row>
    <row r="25" spans="1:9" ht="12.75">
      <c r="A25" s="1" t="s">
        <v>2</v>
      </c>
      <c r="B25" t="s">
        <v>11</v>
      </c>
      <c r="C25" s="59">
        <v>1</v>
      </c>
      <c r="D25" s="39">
        <f>+I17</f>
        <v>0</v>
      </c>
      <c r="E25" s="60">
        <f>'SMFA Continuity Stub Year'!D27</f>
        <v>0</v>
      </c>
      <c r="F25" s="61">
        <f>+D25*C25</f>
        <v>0</v>
      </c>
      <c r="G25" s="61">
        <f>+E25*C25/2</f>
        <v>0</v>
      </c>
      <c r="H25" s="61">
        <f>+F25+G25</f>
        <v>0</v>
      </c>
      <c r="I25" s="39">
        <f>+D25+E25-H25</f>
        <v>0</v>
      </c>
    </row>
    <row r="26" spans="1:9" ht="12.75">
      <c r="A26" s="1" t="s">
        <v>3</v>
      </c>
      <c r="B26" t="s">
        <v>12</v>
      </c>
      <c r="C26" s="59">
        <v>0.2</v>
      </c>
      <c r="D26" s="39">
        <f>+I18</f>
        <v>0</v>
      </c>
      <c r="E26" s="60">
        <f>'SMFA Continuity Stub Year'!D28</f>
        <v>0</v>
      </c>
      <c r="F26" s="61">
        <f>+D26*C26</f>
        <v>0</v>
      </c>
      <c r="G26" s="61">
        <f>+E26*C26/2</f>
        <v>0</v>
      </c>
      <c r="H26" s="61">
        <f>+F26+G26</f>
        <v>0</v>
      </c>
      <c r="I26" s="39">
        <f>+D26+E26-H26</f>
        <v>0</v>
      </c>
    </row>
    <row r="27" spans="4:9" ht="13.5" thickBot="1">
      <c r="D27" s="62">
        <f aca="true" t="shared" si="2" ref="D27:I27">SUM(D22:D26)</f>
        <v>4130038.2240000004</v>
      </c>
      <c r="E27" s="62">
        <f t="shared" si="2"/>
        <v>5908200.880000002</v>
      </c>
      <c r="F27" s="62">
        <f t="shared" si="2"/>
        <v>330403.05792000005</v>
      </c>
      <c r="G27" s="62">
        <f t="shared" si="2"/>
        <v>236328.03520000007</v>
      </c>
      <c r="H27" s="62">
        <f t="shared" si="2"/>
        <v>566731.0931200001</v>
      </c>
      <c r="I27" s="62">
        <f t="shared" si="2"/>
        <v>9471508.010880003</v>
      </c>
    </row>
    <row r="28" ht="13.5" thickTop="1"/>
    <row r="29" spans="2:9" ht="25.5">
      <c r="B29" t="s">
        <v>8</v>
      </c>
      <c r="C29" t="s">
        <v>13</v>
      </c>
      <c r="D29" t="s">
        <v>14</v>
      </c>
      <c r="E29" s="48" t="s">
        <v>133</v>
      </c>
      <c r="F29" s="3" t="s">
        <v>16</v>
      </c>
      <c r="G29" s="3" t="s">
        <v>134</v>
      </c>
      <c r="H29" t="s">
        <v>135</v>
      </c>
      <c r="I29" t="s">
        <v>15</v>
      </c>
    </row>
    <row r="30" spans="1:9" ht="12.75">
      <c r="A30" s="1" t="s">
        <v>0</v>
      </c>
      <c r="B30" t="s">
        <v>9</v>
      </c>
      <c r="C30" s="59">
        <v>0.08</v>
      </c>
      <c r="D30" s="39">
        <f>I22</f>
        <v>0</v>
      </c>
      <c r="E30" s="60">
        <f>'SMFA Continuity Stub Year'!D32</f>
        <v>0</v>
      </c>
      <c r="F30" s="61">
        <f>+D30*C30</f>
        <v>0</v>
      </c>
      <c r="G30" s="61">
        <f>+E30*C30/2</f>
        <v>0</v>
      </c>
      <c r="H30" s="61">
        <f>+F30+G30</f>
        <v>0</v>
      </c>
      <c r="I30" s="39">
        <f>+D30+E30-H30</f>
        <v>0</v>
      </c>
    </row>
    <row r="31" spans="1:9" ht="12.75">
      <c r="A31" s="1" t="s">
        <v>87</v>
      </c>
      <c r="B31" t="s">
        <v>12</v>
      </c>
      <c r="C31" s="59">
        <v>0.2</v>
      </c>
      <c r="D31" s="39">
        <v>0</v>
      </c>
      <c r="E31" s="60">
        <f>'SMFA Continuity Stub Year'!D33</f>
        <v>0</v>
      </c>
      <c r="F31" s="61">
        <f aca="true" t="shared" si="3" ref="F31:F36">+D31*C31</f>
        <v>0</v>
      </c>
      <c r="G31" s="61">
        <f aca="true" t="shared" si="4" ref="G31:G36">+E31*C31/2</f>
        <v>0</v>
      </c>
      <c r="H31" s="61">
        <f aca="true" t="shared" si="5" ref="H31:H36">+F31+G31</f>
        <v>0</v>
      </c>
      <c r="I31" s="39">
        <f aca="true" t="shared" si="6" ref="I31:I36">+D31+E31-H31</f>
        <v>0</v>
      </c>
    </row>
    <row r="32" spans="1:9" ht="12.75">
      <c r="A32" s="1" t="s">
        <v>88</v>
      </c>
      <c r="B32" t="s">
        <v>136</v>
      </c>
      <c r="C32" s="59">
        <v>0.1</v>
      </c>
      <c r="D32" s="39">
        <v>0</v>
      </c>
      <c r="E32" s="60">
        <f>'SMFA Continuity Stub Year'!D34</f>
        <v>0</v>
      </c>
      <c r="F32" s="61">
        <f t="shared" si="3"/>
        <v>0</v>
      </c>
      <c r="G32" s="61">
        <f t="shared" si="4"/>
        <v>0</v>
      </c>
      <c r="H32" s="61">
        <f t="shared" si="5"/>
        <v>0</v>
      </c>
      <c r="I32" s="39">
        <f t="shared" si="6"/>
        <v>0</v>
      </c>
    </row>
    <row r="33" spans="1:9" ht="12.75">
      <c r="A33" s="1" t="s">
        <v>1</v>
      </c>
      <c r="B33" t="s">
        <v>9</v>
      </c>
      <c r="C33" s="59">
        <v>0.08</v>
      </c>
      <c r="D33" s="39">
        <f>+I23</f>
        <v>9471508.010880003</v>
      </c>
      <c r="E33" s="60">
        <f>'SMFA Continuity Stub Year'!D35</f>
        <v>8663013.96</v>
      </c>
      <c r="F33" s="61">
        <f t="shared" si="3"/>
        <v>757720.6408704002</v>
      </c>
      <c r="G33" s="61">
        <f t="shared" si="4"/>
        <v>346520.55840000004</v>
      </c>
      <c r="H33" s="61">
        <f t="shared" si="5"/>
        <v>1104241.1992704002</v>
      </c>
      <c r="I33" s="39">
        <f t="shared" si="6"/>
        <v>17030280.7716096</v>
      </c>
    </row>
    <row r="34" spans="1:9" ht="12.75">
      <c r="A34" s="1" t="s">
        <v>137</v>
      </c>
      <c r="B34" t="s">
        <v>10</v>
      </c>
      <c r="C34" s="59">
        <v>0.55</v>
      </c>
      <c r="D34" s="39">
        <f>+I24</f>
        <v>0</v>
      </c>
      <c r="E34" s="60">
        <f>'SMFA Continuity Stub Year'!D36</f>
        <v>0</v>
      </c>
      <c r="F34" s="61">
        <f t="shared" si="3"/>
        <v>0</v>
      </c>
      <c r="G34" s="61">
        <f t="shared" si="4"/>
        <v>0</v>
      </c>
      <c r="H34" s="61">
        <f t="shared" si="5"/>
        <v>0</v>
      </c>
      <c r="I34" s="39">
        <f t="shared" si="6"/>
        <v>0</v>
      </c>
    </row>
    <row r="35" spans="1:9" ht="12.75">
      <c r="A35" s="1" t="s">
        <v>2</v>
      </c>
      <c r="B35" t="s">
        <v>11</v>
      </c>
      <c r="C35" s="59">
        <v>1</v>
      </c>
      <c r="D35" s="39">
        <f>+I25</f>
        <v>0</v>
      </c>
      <c r="E35" s="60">
        <f>'SMFA Continuity Stub Year'!D37</f>
        <v>0</v>
      </c>
      <c r="F35" s="61">
        <f t="shared" si="3"/>
        <v>0</v>
      </c>
      <c r="G35" s="61">
        <f t="shared" si="4"/>
        <v>0</v>
      </c>
      <c r="H35" s="61">
        <f t="shared" si="5"/>
        <v>0</v>
      </c>
      <c r="I35" s="39">
        <f t="shared" si="6"/>
        <v>0</v>
      </c>
    </row>
    <row r="36" spans="1:9" ht="12.75">
      <c r="A36" s="1" t="s">
        <v>3</v>
      </c>
      <c r="B36" t="s">
        <v>12</v>
      </c>
      <c r="C36" s="59">
        <v>0.2</v>
      </c>
      <c r="D36" s="39">
        <f>+I26</f>
        <v>0</v>
      </c>
      <c r="E36" s="60">
        <f>'SMFA Continuity Stub Year'!D38</f>
        <v>0</v>
      </c>
      <c r="F36" s="61">
        <f t="shared" si="3"/>
        <v>0</v>
      </c>
      <c r="G36" s="61">
        <f t="shared" si="4"/>
        <v>0</v>
      </c>
      <c r="H36" s="61">
        <f t="shared" si="5"/>
        <v>0</v>
      </c>
      <c r="I36" s="39">
        <f t="shared" si="6"/>
        <v>0</v>
      </c>
    </row>
    <row r="37" spans="4:9" ht="13.5" thickBot="1">
      <c r="D37" s="62">
        <f aca="true" t="shared" si="7" ref="D37:I37">SUM(D30:D36)</f>
        <v>9471508.010880003</v>
      </c>
      <c r="E37" s="62">
        <f t="shared" si="7"/>
        <v>8663013.96</v>
      </c>
      <c r="F37" s="62">
        <f t="shared" si="7"/>
        <v>757720.6408704002</v>
      </c>
      <c r="G37" s="62">
        <f t="shared" si="7"/>
        <v>346520.55840000004</v>
      </c>
      <c r="H37" s="62">
        <f t="shared" si="7"/>
        <v>1104241.1992704002</v>
      </c>
      <c r="I37" s="62">
        <f t="shared" si="7"/>
        <v>17030280.7716096</v>
      </c>
    </row>
    <row r="38" spans="2:3" ht="13.5" thickTop="1">
      <c r="B38" s="64"/>
      <c r="C38" s="64"/>
    </row>
    <row r="39" spans="2:9" ht="25.5">
      <c r="B39" t="s">
        <v>8</v>
      </c>
      <c r="C39" t="s">
        <v>13</v>
      </c>
      <c r="D39" t="s">
        <v>14</v>
      </c>
      <c r="E39" s="63" t="s">
        <v>138</v>
      </c>
      <c r="F39" s="3" t="s">
        <v>16</v>
      </c>
      <c r="G39" s="3" t="s">
        <v>89</v>
      </c>
      <c r="H39" t="s">
        <v>96</v>
      </c>
      <c r="I39" t="s">
        <v>15</v>
      </c>
    </row>
    <row r="40" spans="1:9" ht="12.75">
      <c r="A40" s="1" t="s">
        <v>0</v>
      </c>
      <c r="B40" t="s">
        <v>9</v>
      </c>
      <c r="C40" s="59">
        <v>0.08</v>
      </c>
      <c r="D40" s="2">
        <f>+I30</f>
        <v>0</v>
      </c>
      <c r="E40" s="60">
        <f>'SMFA Continuity Stub Year'!D42</f>
        <v>0</v>
      </c>
      <c r="F40" s="57">
        <f>+D40*C40</f>
        <v>0</v>
      </c>
      <c r="G40" s="57">
        <f aca="true" t="shared" si="8" ref="G40:G46">+E40*C40/2</f>
        <v>0</v>
      </c>
      <c r="H40" s="57">
        <f>+F40+G40</f>
        <v>0</v>
      </c>
      <c r="I40" s="2">
        <f>+D40+E40-H40</f>
        <v>0</v>
      </c>
    </row>
    <row r="41" spans="1:9" ht="12.75">
      <c r="A41" s="1" t="s">
        <v>87</v>
      </c>
      <c r="B41" t="s">
        <v>12</v>
      </c>
      <c r="C41" s="59">
        <v>0.2</v>
      </c>
      <c r="D41" s="39">
        <f aca="true" t="shared" si="9" ref="D41:D46">+I31</f>
        <v>0</v>
      </c>
      <c r="E41" s="60">
        <f>'SMFA Continuity Stub Year'!D43</f>
        <v>0</v>
      </c>
      <c r="F41" s="61">
        <f aca="true" t="shared" si="10" ref="F41:F46">+D41*C41</f>
        <v>0</v>
      </c>
      <c r="G41" s="61">
        <f t="shared" si="8"/>
        <v>0</v>
      </c>
      <c r="H41" s="61">
        <f aca="true" t="shared" si="11" ref="H41:H46">+F41+G41</f>
        <v>0</v>
      </c>
      <c r="I41" s="39">
        <f aca="true" t="shared" si="12" ref="I41:I46">+D41+E41-H41</f>
        <v>0</v>
      </c>
    </row>
    <row r="42" spans="1:9" ht="12.75">
      <c r="A42" s="1" t="s">
        <v>88</v>
      </c>
      <c r="B42" t="s">
        <v>136</v>
      </c>
      <c r="C42" s="59">
        <v>0.1</v>
      </c>
      <c r="D42" s="39">
        <f t="shared" si="9"/>
        <v>0</v>
      </c>
      <c r="E42" s="60">
        <f>'SMFA Continuity Stub Year'!D44</f>
        <v>0</v>
      </c>
      <c r="F42" s="61">
        <f t="shared" si="10"/>
        <v>0</v>
      </c>
      <c r="G42" s="61">
        <f t="shared" si="8"/>
        <v>0</v>
      </c>
      <c r="H42" s="61">
        <f t="shared" si="11"/>
        <v>0</v>
      </c>
      <c r="I42" s="39">
        <f t="shared" si="12"/>
        <v>0</v>
      </c>
    </row>
    <row r="43" spans="1:9" ht="12.75">
      <c r="A43" s="1" t="s">
        <v>1</v>
      </c>
      <c r="B43" t="s">
        <v>9</v>
      </c>
      <c r="C43" s="59">
        <v>0.08</v>
      </c>
      <c r="D43" s="39">
        <f>I33</f>
        <v>17030280.7716096</v>
      </c>
      <c r="E43" s="60">
        <f>'SMFA Continuity Stub Year'!D45</f>
        <v>0</v>
      </c>
      <c r="F43" s="61">
        <f t="shared" si="10"/>
        <v>1362422.4617287682</v>
      </c>
      <c r="G43" s="61">
        <f t="shared" si="8"/>
        <v>0</v>
      </c>
      <c r="H43" s="61">
        <f t="shared" si="11"/>
        <v>1362422.4617287682</v>
      </c>
      <c r="I43" s="39">
        <f t="shared" si="12"/>
        <v>15667858.309880832</v>
      </c>
    </row>
    <row r="44" spans="1:9" ht="12.75">
      <c r="A44" s="19" t="s">
        <v>100</v>
      </c>
      <c r="B44" t="s">
        <v>10</v>
      </c>
      <c r="C44" s="59">
        <v>0.55</v>
      </c>
      <c r="D44" s="39">
        <f t="shared" si="9"/>
        <v>0</v>
      </c>
      <c r="E44" s="60">
        <f>'SMFA Continuity Stub Year'!D46</f>
        <v>0</v>
      </c>
      <c r="F44" s="61">
        <f t="shared" si="10"/>
        <v>0</v>
      </c>
      <c r="G44" s="61">
        <f t="shared" si="8"/>
        <v>0</v>
      </c>
      <c r="H44" s="61">
        <f t="shared" si="11"/>
        <v>0</v>
      </c>
      <c r="I44" s="39">
        <f t="shared" si="12"/>
        <v>0</v>
      </c>
    </row>
    <row r="45" spans="1:9" ht="12.75">
      <c r="A45" s="1" t="s">
        <v>2</v>
      </c>
      <c r="B45" t="s">
        <v>11</v>
      </c>
      <c r="C45" s="59">
        <v>1</v>
      </c>
      <c r="D45" s="39">
        <f t="shared" si="9"/>
        <v>0</v>
      </c>
      <c r="E45" s="60">
        <f>'SMFA Continuity Stub Year'!D47</f>
        <v>0</v>
      </c>
      <c r="F45" s="61">
        <f t="shared" si="10"/>
        <v>0</v>
      </c>
      <c r="G45" s="61">
        <f t="shared" si="8"/>
        <v>0</v>
      </c>
      <c r="H45" s="61">
        <f t="shared" si="11"/>
        <v>0</v>
      </c>
      <c r="I45" s="39">
        <f t="shared" si="12"/>
        <v>0</v>
      </c>
    </row>
    <row r="46" spans="1:9" ht="12.75">
      <c r="A46" s="1" t="s">
        <v>3</v>
      </c>
      <c r="B46" t="s">
        <v>12</v>
      </c>
      <c r="C46" s="59">
        <v>0.2</v>
      </c>
      <c r="D46" s="39">
        <f t="shared" si="9"/>
        <v>0</v>
      </c>
      <c r="E46" s="60">
        <f>'SMFA Continuity Stub Year'!D48</f>
        <v>0</v>
      </c>
      <c r="F46" s="61">
        <f t="shared" si="10"/>
        <v>0</v>
      </c>
      <c r="G46" s="61">
        <f t="shared" si="8"/>
        <v>0</v>
      </c>
      <c r="H46" s="61">
        <f t="shared" si="11"/>
        <v>0</v>
      </c>
      <c r="I46" s="39">
        <f t="shared" si="12"/>
        <v>0</v>
      </c>
    </row>
    <row r="47" spans="4:9" ht="13.5" thickBot="1">
      <c r="D47" s="62">
        <f aca="true" t="shared" si="13" ref="D47:I47">SUM(D40:D46)</f>
        <v>17030280.7716096</v>
      </c>
      <c r="E47" s="62">
        <f t="shared" si="13"/>
        <v>0</v>
      </c>
      <c r="F47" s="62">
        <f t="shared" si="13"/>
        <v>1362422.4617287682</v>
      </c>
      <c r="G47" s="62">
        <f t="shared" si="13"/>
        <v>0</v>
      </c>
      <c r="H47" s="62">
        <f t="shared" si="13"/>
        <v>1362422.4617287682</v>
      </c>
      <c r="I47" s="62">
        <f t="shared" si="13"/>
        <v>15667858.309880832</v>
      </c>
    </row>
    <row r="48" ht="13.5" thickTop="1"/>
  </sheetData>
  <sheetProtection/>
  <printOptions/>
  <pageMargins left="0.7" right="0.7" top="0.75" bottom="0.75" header="0.3" footer="0.3"/>
  <pageSetup horizontalDpi="600" verticalDpi="600" orientation="landscape" scale="75" r:id="rId1"/>
  <ignoredErrors>
    <ignoredError sqref="D4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zoomScalePageLayoutView="0" workbookViewId="0" topLeftCell="A1">
      <pane xSplit="1" ySplit="4" topLeftCell="B7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J82"/>
    </sheetView>
  </sheetViews>
  <sheetFormatPr defaultColWidth="9.140625" defaultRowHeight="12.75"/>
  <cols>
    <col min="1" max="1" width="58.421875" style="0" bestFit="1" customWidth="1"/>
    <col min="2" max="4" width="15.8515625" style="0" customWidth="1"/>
    <col min="5" max="5" width="4.140625" style="0" customWidth="1"/>
    <col min="6" max="6" width="9.140625" style="0" customWidth="1"/>
    <col min="11" max="11" width="18.421875" style="0" customWidth="1"/>
  </cols>
  <sheetData>
    <row r="1" ht="18">
      <c r="A1" s="6" t="s">
        <v>104</v>
      </c>
    </row>
    <row r="2" ht="18">
      <c r="A2" s="6" t="s">
        <v>139</v>
      </c>
    </row>
    <row r="3" ht="18">
      <c r="A3" s="20" t="s">
        <v>140</v>
      </c>
    </row>
    <row r="4" ht="18">
      <c r="A4" s="20" t="s">
        <v>95</v>
      </c>
    </row>
    <row r="5" spans="2:5" ht="13.5" thickBot="1">
      <c r="B5" s="5"/>
      <c r="C5" s="5"/>
      <c r="D5" s="5"/>
      <c r="E5" s="5"/>
    </row>
    <row r="6" spans="1:8" ht="13.5" thickBot="1">
      <c r="A6" s="5" t="s">
        <v>50</v>
      </c>
      <c r="B6" s="135" t="s">
        <v>191</v>
      </c>
      <c r="C6" s="136"/>
      <c r="D6" s="137"/>
      <c r="E6" s="14"/>
      <c r="F6" s="14"/>
      <c r="G6" s="5"/>
      <c r="H6" s="5"/>
    </row>
    <row r="7" spans="1:4" ht="12.75">
      <c r="A7" s="1" t="s">
        <v>0</v>
      </c>
      <c r="B7" s="65"/>
      <c r="C7" s="66"/>
      <c r="D7" s="23"/>
    </row>
    <row r="8" spans="1:4" ht="12.75">
      <c r="A8" s="1" t="s">
        <v>87</v>
      </c>
      <c r="B8" s="65"/>
      <c r="C8" s="66"/>
      <c r="D8" s="23"/>
    </row>
    <row r="9" spans="1:4" ht="12.75">
      <c r="A9" s="15" t="s">
        <v>88</v>
      </c>
      <c r="B9" s="65"/>
      <c r="C9" s="66"/>
      <c r="D9" s="23"/>
    </row>
    <row r="10" spans="1:4" ht="12.75">
      <c r="A10" s="1" t="s">
        <v>61</v>
      </c>
      <c r="B10" s="65">
        <f>'SMFA Continuity Stub Year'!G45</f>
        <v>16647618.97866667</v>
      </c>
      <c r="C10" s="66"/>
      <c r="D10" s="23"/>
    </row>
    <row r="11" spans="1:4" ht="12.75">
      <c r="A11" s="1" t="s">
        <v>63</v>
      </c>
      <c r="B11" s="65"/>
      <c r="C11" s="66"/>
      <c r="D11" s="23"/>
    </row>
    <row r="12" spans="1:6" s="7" customFormat="1" ht="12.75">
      <c r="A12" s="1" t="s">
        <v>62</v>
      </c>
      <c r="B12" s="65"/>
      <c r="C12" s="66"/>
      <c r="D12" s="23"/>
      <c r="E12"/>
      <c r="F12"/>
    </row>
    <row r="13" spans="1:7" ht="12.75">
      <c r="A13" s="1" t="s">
        <v>64</v>
      </c>
      <c r="B13" s="65"/>
      <c r="C13" s="66">
        <f>SUM(B7:B13)</f>
        <v>16647618.97866667</v>
      </c>
      <c r="D13" s="23"/>
      <c r="G13" t="s">
        <v>65</v>
      </c>
    </row>
    <row r="14" spans="2:4" ht="12.75">
      <c r="B14" s="67"/>
      <c r="C14" s="68"/>
      <c r="D14" s="23"/>
    </row>
    <row r="15" spans="1:4" ht="12.75">
      <c r="A15" s="5" t="s">
        <v>51</v>
      </c>
      <c r="B15" s="67"/>
      <c r="C15" s="68"/>
      <c r="D15" s="23"/>
    </row>
    <row r="16" spans="1:6" ht="12.75">
      <c r="A16" t="s">
        <v>52</v>
      </c>
      <c r="B16" s="70">
        <f>'[1]OM&amp;A'!$B$53</f>
        <v>325914.0299999999</v>
      </c>
      <c r="C16" s="69"/>
      <c r="D16" s="24"/>
      <c r="E16" s="71"/>
      <c r="F16" s="71"/>
    </row>
    <row r="17" spans="1:7" ht="12.75">
      <c r="A17" t="s">
        <v>53</v>
      </c>
      <c r="B17" s="72">
        <f>+B16*0.15</f>
        <v>48887.10449999999</v>
      </c>
      <c r="C17" s="69">
        <f>+B17</f>
        <v>48887.10449999999</v>
      </c>
      <c r="D17" s="23"/>
      <c r="G17" t="s">
        <v>66</v>
      </c>
    </row>
    <row r="18" spans="2:4" ht="12.75">
      <c r="B18" s="72"/>
      <c r="C18" s="69"/>
      <c r="D18" s="23"/>
    </row>
    <row r="19" spans="1:7" ht="13.5" thickBot="1">
      <c r="A19" s="5" t="s">
        <v>17</v>
      </c>
      <c r="B19" s="72"/>
      <c r="C19" s="73">
        <f>+C13+C17</f>
        <v>16696506.08316667</v>
      </c>
      <c r="D19" s="23"/>
      <c r="G19" t="s">
        <v>67</v>
      </c>
    </row>
    <row r="20" spans="1:4" ht="12.75">
      <c r="A20" s="5"/>
      <c r="B20" s="67"/>
      <c r="C20" s="68"/>
      <c r="D20" s="23"/>
    </row>
    <row r="21" spans="1:4" ht="12.75">
      <c r="A21" s="5" t="s">
        <v>18</v>
      </c>
      <c r="B21" s="74"/>
      <c r="C21" s="75"/>
      <c r="D21" s="23"/>
    </row>
    <row r="22" spans="1:7" ht="12.75">
      <c r="A22" t="s">
        <v>19</v>
      </c>
      <c r="B22" s="76">
        <v>0.6</v>
      </c>
      <c r="C22" s="69">
        <f>+B22*C19</f>
        <v>10017903.649900002</v>
      </c>
      <c r="D22" s="77"/>
      <c r="E22" s="78"/>
      <c r="F22" s="78"/>
      <c r="G22" t="s">
        <v>68</v>
      </c>
    </row>
    <row r="23" spans="1:7" ht="12.75">
      <c r="A23" t="s">
        <v>20</v>
      </c>
      <c r="B23" s="76"/>
      <c r="C23" s="69">
        <f>+B23*C19</f>
        <v>0</v>
      </c>
      <c r="D23" s="77"/>
      <c r="E23" s="78"/>
      <c r="F23" s="78"/>
      <c r="G23" t="s">
        <v>69</v>
      </c>
    </row>
    <row r="24" spans="1:7" ht="12.75">
      <c r="A24" s="8" t="s">
        <v>21</v>
      </c>
      <c r="B24" s="76">
        <v>0.4</v>
      </c>
      <c r="C24" s="69">
        <f>+B24*C19</f>
        <v>6678602.433266669</v>
      </c>
      <c r="D24" s="77"/>
      <c r="E24" s="78"/>
      <c r="F24" s="78"/>
      <c r="G24" t="s">
        <v>70</v>
      </c>
    </row>
    <row r="25" spans="2:6" ht="13.5" thickBot="1">
      <c r="B25" s="74"/>
      <c r="C25" s="73">
        <f>SUM(C22:C24)</f>
        <v>16696506.08316667</v>
      </c>
      <c r="D25" s="77"/>
      <c r="E25" s="78"/>
      <c r="F25" s="78"/>
    </row>
    <row r="26" spans="2:6" s="7" customFormat="1" ht="6.75">
      <c r="B26" s="25"/>
      <c r="C26" s="79"/>
      <c r="D26" s="80"/>
      <c r="E26" s="81"/>
      <c r="F26" s="81"/>
    </row>
    <row r="27" spans="1:7" ht="12.75">
      <c r="A27" t="s">
        <v>22</v>
      </c>
      <c r="B27" s="82">
        <v>0.0685</v>
      </c>
      <c r="C27" s="69">
        <f>+C22*B27</f>
        <v>686226.4000181502</v>
      </c>
      <c r="D27" s="77"/>
      <c r="E27" s="78"/>
      <c r="F27" s="78"/>
      <c r="G27" t="s">
        <v>71</v>
      </c>
    </row>
    <row r="28" spans="1:7" ht="12.75">
      <c r="A28" t="s">
        <v>23</v>
      </c>
      <c r="B28" s="82"/>
      <c r="C28" s="69">
        <f>+C23*B28</f>
        <v>0</v>
      </c>
      <c r="D28" s="77"/>
      <c r="E28" s="78"/>
      <c r="F28" s="78"/>
      <c r="G28" t="s">
        <v>72</v>
      </c>
    </row>
    <row r="29" spans="1:7" ht="12.75">
      <c r="A29" t="s">
        <v>24</v>
      </c>
      <c r="B29" s="82">
        <v>0.09</v>
      </c>
      <c r="C29" s="69">
        <f>+C24*B29</f>
        <v>601074.2189940001</v>
      </c>
      <c r="D29" s="77"/>
      <c r="E29" s="78"/>
      <c r="F29" s="78"/>
      <c r="G29" t="s">
        <v>73</v>
      </c>
    </row>
    <row r="30" spans="1:7" ht="13.5" thickBot="1">
      <c r="A30" s="5" t="s">
        <v>25</v>
      </c>
      <c r="B30" s="74"/>
      <c r="C30" s="73">
        <f>SUM(C27:C29)</f>
        <v>1287300.6190121504</v>
      </c>
      <c r="D30" s="77">
        <f>+C30</f>
        <v>1287300.6190121504</v>
      </c>
      <c r="E30" s="78"/>
      <c r="F30" s="78"/>
      <c r="G30" t="s">
        <v>74</v>
      </c>
    </row>
    <row r="31" spans="1:4" ht="12.75">
      <c r="A31" s="5"/>
      <c r="B31" s="74"/>
      <c r="C31" s="68"/>
      <c r="D31" s="23"/>
    </row>
    <row r="32" spans="1:4" ht="12.75">
      <c r="A32" s="5" t="s">
        <v>54</v>
      </c>
      <c r="B32" s="74"/>
      <c r="C32" s="68"/>
      <c r="D32" s="23"/>
    </row>
    <row r="33" spans="1:7" ht="12.75">
      <c r="A33" s="8" t="s">
        <v>55</v>
      </c>
      <c r="B33" s="74"/>
      <c r="C33" s="69"/>
      <c r="D33" s="77">
        <f>B16</f>
        <v>325914.0299999999</v>
      </c>
      <c r="E33" s="78"/>
      <c r="F33" s="78"/>
      <c r="G33" t="s">
        <v>78</v>
      </c>
    </row>
    <row r="34" spans="1:6" ht="12.75">
      <c r="A34" s="8"/>
      <c r="B34" s="74"/>
      <c r="C34" s="69"/>
      <c r="D34" s="77"/>
      <c r="E34" s="78"/>
      <c r="F34" s="78"/>
    </row>
    <row r="35" spans="1:7" ht="12.75">
      <c r="A35" s="5" t="s">
        <v>27</v>
      </c>
      <c r="B35" s="74"/>
      <c r="C35" s="26"/>
      <c r="D35" s="83">
        <f>'SMFA Continuity Stub Year'!E49</f>
        <v>1258222.532666667</v>
      </c>
      <c r="E35" s="84"/>
      <c r="F35" s="84"/>
      <c r="G35" t="s">
        <v>79</v>
      </c>
    </row>
    <row r="36" spans="1:6" ht="12.75">
      <c r="A36" s="5"/>
      <c r="B36" s="74"/>
      <c r="C36" s="69"/>
      <c r="D36" s="85"/>
      <c r="E36" s="86"/>
      <c r="F36" s="86"/>
    </row>
    <row r="37" spans="1:7" ht="13.5" thickBot="1">
      <c r="A37" t="s">
        <v>28</v>
      </c>
      <c r="B37" s="74"/>
      <c r="C37" s="26"/>
      <c r="D37" s="87">
        <f>+D30+D33+D35</f>
        <v>2871437.181678817</v>
      </c>
      <c r="E37" s="69"/>
      <c r="F37" s="69"/>
      <c r="G37" t="s">
        <v>26</v>
      </c>
    </row>
    <row r="38" spans="2:4" ht="12.75">
      <c r="B38" s="74"/>
      <c r="C38" s="68"/>
      <c r="D38" s="23"/>
    </row>
    <row r="39" spans="1:4" ht="12.75">
      <c r="A39" s="5" t="s">
        <v>75</v>
      </c>
      <c r="B39" s="74"/>
      <c r="C39" s="68"/>
      <c r="D39" s="23"/>
    </row>
    <row r="40" spans="1:7" ht="12.75">
      <c r="A40" t="s">
        <v>76</v>
      </c>
      <c r="B40" s="74"/>
      <c r="C40" s="26"/>
      <c r="D40" s="88">
        <f>-D33</f>
        <v>-325914.0299999999</v>
      </c>
      <c r="E40" s="89"/>
      <c r="F40" s="89"/>
      <c r="G40" t="s">
        <v>78</v>
      </c>
    </row>
    <row r="41" spans="1:7" ht="12.75">
      <c r="A41" t="s">
        <v>29</v>
      </c>
      <c r="B41" s="27"/>
      <c r="C41" s="26"/>
      <c r="D41" s="88">
        <f>-D35</f>
        <v>-1258222.532666667</v>
      </c>
      <c r="E41" s="89"/>
      <c r="F41" s="89"/>
      <c r="G41" t="s">
        <v>79</v>
      </c>
    </row>
    <row r="42" spans="1:7" ht="12.75">
      <c r="A42" t="s">
        <v>31</v>
      </c>
      <c r="B42" s="27"/>
      <c r="C42" s="26"/>
      <c r="D42" s="88">
        <f>-C27-C28</f>
        <v>-686226.4000181502</v>
      </c>
      <c r="E42" s="89"/>
      <c r="F42" s="89"/>
      <c r="G42" t="s">
        <v>80</v>
      </c>
    </row>
    <row r="43" spans="1:7" ht="13.5" thickBot="1">
      <c r="A43" s="5" t="s">
        <v>77</v>
      </c>
      <c r="B43" s="27"/>
      <c r="C43" s="26"/>
      <c r="D43" s="90">
        <f>SUM(D37:D42)</f>
        <v>601074.2189940002</v>
      </c>
      <c r="E43" s="69"/>
      <c r="F43" s="69"/>
      <c r="G43" t="s">
        <v>81</v>
      </c>
    </row>
    <row r="44" spans="1:4" ht="12.75">
      <c r="A44" s="5"/>
      <c r="B44" s="27"/>
      <c r="C44" s="68"/>
      <c r="D44" s="23"/>
    </row>
    <row r="45" spans="1:7" ht="13.5" thickBot="1">
      <c r="A45" s="5" t="s">
        <v>32</v>
      </c>
      <c r="B45" s="74"/>
      <c r="C45" s="26"/>
      <c r="D45" s="91">
        <f>+D81</f>
        <v>227238.00356415389</v>
      </c>
      <c r="E45" s="68"/>
      <c r="F45" s="68"/>
      <c r="G45" t="s">
        <v>30</v>
      </c>
    </row>
    <row r="46" spans="1:6" ht="12.75">
      <c r="A46" s="5"/>
      <c r="B46" s="74"/>
      <c r="C46" s="26"/>
      <c r="D46" s="92"/>
      <c r="E46" s="68"/>
      <c r="F46" s="68"/>
    </row>
    <row r="47" spans="1:7" ht="12.75">
      <c r="A47" s="8" t="s">
        <v>33</v>
      </c>
      <c r="B47" s="74"/>
      <c r="C47" s="26"/>
      <c r="D47" s="92">
        <f>+D37</f>
        <v>2871437.181678817</v>
      </c>
      <c r="E47" s="93"/>
      <c r="F47" s="93"/>
      <c r="G47" t="s">
        <v>82</v>
      </c>
    </row>
    <row r="48" spans="1:7" ht="12.75">
      <c r="A48" s="8" t="s">
        <v>32</v>
      </c>
      <c r="B48" s="74"/>
      <c r="C48" s="26"/>
      <c r="D48" s="92">
        <f>+D45</f>
        <v>227238.00356415389</v>
      </c>
      <c r="E48" s="93"/>
      <c r="F48" s="93"/>
      <c r="G48" t="s">
        <v>30</v>
      </c>
    </row>
    <row r="49" spans="1:11" ht="13.5" thickBot="1">
      <c r="A49" s="5" t="s">
        <v>58</v>
      </c>
      <c r="B49" s="74"/>
      <c r="C49" s="26"/>
      <c r="D49" s="94">
        <f>+D47+D48</f>
        <v>3098675.185242971</v>
      </c>
      <c r="E49" s="68"/>
      <c r="F49" s="68"/>
      <c r="G49" t="s">
        <v>83</v>
      </c>
      <c r="K49" s="17"/>
    </row>
    <row r="50" spans="1:6" ht="12.75">
      <c r="A50" s="5"/>
      <c r="B50" s="74"/>
      <c r="C50" s="26"/>
      <c r="D50" s="92"/>
      <c r="E50" s="68"/>
      <c r="F50" s="68"/>
    </row>
    <row r="51" spans="1:6" ht="12.75">
      <c r="A51" s="5" t="s">
        <v>102</v>
      </c>
      <c r="B51" s="74"/>
      <c r="C51" s="26"/>
      <c r="D51" s="92"/>
      <c r="E51" s="68"/>
      <c r="F51" s="68"/>
    </row>
    <row r="52" spans="1:7" ht="12.75">
      <c r="A52" s="8" t="s">
        <v>58</v>
      </c>
      <c r="B52" s="74"/>
      <c r="C52" s="26"/>
      <c r="D52" s="92">
        <f>+D49</f>
        <v>3098675.185242971</v>
      </c>
      <c r="E52" s="68"/>
      <c r="F52" s="68"/>
      <c r="G52" t="s">
        <v>84</v>
      </c>
    </row>
    <row r="53" spans="1:7" ht="12.75">
      <c r="A53" s="8" t="s">
        <v>101</v>
      </c>
      <c r="B53" s="74"/>
      <c r="C53" s="26"/>
      <c r="D53" s="95">
        <v>141107</v>
      </c>
      <c r="E53" s="96"/>
      <c r="F53" s="96"/>
      <c r="G53" t="s">
        <v>97</v>
      </c>
    </row>
    <row r="54" spans="1:7" ht="13.5" thickBot="1">
      <c r="A54" s="8" t="s">
        <v>59</v>
      </c>
      <c r="B54" s="27"/>
      <c r="C54" s="26"/>
      <c r="D54" s="28">
        <f>+D52/D53</f>
        <v>21.9597552583711</v>
      </c>
      <c r="E54" s="12"/>
      <c r="F54" s="12"/>
      <c r="G54" t="s">
        <v>85</v>
      </c>
    </row>
    <row r="55" spans="1:7" ht="13.5" thickTop="1">
      <c r="A55" s="8" t="s">
        <v>60</v>
      </c>
      <c r="B55" s="27"/>
      <c r="C55" s="26"/>
      <c r="D55" s="29">
        <v>12</v>
      </c>
      <c r="E55" s="9"/>
      <c r="F55" s="9"/>
      <c r="G55" t="s">
        <v>34</v>
      </c>
    </row>
    <row r="56" spans="1:7" ht="13.5" thickBot="1">
      <c r="A56" s="8" t="s">
        <v>102</v>
      </c>
      <c r="B56" s="27"/>
      <c r="C56" s="26"/>
      <c r="D56" s="97">
        <f>+D54/D55</f>
        <v>1.8299796048642583</v>
      </c>
      <c r="E56" s="98"/>
      <c r="F56" s="98"/>
      <c r="G56" t="s">
        <v>35</v>
      </c>
    </row>
    <row r="57" spans="2:4" ht="13.5" thickTop="1">
      <c r="B57" s="27"/>
      <c r="C57" s="26"/>
      <c r="D57" s="23"/>
    </row>
    <row r="58" spans="2:4" ht="12.75">
      <c r="B58" s="27"/>
      <c r="C58" s="26"/>
      <c r="D58" s="23"/>
    </row>
    <row r="59" spans="1:4" ht="12.75">
      <c r="A59" s="5" t="s">
        <v>90</v>
      </c>
      <c r="B59" s="27"/>
      <c r="C59" s="26"/>
      <c r="D59" s="23"/>
    </row>
    <row r="60" spans="2:4" ht="12.75">
      <c r="B60" s="27"/>
      <c r="C60" s="26"/>
      <c r="D60" s="23"/>
    </row>
    <row r="61" spans="1:4" ht="15">
      <c r="A61" s="10" t="s">
        <v>105</v>
      </c>
      <c r="B61" s="27"/>
      <c r="C61" s="26"/>
      <c r="D61" s="23"/>
    </row>
    <row r="62" spans="1:4" ht="12.75">
      <c r="A62" t="s">
        <v>36</v>
      </c>
      <c r="B62" s="30">
        <f>+D43</f>
        <v>601074.2189940002</v>
      </c>
      <c r="C62" s="26"/>
      <c r="D62" s="23"/>
    </row>
    <row r="63" spans="1:4" ht="12.75">
      <c r="A63" t="s">
        <v>4</v>
      </c>
      <c r="B63" s="74">
        <f>+D35</f>
        <v>1258222.532666667</v>
      </c>
      <c r="C63" s="26"/>
      <c r="D63" s="23"/>
    </row>
    <row r="64" spans="1:4" ht="12.75">
      <c r="A64" t="s">
        <v>56</v>
      </c>
      <c r="B64" s="99">
        <f>-'SM UCC Continuity Stub Year'!H47</f>
        <v>-1362422.4617287682</v>
      </c>
      <c r="C64" s="26"/>
      <c r="D64" s="23"/>
    </row>
    <row r="65" spans="1:4" ht="12.75">
      <c r="A65" t="s">
        <v>37</v>
      </c>
      <c r="B65" s="31">
        <f>+B62+B63+B64</f>
        <v>496874.28993189894</v>
      </c>
      <c r="C65" s="26"/>
      <c r="D65" s="23"/>
    </row>
    <row r="66" spans="1:4" ht="12.75">
      <c r="A66" t="s">
        <v>38</v>
      </c>
      <c r="B66" s="100">
        <v>0.31</v>
      </c>
      <c r="C66" s="26"/>
      <c r="D66" s="23"/>
    </row>
    <row r="67" spans="1:4" ht="13.5" thickBot="1">
      <c r="A67" t="s">
        <v>39</v>
      </c>
      <c r="B67" s="32">
        <f>+B65*B66</f>
        <v>154031.02987888866</v>
      </c>
      <c r="C67" s="26"/>
      <c r="D67" s="23"/>
    </row>
    <row r="68" spans="2:4" ht="12.75">
      <c r="B68" s="27"/>
      <c r="C68" s="26"/>
      <c r="D68" s="23"/>
    </row>
    <row r="69" spans="1:4" ht="12.75">
      <c r="A69" s="5" t="s">
        <v>40</v>
      </c>
      <c r="B69" s="27"/>
      <c r="C69" s="26"/>
      <c r="D69" s="23"/>
    </row>
    <row r="70" spans="1:4" ht="12.75">
      <c r="A70" t="s">
        <v>57</v>
      </c>
      <c r="B70" s="99">
        <f>'SMFA Continuity Stub Year'!F49</f>
        <v>16018507.712333338</v>
      </c>
      <c r="C70" s="26"/>
      <c r="D70" s="23"/>
    </row>
    <row r="71" spans="1:4" ht="12.75">
      <c r="A71" t="s">
        <v>41</v>
      </c>
      <c r="B71" s="74">
        <v>0</v>
      </c>
      <c r="C71" s="26"/>
      <c r="D71" s="23"/>
    </row>
    <row r="72" spans="1:4" ht="12.75">
      <c r="A72" t="s">
        <v>42</v>
      </c>
      <c r="B72" s="101">
        <f>+B70-B71</f>
        <v>16018507.712333338</v>
      </c>
      <c r="C72" s="26"/>
      <c r="D72" s="23"/>
    </row>
    <row r="73" spans="1:4" ht="12.75">
      <c r="A73" t="s">
        <v>43</v>
      </c>
      <c r="B73" s="102">
        <v>0.00075</v>
      </c>
      <c r="C73" s="26"/>
      <c r="D73" s="23"/>
    </row>
    <row r="74" spans="1:4" ht="13.5" thickBot="1">
      <c r="A74" s="5" t="s">
        <v>44</v>
      </c>
      <c r="B74" s="32">
        <f>+B73*B72/3</f>
        <v>4004.626928083335</v>
      </c>
      <c r="C74" s="26"/>
      <c r="D74" s="23"/>
    </row>
    <row r="75" spans="2:4" ht="12.75">
      <c r="B75" s="27"/>
      <c r="C75" s="26"/>
      <c r="D75" s="23"/>
    </row>
    <row r="76" spans="2:4" ht="12.75">
      <c r="B76" s="27"/>
      <c r="C76" s="26"/>
      <c r="D76" s="23"/>
    </row>
    <row r="77" spans="2:4" ht="12.75">
      <c r="B77" s="27"/>
      <c r="C77" s="26"/>
      <c r="D77" s="23"/>
    </row>
    <row r="78" spans="2:6" ht="12.75">
      <c r="B78" s="33" t="s">
        <v>45</v>
      </c>
      <c r="C78" s="34" t="s">
        <v>46</v>
      </c>
      <c r="D78" s="35" t="s">
        <v>47</v>
      </c>
      <c r="E78" s="5"/>
      <c r="F78" s="5"/>
    </row>
    <row r="79" spans="1:6" ht="12.75">
      <c r="A79" t="s">
        <v>48</v>
      </c>
      <c r="B79" s="30">
        <f>+B67</f>
        <v>154031.02987888866</v>
      </c>
      <c r="C79" s="103">
        <f>+B66</f>
        <v>0.31</v>
      </c>
      <c r="D79" s="104">
        <f>+B79/(1-C79)</f>
        <v>223233.37663607055</v>
      </c>
      <c r="E79" s="105"/>
      <c r="F79" s="105"/>
    </row>
    <row r="80" spans="1:6" ht="12.75">
      <c r="A80" t="s">
        <v>49</v>
      </c>
      <c r="B80" s="74">
        <f>+B74</f>
        <v>4004.626928083335</v>
      </c>
      <c r="C80" s="26"/>
      <c r="D80" s="36">
        <f>+B80</f>
        <v>4004.626928083335</v>
      </c>
      <c r="E80" s="11"/>
      <c r="F80" s="11"/>
    </row>
    <row r="81" spans="1:6" ht="13.5" thickBot="1">
      <c r="A81" s="8" t="s">
        <v>103</v>
      </c>
      <c r="B81" s="32">
        <f>+B79+B80</f>
        <v>158035.656806972</v>
      </c>
      <c r="C81" s="37"/>
      <c r="D81" s="38">
        <f>+D79+D80</f>
        <v>227238.00356415389</v>
      </c>
      <c r="E81" s="13"/>
      <c r="F81" s="13"/>
    </row>
  </sheetData>
  <sheetProtection/>
  <mergeCells count="1">
    <mergeCell ref="B6:D6"/>
  </mergeCells>
  <printOptions/>
  <pageMargins left="0.7" right="0.7" top="0.75" bottom="0.75" header="0.3" footer="0.3"/>
  <pageSetup fitToHeight="1" fitToWidth="1" horizontalDpi="600" verticalDpi="600" orientation="portrait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126"/>
  <sheetViews>
    <sheetView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5" sqref="K15"/>
    </sheetView>
  </sheetViews>
  <sheetFormatPr defaultColWidth="9.140625" defaultRowHeight="12.75"/>
  <cols>
    <col min="1" max="2" width="2.421875" style="0" customWidth="1"/>
    <col min="3" max="3" width="11.8515625" style="0" customWidth="1"/>
    <col min="4" max="4" width="10.00390625" style="0" customWidth="1"/>
    <col min="10" max="10" width="13.57421875" style="0" customWidth="1"/>
    <col min="11" max="11" width="13.28125" style="0" bestFit="1" customWidth="1"/>
    <col min="12" max="13" width="15.00390625" style="0" bestFit="1" customWidth="1"/>
    <col min="15" max="15" width="13.28125" style="0" customWidth="1"/>
    <col min="16" max="16" width="11.00390625" style="0" customWidth="1"/>
    <col min="17" max="17" width="10.00390625" style="0" bestFit="1" customWidth="1"/>
  </cols>
  <sheetData>
    <row r="1" spans="3:16" ht="12.75">
      <c r="C1" s="146" t="s">
        <v>142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3" spans="3:16" ht="63.75">
      <c r="C3" s="114" t="s">
        <v>143</v>
      </c>
      <c r="D3" s="114" t="s">
        <v>144</v>
      </c>
      <c r="E3" s="138" t="s">
        <v>145</v>
      </c>
      <c r="F3" s="112"/>
      <c r="G3" s="108" t="s">
        <v>106</v>
      </c>
      <c r="H3" s="121" t="s">
        <v>146</v>
      </c>
      <c r="I3" s="121" t="s">
        <v>147</v>
      </c>
      <c r="J3" s="118" t="s">
        <v>148</v>
      </c>
      <c r="K3" s="114" t="s">
        <v>149</v>
      </c>
      <c r="L3" s="114" t="s">
        <v>150</v>
      </c>
      <c r="M3" s="114" t="s">
        <v>151</v>
      </c>
      <c r="N3" s="114" t="s">
        <v>152</v>
      </c>
      <c r="O3" s="114" t="s">
        <v>153</v>
      </c>
      <c r="P3" s="114" t="s">
        <v>154</v>
      </c>
    </row>
    <row r="4" spans="3:16" ht="13.5" thickBot="1">
      <c r="C4" s="117"/>
      <c r="D4" s="118"/>
      <c r="E4" s="138"/>
      <c r="F4" s="119"/>
      <c r="G4" s="108"/>
      <c r="H4" s="115"/>
      <c r="I4" s="115"/>
      <c r="J4" s="116"/>
      <c r="K4" s="114"/>
      <c r="L4" s="114"/>
      <c r="M4" s="114"/>
      <c r="N4" s="108"/>
      <c r="O4" s="114"/>
      <c r="P4" s="114"/>
    </row>
    <row r="5" spans="3:16" ht="13.5" thickBot="1">
      <c r="C5" s="107" t="s">
        <v>155</v>
      </c>
      <c r="D5" s="113">
        <v>0</v>
      </c>
      <c r="E5" s="113">
        <v>0</v>
      </c>
      <c r="F5" s="119"/>
      <c r="G5" s="120">
        <v>38718</v>
      </c>
      <c r="H5" s="122">
        <v>2006</v>
      </c>
      <c r="I5" s="123" t="s">
        <v>156</v>
      </c>
      <c r="J5" s="111">
        <v>0</v>
      </c>
      <c r="K5" s="126"/>
      <c r="L5" s="126"/>
      <c r="M5" s="124">
        <f>J5+K5+L5</f>
        <v>0</v>
      </c>
      <c r="N5" s="110">
        <v>0</v>
      </c>
      <c r="O5" s="124">
        <f>J5*N5/12</f>
        <v>0</v>
      </c>
      <c r="P5" s="124">
        <f>O5</f>
        <v>0</v>
      </c>
    </row>
    <row r="6" spans="3:16" ht="13.5" thickBot="1">
      <c r="C6" s="107" t="s">
        <v>157</v>
      </c>
      <c r="D6" s="113">
        <v>0.0414</v>
      </c>
      <c r="E6" s="113">
        <v>0.0468</v>
      </c>
      <c r="F6" s="119"/>
      <c r="G6" s="120">
        <v>38749</v>
      </c>
      <c r="H6" s="122">
        <v>2006</v>
      </c>
      <c r="I6" s="123" t="s">
        <v>156</v>
      </c>
      <c r="J6" s="124">
        <f>M5</f>
        <v>0</v>
      </c>
      <c r="K6" s="126"/>
      <c r="L6" s="126"/>
      <c r="M6" s="124">
        <f aca="true" t="shared" si="0" ref="M6:M69">J6+K6+L6</f>
        <v>0</v>
      </c>
      <c r="N6" s="110">
        <v>0</v>
      </c>
      <c r="O6" s="124">
        <f aca="true" t="shared" si="1" ref="O6:O69">J6*N6/12</f>
        <v>0</v>
      </c>
      <c r="P6" s="124">
        <f>O6+P5</f>
        <v>0</v>
      </c>
    </row>
    <row r="7" spans="3:16" ht="13.5" thickBot="1">
      <c r="C7" s="107" t="s">
        <v>158</v>
      </c>
      <c r="D7" s="113">
        <v>0.0459</v>
      </c>
      <c r="E7" s="113">
        <v>0.0505</v>
      </c>
      <c r="F7" s="119"/>
      <c r="G7" s="120">
        <v>38777</v>
      </c>
      <c r="H7" s="122">
        <v>2006</v>
      </c>
      <c r="I7" s="123" t="s">
        <v>156</v>
      </c>
      <c r="J7" s="124">
        <f aca="true" t="shared" si="2" ref="J7:J70">M6</f>
        <v>0</v>
      </c>
      <c r="K7" s="126"/>
      <c r="L7" s="126"/>
      <c r="M7" s="124">
        <f t="shared" si="0"/>
        <v>0</v>
      </c>
      <c r="N7" s="110">
        <v>0</v>
      </c>
      <c r="O7" s="124">
        <f t="shared" si="1"/>
        <v>0</v>
      </c>
      <c r="P7" s="124">
        <f aca="true" t="shared" si="3" ref="P7:P70">O7+P6</f>
        <v>0</v>
      </c>
    </row>
    <row r="8" spans="3:16" ht="13.5" thickBot="1">
      <c r="C8" s="107" t="s">
        <v>159</v>
      </c>
      <c r="D8" s="113">
        <v>0.0459</v>
      </c>
      <c r="E8" s="113">
        <v>0.0472</v>
      </c>
      <c r="F8" s="119"/>
      <c r="G8" s="120">
        <v>38808</v>
      </c>
      <c r="H8" s="122">
        <v>2006</v>
      </c>
      <c r="I8" s="123" t="s">
        <v>160</v>
      </c>
      <c r="J8" s="124">
        <f t="shared" si="2"/>
        <v>0</v>
      </c>
      <c r="K8" s="126"/>
      <c r="L8" s="126"/>
      <c r="M8" s="124">
        <f t="shared" si="0"/>
        <v>0</v>
      </c>
      <c r="N8" s="110">
        <v>0.0414</v>
      </c>
      <c r="O8" s="124">
        <f t="shared" si="1"/>
        <v>0</v>
      </c>
      <c r="P8" s="124">
        <f t="shared" si="3"/>
        <v>0</v>
      </c>
    </row>
    <row r="9" spans="3:16" ht="13.5" thickBot="1">
      <c r="C9" s="107" t="s">
        <v>161</v>
      </c>
      <c r="D9" s="113">
        <v>0.0459</v>
      </c>
      <c r="E9" s="113">
        <v>0.0472</v>
      </c>
      <c r="F9" s="119"/>
      <c r="G9" s="120">
        <v>38838</v>
      </c>
      <c r="H9" s="122">
        <v>2006</v>
      </c>
      <c r="I9" s="123" t="s">
        <v>160</v>
      </c>
      <c r="J9" s="124">
        <f t="shared" si="2"/>
        <v>0</v>
      </c>
      <c r="K9" s="126"/>
      <c r="L9" s="126"/>
      <c r="M9" s="124">
        <f t="shared" si="0"/>
        <v>0</v>
      </c>
      <c r="N9" s="110">
        <v>0.0414</v>
      </c>
      <c r="O9" s="124">
        <f t="shared" si="1"/>
        <v>0</v>
      </c>
      <c r="P9" s="124">
        <f t="shared" si="3"/>
        <v>0</v>
      </c>
    </row>
    <row r="10" spans="3:16" ht="13.5" thickBot="1">
      <c r="C10" s="107" t="s">
        <v>162</v>
      </c>
      <c r="D10" s="113">
        <v>0.0459</v>
      </c>
      <c r="E10" s="113">
        <v>0.0472</v>
      </c>
      <c r="F10" s="119"/>
      <c r="G10" s="120">
        <v>38869</v>
      </c>
      <c r="H10" s="122">
        <v>2006</v>
      </c>
      <c r="I10" s="123" t="s">
        <v>160</v>
      </c>
      <c r="J10" s="124">
        <f t="shared" si="2"/>
        <v>0</v>
      </c>
      <c r="K10" s="126"/>
      <c r="L10" s="126"/>
      <c r="M10" s="124">
        <f t="shared" si="0"/>
        <v>0</v>
      </c>
      <c r="N10" s="110">
        <v>0.0414</v>
      </c>
      <c r="O10" s="124">
        <f t="shared" si="1"/>
        <v>0</v>
      </c>
      <c r="P10" s="124">
        <f t="shared" si="3"/>
        <v>0</v>
      </c>
    </row>
    <row r="11" spans="3:16" ht="13.5" thickBot="1">
      <c r="C11" s="107" t="s">
        <v>163</v>
      </c>
      <c r="D11" s="113">
        <v>0.0459</v>
      </c>
      <c r="E11" s="113">
        <v>0.0518</v>
      </c>
      <c r="F11" s="119"/>
      <c r="G11" s="120">
        <v>38899</v>
      </c>
      <c r="H11" s="122">
        <v>2006</v>
      </c>
      <c r="I11" s="123" t="s">
        <v>164</v>
      </c>
      <c r="J11" s="124">
        <f t="shared" si="2"/>
        <v>0</v>
      </c>
      <c r="K11" s="126"/>
      <c r="L11" s="126"/>
      <c r="M11" s="124">
        <f t="shared" si="0"/>
        <v>0</v>
      </c>
      <c r="N11" s="110">
        <v>0.0459</v>
      </c>
      <c r="O11" s="124">
        <f t="shared" si="1"/>
        <v>0</v>
      </c>
      <c r="P11" s="124">
        <f t="shared" si="3"/>
        <v>0</v>
      </c>
    </row>
    <row r="12" spans="3:16" ht="13.5" thickBot="1">
      <c r="C12" s="107" t="s">
        <v>165</v>
      </c>
      <c r="D12" s="113">
        <v>0.0514</v>
      </c>
      <c r="E12" s="113">
        <v>0.0518</v>
      </c>
      <c r="F12" s="119"/>
      <c r="G12" s="120">
        <v>38930</v>
      </c>
      <c r="H12" s="122">
        <v>2006</v>
      </c>
      <c r="I12" s="123" t="s">
        <v>164</v>
      </c>
      <c r="J12" s="124">
        <f t="shared" si="2"/>
        <v>0</v>
      </c>
      <c r="K12" s="126"/>
      <c r="L12" s="126"/>
      <c r="M12" s="124">
        <f t="shared" si="0"/>
        <v>0</v>
      </c>
      <c r="N12" s="110">
        <v>0.0459</v>
      </c>
      <c r="O12" s="124">
        <f t="shared" si="1"/>
        <v>0</v>
      </c>
      <c r="P12" s="124">
        <f t="shared" si="3"/>
        <v>0</v>
      </c>
    </row>
    <row r="13" spans="3:16" ht="13.5" thickBot="1">
      <c r="C13" s="107" t="s">
        <v>166</v>
      </c>
      <c r="D13" s="113">
        <v>0.0514</v>
      </c>
      <c r="E13" s="113">
        <v>0.0518</v>
      </c>
      <c r="F13" s="119"/>
      <c r="G13" s="120">
        <v>38961</v>
      </c>
      <c r="H13" s="122">
        <v>2006</v>
      </c>
      <c r="I13" s="123" t="s">
        <v>164</v>
      </c>
      <c r="J13" s="124">
        <f t="shared" si="2"/>
        <v>0</v>
      </c>
      <c r="K13" s="126"/>
      <c r="L13" s="126"/>
      <c r="M13" s="124">
        <f t="shared" si="0"/>
        <v>0</v>
      </c>
      <c r="N13" s="110">
        <v>0.0459</v>
      </c>
      <c r="O13" s="124">
        <f t="shared" si="1"/>
        <v>0</v>
      </c>
      <c r="P13" s="124">
        <f t="shared" si="3"/>
        <v>0</v>
      </c>
    </row>
    <row r="14" spans="3:16" ht="13.5" thickBot="1">
      <c r="C14" s="107" t="s">
        <v>167</v>
      </c>
      <c r="D14" s="113">
        <v>0.0408</v>
      </c>
      <c r="E14" s="113">
        <v>0.0518</v>
      </c>
      <c r="F14" s="119"/>
      <c r="G14" s="120">
        <v>38991</v>
      </c>
      <c r="H14" s="122">
        <v>2006</v>
      </c>
      <c r="I14" s="123" t="s">
        <v>168</v>
      </c>
      <c r="J14" s="124">
        <f t="shared" si="2"/>
        <v>0</v>
      </c>
      <c r="K14" s="126"/>
      <c r="L14" s="126"/>
      <c r="M14" s="124">
        <f t="shared" si="0"/>
        <v>0</v>
      </c>
      <c r="N14" s="110">
        <v>0.0459</v>
      </c>
      <c r="O14" s="124">
        <f t="shared" si="1"/>
        <v>0</v>
      </c>
      <c r="P14" s="124">
        <f t="shared" si="3"/>
        <v>0</v>
      </c>
    </row>
    <row r="15" spans="3:16" ht="13.5" thickBot="1">
      <c r="C15" s="107" t="s">
        <v>169</v>
      </c>
      <c r="D15" s="113">
        <v>0.0335</v>
      </c>
      <c r="E15" s="113">
        <v>0.0543</v>
      </c>
      <c r="F15" s="119"/>
      <c r="G15" s="120">
        <v>39022</v>
      </c>
      <c r="H15" s="122">
        <v>2006</v>
      </c>
      <c r="I15" s="123" t="s">
        <v>168</v>
      </c>
      <c r="J15" s="124">
        <f t="shared" si="2"/>
        <v>0</v>
      </c>
      <c r="K15" s="126"/>
      <c r="L15" s="126"/>
      <c r="M15" s="124">
        <f t="shared" si="0"/>
        <v>0</v>
      </c>
      <c r="N15" s="110">
        <v>0.0459</v>
      </c>
      <c r="O15" s="124">
        <f t="shared" si="1"/>
        <v>0</v>
      </c>
      <c r="P15" s="124">
        <f t="shared" si="3"/>
        <v>0</v>
      </c>
    </row>
    <row r="16" spans="3:16" ht="13.5" thickBot="1">
      <c r="C16" s="107" t="s">
        <v>170</v>
      </c>
      <c r="D16" s="113">
        <v>0.0335</v>
      </c>
      <c r="E16" s="113">
        <v>0.0543</v>
      </c>
      <c r="F16" s="119"/>
      <c r="G16" s="120">
        <v>39052</v>
      </c>
      <c r="H16" s="122">
        <v>2006</v>
      </c>
      <c r="I16" s="123" t="s">
        <v>168</v>
      </c>
      <c r="J16" s="124">
        <f t="shared" si="2"/>
        <v>0</v>
      </c>
      <c r="K16" s="126"/>
      <c r="L16" s="126"/>
      <c r="M16" s="124">
        <f t="shared" si="0"/>
        <v>0</v>
      </c>
      <c r="N16" s="110">
        <v>0.0459</v>
      </c>
      <c r="O16" s="124">
        <f t="shared" si="1"/>
        <v>0</v>
      </c>
      <c r="P16" s="124">
        <f t="shared" si="3"/>
        <v>0</v>
      </c>
    </row>
    <row r="17" spans="3:16" ht="13.5" thickBot="1">
      <c r="C17" s="107" t="s">
        <v>171</v>
      </c>
      <c r="D17" s="113">
        <v>0.0245</v>
      </c>
      <c r="E17" s="113">
        <v>0.0661</v>
      </c>
      <c r="F17" s="119"/>
      <c r="G17" s="120">
        <v>39083</v>
      </c>
      <c r="H17" s="122">
        <v>2007</v>
      </c>
      <c r="I17" s="123" t="s">
        <v>156</v>
      </c>
      <c r="J17" s="124">
        <f t="shared" si="2"/>
        <v>0</v>
      </c>
      <c r="K17" s="126"/>
      <c r="L17" s="126"/>
      <c r="M17" s="124">
        <f t="shared" si="0"/>
        <v>0</v>
      </c>
      <c r="N17" s="110">
        <v>0.0459</v>
      </c>
      <c r="O17" s="124">
        <f t="shared" si="1"/>
        <v>0</v>
      </c>
      <c r="P17" s="124">
        <f t="shared" si="3"/>
        <v>0</v>
      </c>
    </row>
    <row r="18" spans="3:16" ht="13.5" thickBot="1">
      <c r="C18" s="107" t="s">
        <v>172</v>
      </c>
      <c r="D18" s="113">
        <v>0.01</v>
      </c>
      <c r="E18" s="113">
        <v>0.0661</v>
      </c>
      <c r="F18" s="119"/>
      <c r="G18" s="120">
        <v>39114</v>
      </c>
      <c r="H18" s="122">
        <v>2007</v>
      </c>
      <c r="I18" s="123" t="s">
        <v>156</v>
      </c>
      <c r="J18" s="124">
        <f t="shared" si="2"/>
        <v>0</v>
      </c>
      <c r="K18" s="126"/>
      <c r="L18" s="126"/>
      <c r="M18" s="124">
        <f t="shared" si="0"/>
        <v>0</v>
      </c>
      <c r="N18" s="110">
        <v>0.0459</v>
      </c>
      <c r="O18" s="124">
        <f t="shared" si="1"/>
        <v>0</v>
      </c>
      <c r="P18" s="124">
        <f t="shared" si="3"/>
        <v>0</v>
      </c>
    </row>
    <row r="19" spans="3:16" ht="13.5" thickBot="1">
      <c r="C19" s="107" t="s">
        <v>173</v>
      </c>
      <c r="D19" s="113">
        <v>0.0055</v>
      </c>
      <c r="E19" s="113">
        <v>0.0567</v>
      </c>
      <c r="F19" s="119"/>
      <c r="G19" s="120">
        <v>39142</v>
      </c>
      <c r="H19" s="122">
        <v>2007</v>
      </c>
      <c r="I19" s="123" t="s">
        <v>156</v>
      </c>
      <c r="J19" s="124">
        <f t="shared" si="2"/>
        <v>0</v>
      </c>
      <c r="K19" s="126"/>
      <c r="L19" s="126"/>
      <c r="M19" s="124">
        <f t="shared" si="0"/>
        <v>0</v>
      </c>
      <c r="N19" s="110">
        <v>0.0459</v>
      </c>
      <c r="O19" s="124">
        <f t="shared" si="1"/>
        <v>0</v>
      </c>
      <c r="P19" s="124">
        <f t="shared" si="3"/>
        <v>0</v>
      </c>
    </row>
    <row r="20" spans="3:16" ht="13.5" thickBot="1">
      <c r="C20" s="107" t="s">
        <v>174</v>
      </c>
      <c r="D20" s="113">
        <v>0.0055</v>
      </c>
      <c r="E20" s="113">
        <v>0.0466</v>
      </c>
      <c r="F20" s="119"/>
      <c r="G20" s="120">
        <v>39173</v>
      </c>
      <c r="H20" s="122">
        <v>2007</v>
      </c>
      <c r="I20" s="123" t="s">
        <v>160</v>
      </c>
      <c r="J20" s="124">
        <f t="shared" si="2"/>
        <v>0</v>
      </c>
      <c r="K20" s="126"/>
      <c r="L20" s="126"/>
      <c r="M20" s="124">
        <f t="shared" si="0"/>
        <v>0</v>
      </c>
      <c r="N20" s="110">
        <v>0.0459</v>
      </c>
      <c r="O20" s="124">
        <f t="shared" si="1"/>
        <v>0</v>
      </c>
      <c r="P20" s="124">
        <f t="shared" si="3"/>
        <v>0</v>
      </c>
    </row>
    <row r="21" spans="3:16" ht="13.5" thickBot="1">
      <c r="C21" s="107" t="s">
        <v>175</v>
      </c>
      <c r="D21" s="113">
        <v>0.0055</v>
      </c>
      <c r="E21" s="113">
        <v>0.0434</v>
      </c>
      <c r="F21" s="119"/>
      <c r="G21" s="120">
        <v>39203</v>
      </c>
      <c r="H21" s="122">
        <v>2007</v>
      </c>
      <c r="I21" s="123" t="s">
        <v>160</v>
      </c>
      <c r="J21" s="124">
        <f t="shared" si="2"/>
        <v>0</v>
      </c>
      <c r="K21" s="126"/>
      <c r="L21" s="126"/>
      <c r="M21" s="124">
        <f t="shared" si="0"/>
        <v>0</v>
      </c>
      <c r="N21" s="110">
        <v>0.0459</v>
      </c>
      <c r="O21" s="124">
        <f t="shared" si="1"/>
        <v>0</v>
      </c>
      <c r="P21" s="124">
        <f t="shared" si="3"/>
        <v>0</v>
      </c>
    </row>
    <row r="22" spans="3:16" ht="13.5" thickBot="1">
      <c r="C22" s="107" t="s">
        <v>176</v>
      </c>
      <c r="D22" s="113">
        <v>0.0055</v>
      </c>
      <c r="E22" s="113">
        <v>0.0434</v>
      </c>
      <c r="F22" s="119"/>
      <c r="G22" s="120">
        <v>39234</v>
      </c>
      <c r="H22" s="122">
        <v>2007</v>
      </c>
      <c r="I22" s="123" t="s">
        <v>160</v>
      </c>
      <c r="J22" s="124">
        <f t="shared" si="2"/>
        <v>0</v>
      </c>
      <c r="K22" s="126"/>
      <c r="L22" s="126"/>
      <c r="M22" s="124">
        <f t="shared" si="0"/>
        <v>0</v>
      </c>
      <c r="N22" s="110">
        <v>0.0459</v>
      </c>
      <c r="O22" s="124">
        <f t="shared" si="1"/>
        <v>0</v>
      </c>
      <c r="P22" s="124">
        <f t="shared" si="3"/>
        <v>0</v>
      </c>
    </row>
    <row r="23" spans="3:16" ht="13.5" thickBot="1">
      <c r="C23" s="107" t="s">
        <v>177</v>
      </c>
      <c r="D23" s="113">
        <v>0.0089</v>
      </c>
      <c r="E23" s="113">
        <v>0.0466</v>
      </c>
      <c r="F23" s="119"/>
      <c r="G23" s="120">
        <v>39264</v>
      </c>
      <c r="H23" s="122">
        <v>2007</v>
      </c>
      <c r="I23" s="123" t="s">
        <v>164</v>
      </c>
      <c r="J23" s="124">
        <f t="shared" si="2"/>
        <v>0</v>
      </c>
      <c r="K23" s="126"/>
      <c r="L23" s="126"/>
      <c r="M23" s="124">
        <f t="shared" si="0"/>
        <v>0</v>
      </c>
      <c r="N23" s="110">
        <v>0.0459</v>
      </c>
      <c r="O23" s="124">
        <f t="shared" si="1"/>
        <v>0</v>
      </c>
      <c r="P23" s="124">
        <f t="shared" si="3"/>
        <v>0</v>
      </c>
    </row>
    <row r="24" spans="3:16" ht="13.5" thickBot="1">
      <c r="C24" s="107" t="s">
        <v>178</v>
      </c>
      <c r="D24" s="113">
        <v>0.012</v>
      </c>
      <c r="E24" s="113">
        <v>0.0401</v>
      </c>
      <c r="F24" s="119"/>
      <c r="G24" s="120">
        <v>39295</v>
      </c>
      <c r="H24" s="122">
        <v>2007</v>
      </c>
      <c r="I24" s="123" t="s">
        <v>164</v>
      </c>
      <c r="J24" s="124">
        <f t="shared" si="2"/>
        <v>0</v>
      </c>
      <c r="K24" s="126"/>
      <c r="L24" s="126"/>
      <c r="M24" s="124">
        <f t="shared" si="0"/>
        <v>0</v>
      </c>
      <c r="N24" s="110">
        <v>0.0459</v>
      </c>
      <c r="O24" s="124">
        <f t="shared" si="1"/>
        <v>0</v>
      </c>
      <c r="P24" s="124">
        <f t="shared" si="3"/>
        <v>0</v>
      </c>
    </row>
    <row r="25" spans="3:16" ht="13.5" thickBot="1">
      <c r="C25" s="107" t="s">
        <v>179</v>
      </c>
      <c r="D25" s="113">
        <v>0.0147</v>
      </c>
      <c r="E25" s="113">
        <v>0.0429</v>
      </c>
      <c r="F25" s="119"/>
      <c r="G25" s="120">
        <v>39326</v>
      </c>
      <c r="H25" s="122">
        <v>2007</v>
      </c>
      <c r="I25" s="123" t="s">
        <v>164</v>
      </c>
      <c r="J25" s="124">
        <f t="shared" si="2"/>
        <v>0</v>
      </c>
      <c r="K25" s="126"/>
      <c r="L25" s="126"/>
      <c r="M25" s="124">
        <f t="shared" si="0"/>
        <v>0</v>
      </c>
      <c r="N25" s="110">
        <v>0.0459</v>
      </c>
      <c r="O25" s="124">
        <f t="shared" si="1"/>
        <v>0</v>
      </c>
      <c r="P25" s="124">
        <f t="shared" si="3"/>
        <v>0</v>
      </c>
    </row>
    <row r="26" spans="3:16" ht="13.5" thickBot="1">
      <c r="C26" s="107" t="s">
        <v>180</v>
      </c>
      <c r="D26" s="113">
        <v>0.0147</v>
      </c>
      <c r="E26" s="113">
        <v>0.0429</v>
      </c>
      <c r="F26" s="119"/>
      <c r="G26" s="120">
        <v>39356</v>
      </c>
      <c r="H26" s="122">
        <v>2007</v>
      </c>
      <c r="I26" s="123" t="s">
        <v>168</v>
      </c>
      <c r="J26" s="124">
        <f t="shared" si="2"/>
        <v>0</v>
      </c>
      <c r="K26" s="126"/>
      <c r="L26" s="126"/>
      <c r="M26" s="124">
        <f t="shared" si="0"/>
        <v>0</v>
      </c>
      <c r="N26" s="110">
        <v>0.0514</v>
      </c>
      <c r="O26" s="124">
        <f t="shared" si="1"/>
        <v>0</v>
      </c>
      <c r="P26" s="124">
        <f t="shared" si="3"/>
        <v>0</v>
      </c>
    </row>
    <row r="27" spans="3:16" ht="13.5" thickBot="1">
      <c r="C27" s="107" t="s">
        <v>181</v>
      </c>
      <c r="D27" s="113">
        <v>0.0147</v>
      </c>
      <c r="E27" s="113">
        <v>0.0429</v>
      </c>
      <c r="F27" s="119"/>
      <c r="G27" s="120">
        <v>39387</v>
      </c>
      <c r="H27" s="122">
        <v>2007</v>
      </c>
      <c r="I27" s="123" t="s">
        <v>168</v>
      </c>
      <c r="J27" s="124">
        <f t="shared" si="2"/>
        <v>0</v>
      </c>
      <c r="K27" s="126"/>
      <c r="L27" s="126"/>
      <c r="M27" s="124">
        <f t="shared" si="0"/>
        <v>0</v>
      </c>
      <c r="N27" s="110">
        <v>0.0514</v>
      </c>
      <c r="O27" s="124">
        <f t="shared" si="1"/>
        <v>0</v>
      </c>
      <c r="P27" s="124">
        <f t="shared" si="3"/>
        <v>0</v>
      </c>
    </row>
    <row r="28" spans="3:16" ht="13.5" thickBot="1">
      <c r="C28" s="107" t="s">
        <v>182</v>
      </c>
      <c r="D28" s="113">
        <v>0.0147</v>
      </c>
      <c r="E28" s="113">
        <v>0.0392</v>
      </c>
      <c r="F28" s="119"/>
      <c r="G28" s="120">
        <v>39417</v>
      </c>
      <c r="H28" s="122">
        <v>2007</v>
      </c>
      <c r="I28" s="123" t="s">
        <v>168</v>
      </c>
      <c r="J28" s="124">
        <f t="shared" si="2"/>
        <v>0</v>
      </c>
      <c r="K28" s="126"/>
      <c r="L28" s="126"/>
      <c r="M28" s="124">
        <f t="shared" si="0"/>
        <v>0</v>
      </c>
      <c r="N28" s="110">
        <v>0.0514</v>
      </c>
      <c r="O28" s="124">
        <f t="shared" si="1"/>
        <v>0</v>
      </c>
      <c r="P28" s="124">
        <f t="shared" si="3"/>
        <v>0</v>
      </c>
    </row>
    <row r="29" spans="3:16" ht="13.5" thickBot="1">
      <c r="C29" s="107" t="s">
        <v>183</v>
      </c>
      <c r="D29" s="113">
        <v>0.0147</v>
      </c>
      <c r="E29" s="113">
        <v>0.0392</v>
      </c>
      <c r="F29" s="119"/>
      <c r="G29" s="120">
        <v>39448</v>
      </c>
      <c r="H29" s="122">
        <v>2008</v>
      </c>
      <c r="I29" s="123" t="s">
        <v>156</v>
      </c>
      <c r="J29" s="124">
        <f t="shared" si="2"/>
        <v>0</v>
      </c>
      <c r="K29" s="126"/>
      <c r="L29" s="126"/>
      <c r="M29" s="124">
        <f t="shared" si="0"/>
        <v>0</v>
      </c>
      <c r="N29" s="110">
        <v>0.0514</v>
      </c>
      <c r="O29" s="124">
        <f t="shared" si="1"/>
        <v>0</v>
      </c>
      <c r="P29" s="124">
        <f t="shared" si="3"/>
        <v>0</v>
      </c>
    </row>
    <row r="30" spans="3:16" ht="13.5" thickBot="1">
      <c r="C30" s="107" t="s">
        <v>184</v>
      </c>
      <c r="D30" s="113">
        <v>0.0147</v>
      </c>
      <c r="E30" s="113">
        <v>0.0351</v>
      </c>
      <c r="F30" s="119"/>
      <c r="G30" s="120">
        <v>39479</v>
      </c>
      <c r="H30" s="122">
        <v>2008</v>
      </c>
      <c r="I30" s="123" t="s">
        <v>156</v>
      </c>
      <c r="J30" s="124">
        <f t="shared" si="2"/>
        <v>0</v>
      </c>
      <c r="K30" s="126"/>
      <c r="L30" s="126"/>
      <c r="M30" s="124">
        <f t="shared" si="0"/>
        <v>0</v>
      </c>
      <c r="N30" s="110">
        <v>0.0514</v>
      </c>
      <c r="O30" s="124">
        <f t="shared" si="1"/>
        <v>0</v>
      </c>
      <c r="P30" s="124">
        <f t="shared" si="3"/>
        <v>0</v>
      </c>
    </row>
    <row r="31" spans="3:16" ht="13.5" thickBot="1">
      <c r="C31" s="107" t="s">
        <v>185</v>
      </c>
      <c r="D31" s="113">
        <v>0.0147</v>
      </c>
      <c r="E31" s="113">
        <v>0.0351</v>
      </c>
      <c r="F31" s="119"/>
      <c r="G31" s="120">
        <v>39508</v>
      </c>
      <c r="H31" s="122">
        <v>2008</v>
      </c>
      <c r="I31" s="123" t="s">
        <v>156</v>
      </c>
      <c r="J31" s="124">
        <f t="shared" si="2"/>
        <v>0</v>
      </c>
      <c r="K31" s="126"/>
      <c r="L31" s="126"/>
      <c r="M31" s="124">
        <f t="shared" si="0"/>
        <v>0</v>
      </c>
      <c r="N31" s="110">
        <v>0.0514</v>
      </c>
      <c r="O31" s="124">
        <f t="shared" si="1"/>
        <v>0</v>
      </c>
      <c r="P31" s="124">
        <f t="shared" si="3"/>
        <v>0</v>
      </c>
    </row>
    <row r="32" spans="3:16" ht="13.5" thickBot="1">
      <c r="C32" s="107" t="s">
        <v>186</v>
      </c>
      <c r="D32" s="113">
        <v>0.0147</v>
      </c>
      <c r="E32" s="113">
        <v>0.0351</v>
      </c>
      <c r="F32" s="119"/>
      <c r="G32" s="120">
        <v>39539</v>
      </c>
      <c r="H32" s="122">
        <v>2008</v>
      </c>
      <c r="I32" s="123" t="s">
        <v>160</v>
      </c>
      <c r="J32" s="124">
        <f t="shared" si="2"/>
        <v>0</v>
      </c>
      <c r="K32" s="126"/>
      <c r="L32" s="126"/>
      <c r="M32" s="124">
        <f t="shared" si="0"/>
        <v>0</v>
      </c>
      <c r="N32" s="110">
        <v>0.0408</v>
      </c>
      <c r="O32" s="124">
        <f t="shared" si="1"/>
        <v>0</v>
      </c>
      <c r="P32" s="124">
        <f t="shared" si="3"/>
        <v>0</v>
      </c>
    </row>
    <row r="33" spans="3:16" ht="13.5" thickBot="1">
      <c r="C33" s="107" t="s">
        <v>187</v>
      </c>
      <c r="D33" s="113">
        <v>0</v>
      </c>
      <c r="E33" s="113">
        <v>0</v>
      </c>
      <c r="F33" s="119"/>
      <c r="G33" s="120">
        <v>39569</v>
      </c>
      <c r="H33" s="122">
        <v>2008</v>
      </c>
      <c r="I33" s="123" t="s">
        <v>160</v>
      </c>
      <c r="J33" s="124">
        <f t="shared" si="2"/>
        <v>0</v>
      </c>
      <c r="K33" s="126"/>
      <c r="L33" s="126"/>
      <c r="M33" s="124">
        <f t="shared" si="0"/>
        <v>0</v>
      </c>
      <c r="N33" s="110">
        <v>0.0408</v>
      </c>
      <c r="O33" s="124">
        <f t="shared" si="1"/>
        <v>0</v>
      </c>
      <c r="P33" s="124">
        <f t="shared" si="3"/>
        <v>0</v>
      </c>
    </row>
    <row r="34" spans="3:16" ht="13.5" thickBot="1">
      <c r="C34" s="107" t="s">
        <v>188</v>
      </c>
      <c r="D34" s="113">
        <v>0</v>
      </c>
      <c r="E34" s="113">
        <v>0</v>
      </c>
      <c r="F34" s="119"/>
      <c r="G34" s="120">
        <v>39600</v>
      </c>
      <c r="H34" s="122">
        <v>2008</v>
      </c>
      <c r="I34" s="123" t="s">
        <v>160</v>
      </c>
      <c r="J34" s="124">
        <f t="shared" si="2"/>
        <v>0</v>
      </c>
      <c r="K34" s="126"/>
      <c r="L34" s="126"/>
      <c r="M34" s="124">
        <f t="shared" si="0"/>
        <v>0</v>
      </c>
      <c r="N34" s="110">
        <v>0.0408</v>
      </c>
      <c r="O34" s="124">
        <f t="shared" si="1"/>
        <v>0</v>
      </c>
      <c r="P34" s="124">
        <f t="shared" si="3"/>
        <v>0</v>
      </c>
    </row>
    <row r="35" spans="3:16" ht="13.5" thickBot="1">
      <c r="C35" s="107" t="s">
        <v>189</v>
      </c>
      <c r="D35" s="113">
        <v>0</v>
      </c>
      <c r="E35" s="113">
        <v>0</v>
      </c>
      <c r="F35" s="119"/>
      <c r="G35" s="120">
        <v>39630</v>
      </c>
      <c r="H35" s="122">
        <v>2008</v>
      </c>
      <c r="I35" s="123" t="s">
        <v>164</v>
      </c>
      <c r="J35" s="124">
        <f t="shared" si="2"/>
        <v>0</v>
      </c>
      <c r="K35" s="126"/>
      <c r="L35" s="126"/>
      <c r="M35" s="124">
        <f t="shared" si="0"/>
        <v>0</v>
      </c>
      <c r="N35" s="110">
        <v>0.0335</v>
      </c>
      <c r="O35" s="124">
        <f t="shared" si="1"/>
        <v>0</v>
      </c>
      <c r="P35" s="124">
        <f t="shared" si="3"/>
        <v>0</v>
      </c>
    </row>
    <row r="36" spans="3:16" ht="13.5" thickBot="1">
      <c r="C36" s="107" t="s">
        <v>190</v>
      </c>
      <c r="D36" s="113">
        <v>0</v>
      </c>
      <c r="E36" s="113">
        <v>0</v>
      </c>
      <c r="F36" s="119"/>
      <c r="G36" s="120">
        <v>39661</v>
      </c>
      <c r="H36" s="122">
        <v>2008</v>
      </c>
      <c r="I36" s="123" t="s">
        <v>164</v>
      </c>
      <c r="J36" s="124">
        <f t="shared" si="2"/>
        <v>0</v>
      </c>
      <c r="K36" s="126"/>
      <c r="L36" s="126"/>
      <c r="M36" s="124">
        <f t="shared" si="0"/>
        <v>0</v>
      </c>
      <c r="N36" s="110">
        <v>0.0335</v>
      </c>
      <c r="O36" s="124">
        <f t="shared" si="1"/>
        <v>0</v>
      </c>
      <c r="P36" s="124">
        <f t="shared" si="3"/>
        <v>0</v>
      </c>
    </row>
    <row r="37" spans="3:16" ht="13.5" thickBot="1">
      <c r="C37" s="106"/>
      <c r="D37" s="106"/>
      <c r="E37" s="106"/>
      <c r="F37" s="119"/>
      <c r="G37" s="120">
        <v>39692</v>
      </c>
      <c r="H37" s="122">
        <v>2008</v>
      </c>
      <c r="I37" s="123" t="s">
        <v>164</v>
      </c>
      <c r="J37" s="124">
        <f t="shared" si="2"/>
        <v>0</v>
      </c>
      <c r="K37" s="126"/>
      <c r="L37" s="126"/>
      <c r="M37" s="124">
        <f t="shared" si="0"/>
        <v>0</v>
      </c>
      <c r="N37" s="110">
        <v>0.0335</v>
      </c>
      <c r="O37" s="124">
        <f t="shared" si="1"/>
        <v>0</v>
      </c>
      <c r="P37" s="124">
        <f t="shared" si="3"/>
        <v>0</v>
      </c>
    </row>
    <row r="38" spans="3:16" ht="13.5" thickBot="1">
      <c r="C38" s="106"/>
      <c r="D38" s="106"/>
      <c r="E38" s="106"/>
      <c r="F38" s="119"/>
      <c r="G38" s="120">
        <v>39722</v>
      </c>
      <c r="H38" s="122">
        <v>2008</v>
      </c>
      <c r="I38" s="123" t="s">
        <v>168</v>
      </c>
      <c r="J38" s="124">
        <f t="shared" si="2"/>
        <v>0</v>
      </c>
      <c r="K38" s="126"/>
      <c r="L38" s="126"/>
      <c r="M38" s="124">
        <f t="shared" si="0"/>
        <v>0</v>
      </c>
      <c r="N38" s="110">
        <v>0.0335</v>
      </c>
      <c r="O38" s="124">
        <f t="shared" si="1"/>
        <v>0</v>
      </c>
      <c r="P38" s="124">
        <f t="shared" si="3"/>
        <v>0</v>
      </c>
    </row>
    <row r="39" spans="3:16" ht="13.5" thickBot="1">
      <c r="C39" s="106"/>
      <c r="D39" s="106"/>
      <c r="E39" s="106"/>
      <c r="F39" s="119"/>
      <c r="G39" s="120">
        <v>39753</v>
      </c>
      <c r="H39" s="122">
        <v>2008</v>
      </c>
      <c r="I39" s="123" t="s">
        <v>168</v>
      </c>
      <c r="J39" s="124">
        <f t="shared" si="2"/>
        <v>0</v>
      </c>
      <c r="K39" s="126"/>
      <c r="L39" s="126"/>
      <c r="M39" s="124">
        <f t="shared" si="0"/>
        <v>0</v>
      </c>
      <c r="N39" s="110">
        <v>0.0335</v>
      </c>
      <c r="O39" s="124">
        <f t="shared" si="1"/>
        <v>0</v>
      </c>
      <c r="P39" s="124">
        <f t="shared" si="3"/>
        <v>0</v>
      </c>
    </row>
    <row r="40" spans="3:16" ht="13.5" thickBot="1">
      <c r="C40" s="106"/>
      <c r="D40" s="106"/>
      <c r="E40" s="106"/>
      <c r="F40" s="119"/>
      <c r="G40" s="120">
        <v>39783</v>
      </c>
      <c r="H40" s="122">
        <v>2008</v>
      </c>
      <c r="I40" s="123" t="s">
        <v>168</v>
      </c>
      <c r="J40" s="124">
        <f t="shared" si="2"/>
        <v>0</v>
      </c>
      <c r="K40" s="126"/>
      <c r="L40" s="126"/>
      <c r="M40" s="124">
        <f t="shared" si="0"/>
        <v>0</v>
      </c>
      <c r="N40" s="110">
        <v>0.0335</v>
      </c>
      <c r="O40" s="124">
        <f t="shared" si="1"/>
        <v>0</v>
      </c>
      <c r="P40" s="124">
        <f t="shared" si="3"/>
        <v>0</v>
      </c>
    </row>
    <row r="41" spans="3:16" ht="13.5" thickBot="1">
      <c r="C41" s="106"/>
      <c r="D41" s="106"/>
      <c r="E41" s="106"/>
      <c r="F41" s="119"/>
      <c r="G41" s="120">
        <v>39814</v>
      </c>
      <c r="H41" s="122">
        <v>2009</v>
      </c>
      <c r="I41" s="123" t="s">
        <v>156</v>
      </c>
      <c r="J41" s="124">
        <f t="shared" si="2"/>
        <v>0</v>
      </c>
      <c r="K41" s="126"/>
      <c r="L41" s="126"/>
      <c r="M41" s="124">
        <f t="shared" si="0"/>
        <v>0</v>
      </c>
      <c r="N41" s="110">
        <v>0.0245</v>
      </c>
      <c r="O41" s="124">
        <f t="shared" si="1"/>
        <v>0</v>
      </c>
      <c r="P41" s="124">
        <f t="shared" si="3"/>
        <v>0</v>
      </c>
    </row>
    <row r="42" spans="3:16" ht="13.5" thickBot="1">
      <c r="C42" s="106"/>
      <c r="D42" s="106"/>
      <c r="E42" s="106"/>
      <c r="F42" s="119"/>
      <c r="G42" s="120">
        <v>39845</v>
      </c>
      <c r="H42" s="122">
        <v>2009</v>
      </c>
      <c r="I42" s="123" t="s">
        <v>156</v>
      </c>
      <c r="J42" s="124">
        <f t="shared" si="2"/>
        <v>0</v>
      </c>
      <c r="K42" s="126"/>
      <c r="L42" s="126"/>
      <c r="M42" s="124">
        <f t="shared" si="0"/>
        <v>0</v>
      </c>
      <c r="N42" s="110">
        <v>0.0245</v>
      </c>
      <c r="O42" s="124">
        <f t="shared" si="1"/>
        <v>0</v>
      </c>
      <c r="P42" s="124">
        <f t="shared" si="3"/>
        <v>0</v>
      </c>
    </row>
    <row r="43" spans="3:16" ht="13.5" thickBot="1">
      <c r="C43" s="106"/>
      <c r="D43" s="106"/>
      <c r="E43" s="106"/>
      <c r="F43" s="119"/>
      <c r="G43" s="120">
        <v>39873</v>
      </c>
      <c r="H43" s="122">
        <v>2009</v>
      </c>
      <c r="I43" s="123" t="s">
        <v>156</v>
      </c>
      <c r="J43" s="124">
        <f t="shared" si="2"/>
        <v>0</v>
      </c>
      <c r="K43" s="126"/>
      <c r="L43" s="126"/>
      <c r="M43" s="124">
        <f t="shared" si="0"/>
        <v>0</v>
      </c>
      <c r="N43" s="110">
        <v>0.0245</v>
      </c>
      <c r="O43" s="124">
        <f t="shared" si="1"/>
        <v>0</v>
      </c>
      <c r="P43" s="124">
        <f t="shared" si="3"/>
        <v>0</v>
      </c>
    </row>
    <row r="44" spans="3:16" ht="13.5" thickBot="1">
      <c r="C44" s="106"/>
      <c r="D44" s="106"/>
      <c r="E44" s="106"/>
      <c r="F44" s="119"/>
      <c r="G44" s="120">
        <v>39904</v>
      </c>
      <c r="H44" s="122">
        <v>2009</v>
      </c>
      <c r="I44" s="123" t="s">
        <v>160</v>
      </c>
      <c r="J44" s="124">
        <f t="shared" si="2"/>
        <v>0</v>
      </c>
      <c r="K44" s="126"/>
      <c r="L44" s="126"/>
      <c r="M44" s="124">
        <f t="shared" si="0"/>
        <v>0</v>
      </c>
      <c r="N44" s="110">
        <v>0.01</v>
      </c>
      <c r="O44" s="124">
        <f t="shared" si="1"/>
        <v>0</v>
      </c>
      <c r="P44" s="124">
        <f t="shared" si="3"/>
        <v>0</v>
      </c>
    </row>
    <row r="45" spans="6:16" ht="13.5" thickBot="1">
      <c r="F45" s="119"/>
      <c r="G45" s="120">
        <v>39934</v>
      </c>
      <c r="H45" s="122">
        <v>2009</v>
      </c>
      <c r="I45" s="123" t="s">
        <v>160</v>
      </c>
      <c r="J45" s="124">
        <f t="shared" si="2"/>
        <v>0</v>
      </c>
      <c r="K45" s="126"/>
      <c r="L45" s="126"/>
      <c r="M45" s="124">
        <f t="shared" si="0"/>
        <v>0</v>
      </c>
      <c r="N45" s="110">
        <v>0.01</v>
      </c>
      <c r="O45" s="124">
        <f t="shared" si="1"/>
        <v>0</v>
      </c>
      <c r="P45" s="124">
        <f t="shared" si="3"/>
        <v>0</v>
      </c>
    </row>
    <row r="46" spans="6:16" ht="13.5" thickBot="1">
      <c r="F46" s="119"/>
      <c r="G46" s="120">
        <v>39965</v>
      </c>
      <c r="H46" s="122">
        <v>2009</v>
      </c>
      <c r="I46" s="123" t="s">
        <v>160</v>
      </c>
      <c r="J46" s="124">
        <f t="shared" si="2"/>
        <v>0</v>
      </c>
      <c r="K46" s="126"/>
      <c r="L46" s="126"/>
      <c r="M46" s="124">
        <f t="shared" si="0"/>
        <v>0</v>
      </c>
      <c r="N46" s="110">
        <v>0.01</v>
      </c>
      <c r="O46" s="124">
        <f t="shared" si="1"/>
        <v>0</v>
      </c>
      <c r="P46" s="124">
        <f t="shared" si="3"/>
        <v>0</v>
      </c>
    </row>
    <row r="47" spans="6:16" ht="13.5" thickBot="1">
      <c r="F47" s="119"/>
      <c r="G47" s="120">
        <v>39995</v>
      </c>
      <c r="H47" s="122">
        <v>2009</v>
      </c>
      <c r="I47" s="123" t="s">
        <v>164</v>
      </c>
      <c r="J47" s="124">
        <f t="shared" si="2"/>
        <v>0</v>
      </c>
      <c r="K47" s="126"/>
      <c r="L47" s="126"/>
      <c r="M47" s="124">
        <f t="shared" si="0"/>
        <v>0</v>
      </c>
      <c r="N47" s="110">
        <v>0.0055</v>
      </c>
      <c r="O47" s="124">
        <f t="shared" si="1"/>
        <v>0</v>
      </c>
      <c r="P47" s="124">
        <f t="shared" si="3"/>
        <v>0</v>
      </c>
    </row>
    <row r="48" spans="6:16" ht="13.5" thickBot="1">
      <c r="F48" s="119"/>
      <c r="G48" s="120">
        <v>40026</v>
      </c>
      <c r="H48" s="122">
        <v>2009</v>
      </c>
      <c r="I48" s="123" t="s">
        <v>164</v>
      </c>
      <c r="J48" s="124">
        <f t="shared" si="2"/>
        <v>0</v>
      </c>
      <c r="K48" s="126"/>
      <c r="L48" s="126"/>
      <c r="M48" s="124">
        <f t="shared" si="0"/>
        <v>0</v>
      </c>
      <c r="N48" s="110">
        <v>0.0055</v>
      </c>
      <c r="O48" s="124">
        <f t="shared" si="1"/>
        <v>0</v>
      </c>
      <c r="P48" s="124">
        <f t="shared" si="3"/>
        <v>0</v>
      </c>
    </row>
    <row r="49" spans="6:16" ht="13.5" thickBot="1">
      <c r="F49" s="119"/>
      <c r="G49" s="120">
        <v>40057</v>
      </c>
      <c r="H49" s="122">
        <v>2009</v>
      </c>
      <c r="I49" s="123" t="s">
        <v>164</v>
      </c>
      <c r="J49" s="124">
        <f t="shared" si="2"/>
        <v>0</v>
      </c>
      <c r="K49" s="126"/>
      <c r="L49" s="126"/>
      <c r="M49" s="124">
        <f t="shared" si="0"/>
        <v>0</v>
      </c>
      <c r="N49" s="110">
        <v>0.0055</v>
      </c>
      <c r="O49" s="124">
        <f t="shared" si="1"/>
        <v>0</v>
      </c>
      <c r="P49" s="124">
        <f t="shared" si="3"/>
        <v>0</v>
      </c>
    </row>
    <row r="50" spans="6:16" ht="13.5" thickBot="1">
      <c r="F50" s="119"/>
      <c r="G50" s="120">
        <v>40087</v>
      </c>
      <c r="H50" s="122">
        <v>2009</v>
      </c>
      <c r="I50" s="123" t="s">
        <v>168</v>
      </c>
      <c r="J50" s="124">
        <f t="shared" si="2"/>
        <v>0</v>
      </c>
      <c r="K50" s="126"/>
      <c r="L50" s="126"/>
      <c r="M50" s="124">
        <f t="shared" si="0"/>
        <v>0</v>
      </c>
      <c r="N50" s="110">
        <v>0.0055</v>
      </c>
      <c r="O50" s="124">
        <f t="shared" si="1"/>
        <v>0</v>
      </c>
      <c r="P50" s="124">
        <f t="shared" si="3"/>
        <v>0</v>
      </c>
    </row>
    <row r="51" spans="6:16" ht="13.5" thickBot="1">
      <c r="F51" s="119"/>
      <c r="G51" s="120">
        <v>40118</v>
      </c>
      <c r="H51" s="122">
        <v>2009</v>
      </c>
      <c r="I51" s="123" t="s">
        <v>168</v>
      </c>
      <c r="J51" s="124">
        <f t="shared" si="2"/>
        <v>0</v>
      </c>
      <c r="K51" s="126"/>
      <c r="L51" s="126"/>
      <c r="M51" s="124">
        <f t="shared" si="0"/>
        <v>0</v>
      </c>
      <c r="N51" s="110">
        <v>0.0055</v>
      </c>
      <c r="O51" s="124">
        <f t="shared" si="1"/>
        <v>0</v>
      </c>
      <c r="P51" s="124">
        <f t="shared" si="3"/>
        <v>0</v>
      </c>
    </row>
    <row r="52" spans="6:16" ht="13.5" thickBot="1">
      <c r="F52" s="119"/>
      <c r="G52" s="120">
        <v>40148</v>
      </c>
      <c r="H52" s="122">
        <v>2009</v>
      </c>
      <c r="I52" s="123" t="s">
        <v>168</v>
      </c>
      <c r="J52" s="124">
        <f t="shared" si="2"/>
        <v>0</v>
      </c>
      <c r="K52" s="126"/>
      <c r="L52" s="126"/>
      <c r="M52" s="124">
        <f t="shared" si="0"/>
        <v>0</v>
      </c>
      <c r="N52" s="110">
        <v>0.0055</v>
      </c>
      <c r="O52" s="124">
        <f t="shared" si="1"/>
        <v>0</v>
      </c>
      <c r="P52" s="124">
        <f t="shared" si="3"/>
        <v>0</v>
      </c>
    </row>
    <row r="53" spans="6:17" ht="13.5" thickBot="1">
      <c r="F53" s="119"/>
      <c r="G53" s="120">
        <v>40179</v>
      </c>
      <c r="H53" s="122">
        <v>2010</v>
      </c>
      <c r="I53" s="123" t="s">
        <v>156</v>
      </c>
      <c r="J53" s="124">
        <f t="shared" si="2"/>
        <v>0</v>
      </c>
      <c r="K53" s="126">
        <f>'[1]OM&amp;A'!B5</f>
        <v>18115.921399735464</v>
      </c>
      <c r="L53" s="126">
        <f>-'[1]Depreciation'!E19</f>
        <v>104851.87772222224</v>
      </c>
      <c r="M53" s="124">
        <f t="shared" si="0"/>
        <v>122967.79912195771</v>
      </c>
      <c r="N53" s="110">
        <v>0.0055</v>
      </c>
      <c r="O53" s="124">
        <f t="shared" si="1"/>
        <v>0</v>
      </c>
      <c r="P53" s="124">
        <f t="shared" si="3"/>
        <v>0</v>
      </c>
      <c r="Q53" s="129"/>
    </row>
    <row r="54" spans="6:16" ht="13.5" thickBot="1">
      <c r="F54" s="119"/>
      <c r="G54" s="120">
        <v>40210</v>
      </c>
      <c r="H54" s="122">
        <v>2010</v>
      </c>
      <c r="I54" s="123" t="s">
        <v>156</v>
      </c>
      <c r="J54" s="124">
        <f t="shared" si="2"/>
        <v>122967.79912195771</v>
      </c>
      <c r="K54" s="127">
        <f>'[1]OM&amp;A'!B6</f>
        <v>19844.98329647008</v>
      </c>
      <c r="L54" s="127">
        <f>-'[1]Depreciation'!E20</f>
        <v>104851.87772222224</v>
      </c>
      <c r="M54" s="124">
        <f t="shared" si="0"/>
        <v>247664.66014065003</v>
      </c>
      <c r="N54" s="110">
        <v>0.0055</v>
      </c>
      <c r="O54" s="124">
        <f t="shared" si="1"/>
        <v>56.36024126423061</v>
      </c>
      <c r="P54" s="124">
        <f t="shared" si="3"/>
        <v>56.36024126423061</v>
      </c>
    </row>
    <row r="55" spans="6:16" ht="13.5" thickBot="1">
      <c r="F55" s="119"/>
      <c r="G55" s="120">
        <v>40238</v>
      </c>
      <c r="H55" s="122">
        <v>2010</v>
      </c>
      <c r="I55" s="123" t="s">
        <v>156</v>
      </c>
      <c r="J55" s="124">
        <f t="shared" si="2"/>
        <v>247664.66014065003</v>
      </c>
      <c r="K55" s="127">
        <f>'[1]OM&amp;A'!B7</f>
        <v>22228.12378855781</v>
      </c>
      <c r="L55" s="127">
        <f>-'[1]Depreciation'!E21</f>
        <v>104851.87772222224</v>
      </c>
      <c r="M55" s="124">
        <f t="shared" si="0"/>
        <v>374744.66165143007</v>
      </c>
      <c r="N55" s="110">
        <v>0.0055</v>
      </c>
      <c r="O55" s="124">
        <f t="shared" si="1"/>
        <v>113.51296923113125</v>
      </c>
      <c r="P55" s="124">
        <f t="shared" si="3"/>
        <v>169.87321049536186</v>
      </c>
    </row>
    <row r="56" spans="6:16" ht="13.5" thickBot="1">
      <c r="F56" s="119"/>
      <c r="G56" s="120">
        <v>40269</v>
      </c>
      <c r="H56" s="122">
        <v>2010</v>
      </c>
      <c r="I56" s="123" t="s">
        <v>160</v>
      </c>
      <c r="J56" s="124">
        <f t="shared" si="2"/>
        <v>374744.66165143007</v>
      </c>
      <c r="K56" s="127">
        <f>'[1]OM&amp;A'!B8</f>
        <v>49255.2352841179</v>
      </c>
      <c r="L56" s="127">
        <f>-'[1]Depreciation'!E22</f>
        <v>104851.87772222224</v>
      </c>
      <c r="M56" s="124">
        <f t="shared" si="0"/>
        <v>528851.7746577703</v>
      </c>
      <c r="N56" s="110">
        <v>0.0055</v>
      </c>
      <c r="O56" s="124">
        <f t="shared" si="1"/>
        <v>171.7579699235721</v>
      </c>
      <c r="P56" s="124">
        <f t="shared" si="3"/>
        <v>341.6311804189339</v>
      </c>
    </row>
    <row r="57" spans="6:16" ht="13.5" thickBot="1">
      <c r="F57" s="119"/>
      <c r="G57" s="120">
        <v>40299</v>
      </c>
      <c r="H57" s="122">
        <v>2010</v>
      </c>
      <c r="I57" s="123" t="s">
        <v>160</v>
      </c>
      <c r="J57" s="124">
        <f t="shared" si="2"/>
        <v>528851.7746577703</v>
      </c>
      <c r="K57" s="127">
        <f>'[1]OM&amp;A'!B9</f>
        <v>21102.586116282582</v>
      </c>
      <c r="L57" s="127">
        <f>-'[1]Depreciation'!E23</f>
        <v>104851.87772222224</v>
      </c>
      <c r="M57" s="124">
        <f t="shared" si="0"/>
        <v>654806.2384962752</v>
      </c>
      <c r="N57" s="110">
        <v>0.0055</v>
      </c>
      <c r="O57" s="124">
        <f t="shared" si="1"/>
        <v>242.39039671814473</v>
      </c>
      <c r="P57" s="124">
        <f t="shared" si="3"/>
        <v>584.0215771370787</v>
      </c>
    </row>
    <row r="58" spans="6:16" ht="13.5" thickBot="1">
      <c r="F58" s="119"/>
      <c r="G58" s="120">
        <v>40330</v>
      </c>
      <c r="H58" s="122">
        <v>2010</v>
      </c>
      <c r="I58" s="123" t="s">
        <v>160</v>
      </c>
      <c r="J58" s="124">
        <f t="shared" si="2"/>
        <v>654806.2384962752</v>
      </c>
      <c r="K58" s="127">
        <f>'[1]OM&amp;A'!B10</f>
        <v>42265.12059245184</v>
      </c>
      <c r="L58" s="127">
        <f>-'[1]Depreciation'!E24</f>
        <v>104851.87772222224</v>
      </c>
      <c r="M58" s="124">
        <f t="shared" si="0"/>
        <v>801923.2368109493</v>
      </c>
      <c r="N58" s="110">
        <v>0.0055</v>
      </c>
      <c r="O58" s="124">
        <f t="shared" si="1"/>
        <v>300.11952597745943</v>
      </c>
      <c r="P58" s="124">
        <f t="shared" si="3"/>
        <v>884.141103114538</v>
      </c>
    </row>
    <row r="59" spans="6:16" ht="13.5" thickBot="1">
      <c r="F59" s="119"/>
      <c r="G59" s="120">
        <v>40360</v>
      </c>
      <c r="H59" s="122">
        <v>2010</v>
      </c>
      <c r="I59" s="123" t="s">
        <v>164</v>
      </c>
      <c r="J59" s="124">
        <f t="shared" si="2"/>
        <v>801923.2368109493</v>
      </c>
      <c r="K59" s="127">
        <f>'[1]OM&amp;A'!B11</f>
        <v>33918.13775823501</v>
      </c>
      <c r="L59" s="127">
        <f>-'[1]Depreciation'!E25</f>
        <v>104851.87772222224</v>
      </c>
      <c r="M59" s="124">
        <f t="shared" si="0"/>
        <v>940693.2522914065</v>
      </c>
      <c r="N59" s="110">
        <v>0.0089</v>
      </c>
      <c r="O59" s="124">
        <f t="shared" si="1"/>
        <v>594.7597339681207</v>
      </c>
      <c r="P59" s="124">
        <f t="shared" si="3"/>
        <v>1478.9008370826587</v>
      </c>
    </row>
    <row r="60" spans="6:16" ht="13.5" thickBot="1">
      <c r="F60" s="119"/>
      <c r="G60" s="120">
        <v>40391</v>
      </c>
      <c r="H60" s="122">
        <v>2010</v>
      </c>
      <c r="I60" s="123" t="s">
        <v>164</v>
      </c>
      <c r="J60" s="124">
        <f t="shared" si="2"/>
        <v>940693.2522914065</v>
      </c>
      <c r="K60" s="127">
        <f>'[1]OM&amp;A'!B12</f>
        <v>12104.82049652781</v>
      </c>
      <c r="L60" s="127">
        <f>-'[1]Depreciation'!E26</f>
        <v>104851.87772222224</v>
      </c>
      <c r="M60" s="124">
        <f t="shared" si="0"/>
        <v>1057649.9505101566</v>
      </c>
      <c r="N60" s="110">
        <v>0.0089</v>
      </c>
      <c r="O60" s="124">
        <f t="shared" si="1"/>
        <v>697.6808287827931</v>
      </c>
      <c r="P60" s="124">
        <f t="shared" si="3"/>
        <v>2176.5816658654517</v>
      </c>
    </row>
    <row r="61" spans="6:16" ht="13.5" thickBot="1">
      <c r="F61" s="119"/>
      <c r="G61" s="120">
        <v>40422</v>
      </c>
      <c r="H61" s="122">
        <v>2010</v>
      </c>
      <c r="I61" s="123" t="s">
        <v>164</v>
      </c>
      <c r="J61" s="124">
        <f t="shared" si="2"/>
        <v>1057649.9505101566</v>
      </c>
      <c r="K61" s="127">
        <f>'[1]OM&amp;A'!B13</f>
        <v>20493.36405112578</v>
      </c>
      <c r="L61" s="127">
        <f>-'[1]Depreciation'!E27</f>
        <v>104851.87772222224</v>
      </c>
      <c r="M61" s="124">
        <f t="shared" si="0"/>
        <v>1182995.1922835046</v>
      </c>
      <c r="N61" s="110">
        <v>0.0089</v>
      </c>
      <c r="O61" s="124">
        <f t="shared" si="1"/>
        <v>784.4237132950328</v>
      </c>
      <c r="P61" s="124">
        <f t="shared" si="3"/>
        <v>2961.0053791604846</v>
      </c>
    </row>
    <row r="62" spans="6:16" ht="13.5" thickBot="1">
      <c r="F62" s="119"/>
      <c r="G62" s="120">
        <v>40452</v>
      </c>
      <c r="H62" s="122">
        <v>2010</v>
      </c>
      <c r="I62" s="123" t="s">
        <v>168</v>
      </c>
      <c r="J62" s="124">
        <f t="shared" si="2"/>
        <v>1182995.1922835046</v>
      </c>
      <c r="K62" s="127">
        <f>'[1]OM&amp;A'!B14</f>
        <v>22309.141124748814</v>
      </c>
      <c r="L62" s="127">
        <f>-'[1]Depreciation'!E28</f>
        <v>104851.87772222224</v>
      </c>
      <c r="M62" s="124">
        <f t="shared" si="0"/>
        <v>1310156.2111304756</v>
      </c>
      <c r="N62" s="110">
        <v>0.012</v>
      </c>
      <c r="O62" s="124">
        <f t="shared" si="1"/>
        <v>1182.9951922835046</v>
      </c>
      <c r="P62" s="124">
        <f t="shared" si="3"/>
        <v>4144.000571443989</v>
      </c>
    </row>
    <row r="63" spans="6:16" ht="13.5" thickBot="1">
      <c r="F63" s="119"/>
      <c r="G63" s="120">
        <v>40483</v>
      </c>
      <c r="H63" s="122">
        <v>2010</v>
      </c>
      <c r="I63" s="123" t="s">
        <v>168</v>
      </c>
      <c r="J63" s="124">
        <f t="shared" si="2"/>
        <v>1310156.2111304756</v>
      </c>
      <c r="K63" s="127">
        <f>'[1]OM&amp;A'!B15</f>
        <v>21161.082085403257</v>
      </c>
      <c r="L63" s="127">
        <f>-'[1]Depreciation'!E29</f>
        <v>104851.87772222224</v>
      </c>
      <c r="M63" s="124">
        <f t="shared" si="0"/>
        <v>1436169.1709381011</v>
      </c>
      <c r="N63" s="110">
        <v>0.012</v>
      </c>
      <c r="O63" s="124">
        <f t="shared" si="1"/>
        <v>1310.1562111304756</v>
      </c>
      <c r="P63" s="124">
        <f t="shared" si="3"/>
        <v>5454.156782574465</v>
      </c>
    </row>
    <row r="64" spans="6:16" ht="13.5" thickBot="1">
      <c r="F64" s="119"/>
      <c r="G64" s="120">
        <v>40513</v>
      </c>
      <c r="H64" s="122">
        <v>2010</v>
      </c>
      <c r="I64" s="123" t="s">
        <v>168</v>
      </c>
      <c r="J64" s="124">
        <f t="shared" si="2"/>
        <v>1436169.1709381011</v>
      </c>
      <c r="K64" s="127">
        <f>'[1]OM&amp;A'!B16</f>
        <v>43115.51400634363</v>
      </c>
      <c r="L64" s="127">
        <f>-'[1]Depreciation'!E30</f>
        <v>104851.87772222224</v>
      </c>
      <c r="M64" s="124">
        <f t="shared" si="0"/>
        <v>1584136.5626666672</v>
      </c>
      <c r="N64" s="110">
        <v>0.012</v>
      </c>
      <c r="O64" s="124">
        <f>J64*N64/12</f>
        <v>1436.1691709381012</v>
      </c>
      <c r="P64" s="124">
        <f t="shared" si="3"/>
        <v>6890.325953512566</v>
      </c>
    </row>
    <row r="65" spans="6:16" ht="13.5" thickBot="1">
      <c r="F65" s="119"/>
      <c r="G65" s="120">
        <v>40544</v>
      </c>
      <c r="H65" s="122">
        <v>2011</v>
      </c>
      <c r="I65" s="123" t="s">
        <v>156</v>
      </c>
      <c r="J65" s="124">
        <f>M64</f>
        <v>1584136.5626666672</v>
      </c>
      <c r="K65" s="126"/>
      <c r="L65" s="126"/>
      <c r="M65" s="124">
        <f t="shared" si="0"/>
        <v>1584136.5626666672</v>
      </c>
      <c r="N65" s="110">
        <v>0.0147</v>
      </c>
      <c r="O65" s="124">
        <f>J65*N65/12</f>
        <v>1940.567289266667</v>
      </c>
      <c r="P65" s="124">
        <f t="shared" si="3"/>
        <v>8830.893242779233</v>
      </c>
    </row>
    <row r="66" spans="6:16" ht="13.5" thickBot="1">
      <c r="F66" s="119"/>
      <c r="G66" s="120">
        <v>40575</v>
      </c>
      <c r="H66" s="122">
        <v>2011</v>
      </c>
      <c r="I66" s="123" t="s">
        <v>156</v>
      </c>
      <c r="J66" s="124">
        <f t="shared" si="2"/>
        <v>1584136.5626666672</v>
      </c>
      <c r="K66" s="126"/>
      <c r="L66" s="126"/>
      <c r="M66" s="124">
        <f t="shared" si="0"/>
        <v>1584136.5626666672</v>
      </c>
      <c r="N66" s="110">
        <v>0.0147</v>
      </c>
      <c r="O66" s="124">
        <f t="shared" si="1"/>
        <v>1940.567289266667</v>
      </c>
      <c r="P66" s="124">
        <f t="shared" si="3"/>
        <v>10771.460532045901</v>
      </c>
    </row>
    <row r="67" spans="6:16" ht="13.5" thickBot="1">
      <c r="F67" s="119"/>
      <c r="G67" s="120">
        <v>40603</v>
      </c>
      <c r="H67" s="122">
        <v>2011</v>
      </c>
      <c r="I67" s="123" t="s">
        <v>156</v>
      </c>
      <c r="J67" s="124">
        <f t="shared" si="2"/>
        <v>1584136.5626666672</v>
      </c>
      <c r="K67" s="126"/>
      <c r="L67" s="126"/>
      <c r="M67" s="124">
        <f t="shared" si="0"/>
        <v>1584136.5626666672</v>
      </c>
      <c r="N67" s="110">
        <v>0.0147</v>
      </c>
      <c r="O67" s="124">
        <f t="shared" si="1"/>
        <v>1940.567289266667</v>
      </c>
      <c r="P67" s="124">
        <f t="shared" si="3"/>
        <v>12712.027821312568</v>
      </c>
    </row>
    <row r="68" spans="6:16" ht="13.5" thickBot="1">
      <c r="F68" s="119"/>
      <c r="G68" s="120">
        <v>40634</v>
      </c>
      <c r="H68" s="122">
        <v>2011</v>
      </c>
      <c r="I68" s="123" t="s">
        <v>160</v>
      </c>
      <c r="J68" s="124">
        <f t="shared" si="2"/>
        <v>1584136.5626666672</v>
      </c>
      <c r="K68" s="126"/>
      <c r="L68" s="126"/>
      <c r="M68" s="124">
        <f t="shared" si="0"/>
        <v>1584136.5626666672</v>
      </c>
      <c r="N68" s="110">
        <v>0.0147</v>
      </c>
      <c r="O68" s="124">
        <f t="shared" si="1"/>
        <v>1940.567289266667</v>
      </c>
      <c r="P68" s="124">
        <f t="shared" si="3"/>
        <v>14652.595110579234</v>
      </c>
    </row>
    <row r="69" spans="6:16" ht="13.5" thickBot="1">
      <c r="F69" s="119"/>
      <c r="G69" s="120">
        <v>40664</v>
      </c>
      <c r="H69" s="122">
        <v>2011</v>
      </c>
      <c r="I69" s="123" t="s">
        <v>160</v>
      </c>
      <c r="J69" s="124">
        <f t="shared" si="2"/>
        <v>1584136.5626666672</v>
      </c>
      <c r="K69" s="126"/>
      <c r="L69" s="126"/>
      <c r="M69" s="124">
        <f t="shared" si="0"/>
        <v>1584136.5626666672</v>
      </c>
      <c r="N69" s="110">
        <v>0.0147</v>
      </c>
      <c r="O69" s="124">
        <f t="shared" si="1"/>
        <v>1940.567289266667</v>
      </c>
      <c r="P69" s="124">
        <f t="shared" si="3"/>
        <v>16593.1623998459</v>
      </c>
    </row>
    <row r="70" spans="6:16" ht="13.5" thickBot="1">
      <c r="F70" s="119"/>
      <c r="G70" s="120">
        <v>40695</v>
      </c>
      <c r="H70" s="122">
        <v>2011</v>
      </c>
      <c r="I70" s="123" t="s">
        <v>160</v>
      </c>
      <c r="J70" s="124">
        <f t="shared" si="2"/>
        <v>1584136.5626666672</v>
      </c>
      <c r="K70" s="126"/>
      <c r="L70" s="126"/>
      <c r="M70" s="124">
        <f aca="true" t="shared" si="4" ref="M70:M100">J70+K70+L70</f>
        <v>1584136.5626666672</v>
      </c>
      <c r="N70" s="110">
        <v>0.0147</v>
      </c>
      <c r="O70" s="124">
        <f aca="true" t="shared" si="5" ref="O70:O100">J70*N70/12</f>
        <v>1940.567289266667</v>
      </c>
      <c r="P70" s="124">
        <f t="shared" si="3"/>
        <v>18533.729689112566</v>
      </c>
    </row>
    <row r="71" spans="6:16" ht="13.5" thickBot="1">
      <c r="F71" s="119"/>
      <c r="G71" s="120">
        <v>40725</v>
      </c>
      <c r="H71" s="122">
        <v>2011</v>
      </c>
      <c r="I71" s="123" t="s">
        <v>164</v>
      </c>
      <c r="J71" s="124">
        <f aca="true" t="shared" si="6" ref="J71:J100">M70</f>
        <v>1584136.5626666672</v>
      </c>
      <c r="K71" s="126"/>
      <c r="L71" s="126"/>
      <c r="M71" s="124">
        <f t="shared" si="4"/>
        <v>1584136.5626666672</v>
      </c>
      <c r="N71" s="110">
        <v>0.0147</v>
      </c>
      <c r="O71" s="124">
        <f t="shared" si="5"/>
        <v>1940.567289266667</v>
      </c>
      <c r="P71" s="124">
        <f aca="true" t="shared" si="7" ref="P71:P100">O71+P70</f>
        <v>20474.296978379232</v>
      </c>
    </row>
    <row r="72" spans="6:16" ht="13.5" thickBot="1">
      <c r="F72" s="119"/>
      <c r="G72" s="120">
        <v>40756</v>
      </c>
      <c r="H72" s="122">
        <v>2011</v>
      </c>
      <c r="I72" s="123" t="s">
        <v>164</v>
      </c>
      <c r="J72" s="124">
        <f t="shared" si="6"/>
        <v>1584136.5626666672</v>
      </c>
      <c r="K72" s="126"/>
      <c r="L72" s="126"/>
      <c r="M72" s="124">
        <f t="shared" si="4"/>
        <v>1584136.5626666672</v>
      </c>
      <c r="N72" s="110">
        <v>0.0147</v>
      </c>
      <c r="O72" s="124">
        <f t="shared" si="5"/>
        <v>1940.567289266667</v>
      </c>
      <c r="P72" s="124">
        <f t="shared" si="7"/>
        <v>22414.8642676459</v>
      </c>
    </row>
    <row r="73" spans="6:16" ht="13.5" thickBot="1">
      <c r="F73" s="119"/>
      <c r="G73" s="120">
        <v>40787</v>
      </c>
      <c r="H73" s="122">
        <v>2011</v>
      </c>
      <c r="I73" s="123" t="s">
        <v>164</v>
      </c>
      <c r="J73" s="124">
        <f t="shared" si="6"/>
        <v>1584136.5626666672</v>
      </c>
      <c r="K73" s="126"/>
      <c r="L73" s="126"/>
      <c r="M73" s="124">
        <f t="shared" si="4"/>
        <v>1584136.5626666672</v>
      </c>
      <c r="N73" s="110">
        <v>0.0147</v>
      </c>
      <c r="O73" s="124">
        <f t="shared" si="5"/>
        <v>1940.567289266667</v>
      </c>
      <c r="P73" s="124">
        <f t="shared" si="7"/>
        <v>24355.431556912565</v>
      </c>
    </row>
    <row r="74" spans="6:16" ht="13.5" thickBot="1">
      <c r="F74" s="119"/>
      <c r="G74" s="120">
        <v>40817</v>
      </c>
      <c r="H74" s="122">
        <v>2011</v>
      </c>
      <c r="I74" s="123" t="s">
        <v>168</v>
      </c>
      <c r="J74" s="124">
        <f t="shared" si="6"/>
        <v>1584136.5626666672</v>
      </c>
      <c r="K74" s="126"/>
      <c r="L74" s="126"/>
      <c r="M74" s="124">
        <f t="shared" si="4"/>
        <v>1584136.5626666672</v>
      </c>
      <c r="N74" s="110">
        <v>0.0147</v>
      </c>
      <c r="O74" s="124">
        <f t="shared" si="5"/>
        <v>1940.567289266667</v>
      </c>
      <c r="P74" s="124">
        <f t="shared" si="7"/>
        <v>26295.99884617923</v>
      </c>
    </row>
    <row r="75" spans="6:16" ht="13.5" thickBot="1">
      <c r="F75" s="119"/>
      <c r="G75" s="120">
        <v>40848</v>
      </c>
      <c r="H75" s="122">
        <v>2011</v>
      </c>
      <c r="I75" s="123" t="s">
        <v>168</v>
      </c>
      <c r="J75" s="124">
        <f t="shared" si="6"/>
        <v>1584136.5626666672</v>
      </c>
      <c r="K75" s="126"/>
      <c r="L75" s="126"/>
      <c r="M75" s="124">
        <f t="shared" si="4"/>
        <v>1584136.5626666672</v>
      </c>
      <c r="N75" s="110">
        <v>0.0147</v>
      </c>
      <c r="O75" s="124">
        <f t="shared" si="5"/>
        <v>1940.567289266667</v>
      </c>
      <c r="P75" s="124">
        <f t="shared" si="7"/>
        <v>28236.566135445897</v>
      </c>
    </row>
    <row r="76" spans="6:16" ht="13.5" thickBot="1">
      <c r="F76" s="119"/>
      <c r="G76" s="120">
        <v>40878</v>
      </c>
      <c r="H76" s="122">
        <v>2011</v>
      </c>
      <c r="I76" s="123" t="s">
        <v>168</v>
      </c>
      <c r="J76" s="124">
        <f t="shared" si="6"/>
        <v>1584136.5626666672</v>
      </c>
      <c r="K76" s="126"/>
      <c r="L76" s="126"/>
      <c r="M76" s="124">
        <f t="shared" si="4"/>
        <v>1584136.5626666672</v>
      </c>
      <c r="N76" s="110">
        <v>0.0147</v>
      </c>
      <c r="O76" s="124">
        <f t="shared" si="5"/>
        <v>1940.567289266667</v>
      </c>
      <c r="P76" s="124">
        <f t="shared" si="7"/>
        <v>30177.133424712563</v>
      </c>
    </row>
    <row r="77" spans="6:16" ht="13.5" thickBot="1">
      <c r="F77" s="119"/>
      <c r="G77" s="120">
        <v>40909</v>
      </c>
      <c r="H77" s="122">
        <v>2012</v>
      </c>
      <c r="I77" s="123" t="s">
        <v>156</v>
      </c>
      <c r="J77" s="124">
        <f t="shared" si="6"/>
        <v>1584136.5626666672</v>
      </c>
      <c r="K77" s="126"/>
      <c r="L77" s="126"/>
      <c r="M77" s="124">
        <f t="shared" si="4"/>
        <v>1584136.5626666672</v>
      </c>
      <c r="N77" s="110">
        <v>0.0147</v>
      </c>
      <c r="O77" s="124">
        <f t="shared" si="5"/>
        <v>1940.567289266667</v>
      </c>
      <c r="P77" s="124">
        <f t="shared" si="7"/>
        <v>32117.70071397923</v>
      </c>
    </row>
    <row r="78" spans="6:16" ht="13.5" thickBot="1">
      <c r="F78" s="119"/>
      <c r="G78" s="120">
        <v>40940</v>
      </c>
      <c r="H78" s="122">
        <v>2012</v>
      </c>
      <c r="I78" s="123" t="s">
        <v>156</v>
      </c>
      <c r="J78" s="124">
        <f t="shared" si="6"/>
        <v>1584136.5626666672</v>
      </c>
      <c r="K78" s="126"/>
      <c r="L78" s="126"/>
      <c r="M78" s="124">
        <f t="shared" si="4"/>
        <v>1584136.5626666672</v>
      </c>
      <c r="N78" s="110">
        <v>0.0147</v>
      </c>
      <c r="O78" s="124">
        <f t="shared" si="5"/>
        <v>1940.567289266667</v>
      </c>
      <c r="P78" s="124">
        <f t="shared" si="7"/>
        <v>34058.268003245896</v>
      </c>
    </row>
    <row r="79" spans="6:16" ht="13.5" thickBot="1">
      <c r="F79" s="119"/>
      <c r="G79" s="120">
        <v>40969</v>
      </c>
      <c r="H79" s="122">
        <v>2012</v>
      </c>
      <c r="I79" s="123" t="s">
        <v>156</v>
      </c>
      <c r="J79" s="124">
        <f t="shared" si="6"/>
        <v>1584136.5626666672</v>
      </c>
      <c r="K79" s="126"/>
      <c r="L79" s="126"/>
      <c r="M79" s="124">
        <f t="shared" si="4"/>
        <v>1584136.5626666672</v>
      </c>
      <c r="N79" s="110">
        <v>0.0147</v>
      </c>
      <c r="O79" s="124">
        <f t="shared" si="5"/>
        <v>1940.567289266667</v>
      </c>
      <c r="P79" s="124">
        <f t="shared" si="7"/>
        <v>35998.835292512566</v>
      </c>
    </row>
    <row r="80" spans="6:16" ht="13.5" thickBot="1">
      <c r="F80" s="119"/>
      <c r="G80" s="120">
        <v>41000</v>
      </c>
      <c r="H80" s="122">
        <v>2012</v>
      </c>
      <c r="I80" s="123" t="s">
        <v>160</v>
      </c>
      <c r="J80" s="124">
        <f t="shared" si="6"/>
        <v>1584136.5626666672</v>
      </c>
      <c r="K80" s="126"/>
      <c r="L80" s="126"/>
      <c r="M80" s="124">
        <f t="shared" si="4"/>
        <v>1584136.5626666672</v>
      </c>
      <c r="N80" s="110">
        <v>0.0147</v>
      </c>
      <c r="O80" s="124">
        <f t="shared" si="5"/>
        <v>1940.567289266667</v>
      </c>
      <c r="P80" s="124">
        <f t="shared" si="7"/>
        <v>37939.402581779235</v>
      </c>
    </row>
    <row r="81" spans="6:16" ht="13.5" thickBot="1">
      <c r="F81" s="119"/>
      <c r="G81" s="120">
        <v>41030</v>
      </c>
      <c r="H81" s="122">
        <v>2012</v>
      </c>
      <c r="I81" s="123" t="s">
        <v>160</v>
      </c>
      <c r="J81" s="124">
        <f t="shared" si="6"/>
        <v>1584136.5626666672</v>
      </c>
      <c r="K81" s="126"/>
      <c r="L81" s="126"/>
      <c r="M81" s="124">
        <f t="shared" si="4"/>
        <v>1584136.5626666672</v>
      </c>
      <c r="N81" s="110">
        <v>0.0147</v>
      </c>
      <c r="O81" s="124">
        <f t="shared" si="5"/>
        <v>1940.567289266667</v>
      </c>
      <c r="P81" s="124">
        <f t="shared" si="7"/>
        <v>39879.969871045905</v>
      </c>
    </row>
    <row r="82" spans="6:16" ht="13.5" thickBot="1">
      <c r="F82" s="119"/>
      <c r="G82" s="120">
        <v>41061</v>
      </c>
      <c r="H82" s="122">
        <v>2012</v>
      </c>
      <c r="I82" s="123" t="s">
        <v>160</v>
      </c>
      <c r="J82" s="124">
        <f t="shared" si="6"/>
        <v>1584136.5626666672</v>
      </c>
      <c r="K82" s="126"/>
      <c r="L82" s="126"/>
      <c r="M82" s="124">
        <f t="shared" si="4"/>
        <v>1584136.5626666672</v>
      </c>
      <c r="N82" s="110">
        <v>0.0147</v>
      </c>
      <c r="O82" s="124">
        <f t="shared" si="5"/>
        <v>1940.567289266667</v>
      </c>
      <c r="P82" s="124">
        <f t="shared" si="7"/>
        <v>41820.537160312575</v>
      </c>
    </row>
    <row r="83" spans="6:16" ht="13.5" thickBot="1">
      <c r="F83" s="119"/>
      <c r="G83" s="120">
        <v>41091</v>
      </c>
      <c r="H83" s="122">
        <v>2012</v>
      </c>
      <c r="I83" s="123" t="s">
        <v>164</v>
      </c>
      <c r="J83" s="124">
        <f t="shared" si="6"/>
        <v>1584136.5626666672</v>
      </c>
      <c r="K83" s="126"/>
      <c r="L83" s="126"/>
      <c r="M83" s="124">
        <f t="shared" si="4"/>
        <v>1584136.5626666672</v>
      </c>
      <c r="N83" s="110">
        <v>0.0147</v>
      </c>
      <c r="O83" s="124">
        <f t="shared" si="5"/>
        <v>1940.567289266667</v>
      </c>
      <c r="P83" s="124">
        <f t="shared" si="7"/>
        <v>43761.104449579245</v>
      </c>
    </row>
    <row r="84" spans="6:16" ht="13.5" thickBot="1">
      <c r="F84" s="119"/>
      <c r="G84" s="120">
        <v>41122</v>
      </c>
      <c r="H84" s="122">
        <v>2012</v>
      </c>
      <c r="I84" s="123" t="s">
        <v>164</v>
      </c>
      <c r="J84" s="124">
        <f t="shared" si="6"/>
        <v>1584136.5626666672</v>
      </c>
      <c r="K84" s="126"/>
      <c r="L84" s="126"/>
      <c r="M84" s="124">
        <f t="shared" si="4"/>
        <v>1584136.5626666672</v>
      </c>
      <c r="N84" s="110">
        <v>0.0147</v>
      </c>
      <c r="O84" s="124">
        <f t="shared" si="5"/>
        <v>1940.567289266667</v>
      </c>
      <c r="P84" s="124">
        <f t="shared" si="7"/>
        <v>45701.671738845915</v>
      </c>
    </row>
    <row r="85" spans="6:16" ht="13.5" thickBot="1">
      <c r="F85" s="119"/>
      <c r="G85" s="120">
        <v>41153</v>
      </c>
      <c r="H85" s="122">
        <v>2012</v>
      </c>
      <c r="I85" s="123" t="s">
        <v>164</v>
      </c>
      <c r="J85" s="124">
        <f t="shared" si="6"/>
        <v>1584136.5626666672</v>
      </c>
      <c r="K85" s="126"/>
      <c r="L85" s="126"/>
      <c r="M85" s="124">
        <f t="shared" si="4"/>
        <v>1584136.5626666672</v>
      </c>
      <c r="N85" s="110">
        <v>0.0147</v>
      </c>
      <c r="O85" s="124">
        <f t="shared" si="5"/>
        <v>1940.567289266667</v>
      </c>
      <c r="P85" s="124">
        <f t="shared" si="7"/>
        <v>47642.239028112584</v>
      </c>
    </row>
    <row r="86" spans="6:16" ht="13.5" thickBot="1">
      <c r="F86" s="119"/>
      <c r="G86" s="120">
        <v>41183</v>
      </c>
      <c r="H86" s="122">
        <v>2012</v>
      </c>
      <c r="I86" s="123" t="s">
        <v>168</v>
      </c>
      <c r="J86" s="124">
        <f t="shared" si="6"/>
        <v>1584136.5626666672</v>
      </c>
      <c r="K86" s="126"/>
      <c r="L86" s="126"/>
      <c r="M86" s="124">
        <f t="shared" si="4"/>
        <v>1584136.5626666672</v>
      </c>
      <c r="N86" s="110">
        <v>0.0147</v>
      </c>
      <c r="O86" s="124">
        <f t="shared" si="5"/>
        <v>1940.567289266667</v>
      </c>
      <c r="P86" s="124">
        <f t="shared" si="7"/>
        <v>49582.806317379254</v>
      </c>
    </row>
    <row r="87" spans="6:16" ht="13.5" thickBot="1">
      <c r="F87" s="119"/>
      <c r="G87" s="120">
        <v>41214</v>
      </c>
      <c r="H87" s="122">
        <v>2012</v>
      </c>
      <c r="I87" s="123" t="s">
        <v>168</v>
      </c>
      <c r="J87" s="124">
        <f t="shared" si="6"/>
        <v>1584136.5626666672</v>
      </c>
      <c r="K87" s="126"/>
      <c r="L87" s="126"/>
      <c r="M87" s="124">
        <f t="shared" si="4"/>
        <v>1584136.5626666672</v>
      </c>
      <c r="N87" s="110">
        <v>0.0147</v>
      </c>
      <c r="O87" s="124">
        <f t="shared" si="5"/>
        <v>1940.567289266667</v>
      </c>
      <c r="P87" s="124">
        <f t="shared" si="7"/>
        <v>51523.373606645924</v>
      </c>
    </row>
    <row r="88" spans="6:16" ht="13.5" thickBot="1">
      <c r="F88" s="119"/>
      <c r="G88" s="120">
        <v>41244</v>
      </c>
      <c r="H88" s="122">
        <v>2012</v>
      </c>
      <c r="I88" s="123" t="s">
        <v>168</v>
      </c>
      <c r="J88" s="124">
        <f t="shared" si="6"/>
        <v>1584136.5626666672</v>
      </c>
      <c r="K88" s="126"/>
      <c r="L88" s="126"/>
      <c r="M88" s="124">
        <f t="shared" si="4"/>
        <v>1584136.5626666672</v>
      </c>
      <c r="N88" s="110">
        <v>0.0147</v>
      </c>
      <c r="O88" s="124">
        <f>J88*N88/12</f>
        <v>1940.567289266667</v>
      </c>
      <c r="P88" s="124">
        <f t="shared" si="7"/>
        <v>53463.940895912594</v>
      </c>
    </row>
    <row r="89" spans="6:16" ht="13.5" thickBot="1">
      <c r="F89" s="119"/>
      <c r="G89" s="120">
        <v>41275</v>
      </c>
      <c r="H89" s="122">
        <v>2013</v>
      </c>
      <c r="I89" s="123" t="s">
        <v>156</v>
      </c>
      <c r="J89" s="124">
        <f t="shared" si="6"/>
        <v>1584136.5626666672</v>
      </c>
      <c r="K89" s="126"/>
      <c r="L89" s="126"/>
      <c r="M89" s="124">
        <f t="shared" si="4"/>
        <v>1584136.5626666672</v>
      </c>
      <c r="N89" s="110">
        <v>0.0147</v>
      </c>
      <c r="O89" s="124">
        <f>J89*N89/12</f>
        <v>1940.567289266667</v>
      </c>
      <c r="P89" s="124">
        <f t="shared" si="7"/>
        <v>55404.508185179264</v>
      </c>
    </row>
    <row r="90" spans="6:16" ht="13.5" thickBot="1">
      <c r="F90" s="119"/>
      <c r="G90" s="120">
        <v>41306</v>
      </c>
      <c r="H90" s="122">
        <v>2013</v>
      </c>
      <c r="I90" s="123" t="s">
        <v>156</v>
      </c>
      <c r="J90" s="124">
        <f t="shared" si="6"/>
        <v>1584136.5626666672</v>
      </c>
      <c r="K90" s="126"/>
      <c r="L90" s="126"/>
      <c r="M90" s="124">
        <f t="shared" si="4"/>
        <v>1584136.5626666672</v>
      </c>
      <c r="N90" s="110">
        <v>0.0147</v>
      </c>
      <c r="O90" s="124">
        <f t="shared" si="5"/>
        <v>1940.567289266667</v>
      </c>
      <c r="P90" s="124">
        <f t="shared" si="7"/>
        <v>57345.075474445934</v>
      </c>
    </row>
    <row r="91" spans="6:16" ht="13.5" thickBot="1">
      <c r="F91" s="119"/>
      <c r="G91" s="120">
        <v>41334</v>
      </c>
      <c r="H91" s="122">
        <v>2013</v>
      </c>
      <c r="I91" s="123" t="s">
        <v>156</v>
      </c>
      <c r="J91" s="124">
        <f t="shared" si="6"/>
        <v>1584136.5626666672</v>
      </c>
      <c r="K91" s="126"/>
      <c r="L91" s="126"/>
      <c r="M91" s="124">
        <f t="shared" si="4"/>
        <v>1584136.5626666672</v>
      </c>
      <c r="N91" s="110">
        <v>0.0147</v>
      </c>
      <c r="O91" s="124">
        <f t="shared" si="5"/>
        <v>1940.567289266667</v>
      </c>
      <c r="P91" s="124">
        <f t="shared" si="7"/>
        <v>59285.6427637126</v>
      </c>
    </row>
    <row r="92" spans="6:16" ht="13.5" thickBot="1">
      <c r="F92" s="119"/>
      <c r="G92" s="120">
        <v>41365</v>
      </c>
      <c r="H92" s="122">
        <v>2013</v>
      </c>
      <c r="I92" s="123" t="s">
        <v>160</v>
      </c>
      <c r="J92" s="124">
        <f t="shared" si="6"/>
        <v>1584136.5626666672</v>
      </c>
      <c r="K92" s="126"/>
      <c r="L92" s="126"/>
      <c r="M92" s="124">
        <f t="shared" si="4"/>
        <v>1584136.5626666672</v>
      </c>
      <c r="N92" s="110">
        <v>0.0147</v>
      </c>
      <c r="O92" s="124">
        <f t="shared" si="5"/>
        <v>1940.567289266667</v>
      </c>
      <c r="P92" s="124">
        <f t="shared" si="7"/>
        <v>61226.21005297927</v>
      </c>
    </row>
    <row r="93" spans="6:16" ht="13.5" thickBot="1">
      <c r="F93" s="119"/>
      <c r="G93" s="120">
        <v>41395</v>
      </c>
      <c r="H93" s="122">
        <v>2013</v>
      </c>
      <c r="I93" s="123" t="s">
        <v>160</v>
      </c>
      <c r="J93" s="124">
        <f t="shared" si="6"/>
        <v>1584136.5626666672</v>
      </c>
      <c r="K93" s="126"/>
      <c r="L93" s="126"/>
      <c r="M93" s="124">
        <f t="shared" si="4"/>
        <v>1584136.5626666672</v>
      </c>
      <c r="N93" s="110">
        <v>0</v>
      </c>
      <c r="O93" s="124">
        <f t="shared" si="5"/>
        <v>0</v>
      </c>
      <c r="P93" s="124">
        <f t="shared" si="7"/>
        <v>61226.21005297927</v>
      </c>
    </row>
    <row r="94" spans="6:16" ht="13.5" thickBot="1">
      <c r="F94" s="119"/>
      <c r="G94" s="120">
        <v>41426</v>
      </c>
      <c r="H94" s="122">
        <v>2013</v>
      </c>
      <c r="I94" s="123" t="s">
        <v>160</v>
      </c>
      <c r="J94" s="124">
        <f t="shared" si="6"/>
        <v>1584136.5626666672</v>
      </c>
      <c r="K94" s="126"/>
      <c r="L94" s="126"/>
      <c r="M94" s="124">
        <f t="shared" si="4"/>
        <v>1584136.5626666672</v>
      </c>
      <c r="N94" s="110">
        <v>0</v>
      </c>
      <c r="O94" s="124">
        <f t="shared" si="5"/>
        <v>0</v>
      </c>
      <c r="P94" s="124">
        <f t="shared" si="7"/>
        <v>61226.21005297927</v>
      </c>
    </row>
    <row r="95" spans="6:16" ht="13.5" thickBot="1">
      <c r="F95" s="119"/>
      <c r="G95" s="120">
        <v>41456</v>
      </c>
      <c r="H95" s="122">
        <v>2013</v>
      </c>
      <c r="I95" s="123" t="s">
        <v>164</v>
      </c>
      <c r="J95" s="124">
        <f t="shared" si="6"/>
        <v>1584136.5626666672</v>
      </c>
      <c r="K95" s="126"/>
      <c r="L95" s="126"/>
      <c r="M95" s="124">
        <f t="shared" si="4"/>
        <v>1584136.5626666672</v>
      </c>
      <c r="N95" s="110">
        <v>0</v>
      </c>
      <c r="O95" s="124">
        <f t="shared" si="5"/>
        <v>0</v>
      </c>
      <c r="P95" s="124">
        <f t="shared" si="7"/>
        <v>61226.21005297927</v>
      </c>
    </row>
    <row r="96" spans="6:16" ht="13.5" thickBot="1">
      <c r="F96" s="119"/>
      <c r="G96" s="120">
        <v>41487</v>
      </c>
      <c r="H96" s="122">
        <v>2013</v>
      </c>
      <c r="I96" s="123" t="s">
        <v>164</v>
      </c>
      <c r="J96" s="124">
        <f t="shared" si="6"/>
        <v>1584136.5626666672</v>
      </c>
      <c r="K96" s="126"/>
      <c r="L96" s="126"/>
      <c r="M96" s="124">
        <f t="shared" si="4"/>
        <v>1584136.5626666672</v>
      </c>
      <c r="N96" s="110">
        <v>0</v>
      </c>
      <c r="O96" s="124">
        <f t="shared" si="5"/>
        <v>0</v>
      </c>
      <c r="P96" s="124">
        <f t="shared" si="7"/>
        <v>61226.21005297927</v>
      </c>
    </row>
    <row r="97" spans="6:16" ht="13.5" thickBot="1">
      <c r="F97" s="119"/>
      <c r="G97" s="120">
        <v>41518</v>
      </c>
      <c r="H97" s="122">
        <v>2013</v>
      </c>
      <c r="I97" s="123" t="s">
        <v>164</v>
      </c>
      <c r="J97" s="124">
        <f t="shared" si="6"/>
        <v>1584136.5626666672</v>
      </c>
      <c r="K97" s="126"/>
      <c r="L97" s="126"/>
      <c r="M97" s="124">
        <f t="shared" si="4"/>
        <v>1584136.5626666672</v>
      </c>
      <c r="N97" s="110">
        <v>0</v>
      </c>
      <c r="O97" s="124">
        <f t="shared" si="5"/>
        <v>0</v>
      </c>
      <c r="P97" s="124">
        <f t="shared" si="7"/>
        <v>61226.21005297927</v>
      </c>
    </row>
    <row r="98" spans="6:16" ht="13.5" thickBot="1">
      <c r="F98" s="119"/>
      <c r="G98" s="120">
        <v>41548</v>
      </c>
      <c r="H98" s="122">
        <v>2013</v>
      </c>
      <c r="I98" s="123" t="s">
        <v>168</v>
      </c>
      <c r="J98" s="124">
        <f t="shared" si="6"/>
        <v>1584136.5626666672</v>
      </c>
      <c r="K98" s="126"/>
      <c r="L98" s="126"/>
      <c r="M98" s="124">
        <f t="shared" si="4"/>
        <v>1584136.5626666672</v>
      </c>
      <c r="N98" s="110">
        <v>0</v>
      </c>
      <c r="O98" s="124">
        <f t="shared" si="5"/>
        <v>0</v>
      </c>
      <c r="P98" s="124">
        <f t="shared" si="7"/>
        <v>61226.21005297927</v>
      </c>
    </row>
    <row r="99" spans="6:16" ht="13.5" thickBot="1">
      <c r="F99" s="119"/>
      <c r="G99" s="120">
        <v>41579</v>
      </c>
      <c r="H99" s="122">
        <v>2013</v>
      </c>
      <c r="I99" s="123" t="s">
        <v>168</v>
      </c>
      <c r="J99" s="124">
        <f t="shared" si="6"/>
        <v>1584136.5626666672</v>
      </c>
      <c r="K99" s="126"/>
      <c r="L99" s="126"/>
      <c r="M99" s="124">
        <f t="shared" si="4"/>
        <v>1584136.5626666672</v>
      </c>
      <c r="N99" s="110">
        <v>0</v>
      </c>
      <c r="O99" s="124">
        <f t="shared" si="5"/>
        <v>0</v>
      </c>
      <c r="P99" s="124">
        <f t="shared" si="7"/>
        <v>61226.21005297927</v>
      </c>
    </row>
    <row r="100" spans="6:16" ht="12.75">
      <c r="F100" s="119"/>
      <c r="G100" s="120">
        <v>41609</v>
      </c>
      <c r="H100" s="122">
        <v>2013</v>
      </c>
      <c r="I100" s="123" t="s">
        <v>168</v>
      </c>
      <c r="J100" s="124">
        <f t="shared" si="6"/>
        <v>1584136.5626666672</v>
      </c>
      <c r="K100" s="139"/>
      <c r="L100" s="139"/>
      <c r="M100" s="124">
        <f t="shared" si="4"/>
        <v>1584136.5626666672</v>
      </c>
      <c r="N100" s="110">
        <v>0</v>
      </c>
      <c r="O100" s="124">
        <f t="shared" si="5"/>
        <v>0</v>
      </c>
      <c r="P100" s="124">
        <f t="shared" si="7"/>
        <v>61226.21005297927</v>
      </c>
    </row>
    <row r="101" spans="6:16" ht="13.5" thickBot="1">
      <c r="F101" s="140"/>
      <c r="G101" s="141"/>
      <c r="H101" s="142"/>
      <c r="I101" s="141"/>
      <c r="J101" s="143"/>
      <c r="K101" s="143"/>
      <c r="L101" s="143"/>
      <c r="M101" s="143"/>
      <c r="N101" s="143"/>
      <c r="O101" s="143"/>
      <c r="P101" s="143"/>
    </row>
    <row r="102" spans="6:16" ht="13.5" thickBot="1">
      <c r="F102" s="131"/>
      <c r="G102" s="132"/>
      <c r="H102" s="133"/>
      <c r="I102" s="132"/>
      <c r="J102" s="134"/>
      <c r="K102" s="144">
        <f>SUM(K53:K100)</f>
        <v>325914.0299999999</v>
      </c>
      <c r="L102" s="144">
        <f>SUM(L53:L100)</f>
        <v>1258222.532666667</v>
      </c>
      <c r="M102" s="144">
        <f>SUM(K102:L102)</f>
        <v>1584136.5626666667</v>
      </c>
      <c r="N102" s="145"/>
      <c r="O102" s="144">
        <f>SUM(O53:O100)</f>
        <v>61226.21005297927</v>
      </c>
      <c r="P102" s="145"/>
    </row>
    <row r="103" spans="6:16" ht="13.5" thickTop="1">
      <c r="F103" s="125"/>
      <c r="G103" s="120"/>
      <c r="H103" s="109"/>
      <c r="I103" s="120"/>
      <c r="J103" s="106"/>
      <c r="K103" s="106"/>
      <c r="L103" s="106"/>
      <c r="M103" s="106"/>
      <c r="N103" s="106"/>
      <c r="O103" s="106"/>
      <c r="P103" s="106"/>
    </row>
    <row r="104" spans="6:16" ht="12.75">
      <c r="F104" s="125"/>
      <c r="G104" s="120"/>
      <c r="H104" s="109"/>
      <c r="I104" s="120"/>
      <c r="J104" s="106"/>
      <c r="K104" s="106"/>
      <c r="L104" s="106"/>
      <c r="M104" s="106"/>
      <c r="N104" s="106"/>
      <c r="O104" s="106"/>
      <c r="P104" s="106"/>
    </row>
    <row r="105" spans="6:16" ht="12.75">
      <c r="F105" s="125"/>
      <c r="G105" s="120"/>
      <c r="H105" s="109"/>
      <c r="I105" s="120"/>
      <c r="J105" s="106"/>
      <c r="K105" s="106"/>
      <c r="L105" s="106"/>
      <c r="M105" s="106"/>
      <c r="N105" s="106"/>
      <c r="O105" s="106"/>
      <c r="P105" s="106"/>
    </row>
    <row r="106" spans="6:16" ht="12.75">
      <c r="F106" s="125"/>
      <c r="G106" s="120"/>
      <c r="H106" s="109"/>
      <c r="I106" s="120"/>
      <c r="J106" s="106"/>
      <c r="K106" s="106"/>
      <c r="L106" s="106"/>
      <c r="M106" s="106"/>
      <c r="N106" s="106"/>
      <c r="O106" s="128"/>
      <c r="P106" s="106"/>
    </row>
    <row r="107" spans="6:16" ht="12.75">
      <c r="F107" s="125"/>
      <c r="G107" s="120"/>
      <c r="H107" s="109"/>
      <c r="I107" s="120"/>
      <c r="J107" s="106"/>
      <c r="K107" s="106"/>
      <c r="L107" s="106"/>
      <c r="M107" s="106"/>
      <c r="N107" s="106"/>
      <c r="O107" s="106"/>
      <c r="P107" s="106"/>
    </row>
    <row r="108" spans="6:16" ht="12.75">
      <c r="F108" s="106"/>
      <c r="G108" s="120"/>
      <c r="H108" s="109"/>
      <c r="I108" s="120"/>
      <c r="J108" s="106"/>
      <c r="K108" s="106"/>
      <c r="L108" s="106"/>
      <c r="M108" s="106"/>
      <c r="N108" s="106"/>
      <c r="O108" s="106"/>
      <c r="P108" s="106"/>
    </row>
    <row r="109" spans="7:9" ht="12.75">
      <c r="G109" s="120"/>
      <c r="H109" s="109"/>
      <c r="I109" s="120"/>
    </row>
    <row r="110" spans="7:9" ht="12.75">
      <c r="G110" s="120"/>
      <c r="H110" s="109"/>
      <c r="I110" s="120"/>
    </row>
    <row r="111" spans="7:9" ht="12.75">
      <c r="G111" s="120"/>
      <c r="H111" s="109"/>
      <c r="I111" s="120"/>
    </row>
    <row r="112" spans="7:9" ht="12.75">
      <c r="G112" s="120"/>
      <c r="H112" s="109"/>
      <c r="I112" s="120"/>
    </row>
    <row r="113" spans="7:9" ht="12.75">
      <c r="G113" s="120"/>
      <c r="H113" s="109"/>
      <c r="I113" s="120"/>
    </row>
    <row r="114" spans="7:9" ht="12.75">
      <c r="G114" s="120"/>
      <c r="H114" s="109"/>
      <c r="I114" s="120"/>
    </row>
    <row r="115" spans="7:9" ht="12.75">
      <c r="G115" s="120"/>
      <c r="H115" s="109"/>
      <c r="I115" s="120"/>
    </row>
    <row r="116" spans="7:9" ht="12.75">
      <c r="G116" s="120"/>
      <c r="H116" s="109"/>
      <c r="I116" s="120"/>
    </row>
    <row r="117" spans="7:9" ht="12.75">
      <c r="G117" s="120"/>
      <c r="H117" s="109"/>
      <c r="I117" s="120"/>
    </row>
    <row r="118" spans="7:9" ht="12.75">
      <c r="G118" s="120"/>
      <c r="H118" s="109"/>
      <c r="I118" s="120"/>
    </row>
    <row r="119" spans="7:9" ht="12.75">
      <c r="G119" s="120"/>
      <c r="H119" s="109"/>
      <c r="I119" s="120"/>
    </row>
    <row r="120" spans="7:9" ht="12.75">
      <c r="G120" s="120"/>
      <c r="H120" s="109"/>
      <c r="I120" s="120"/>
    </row>
    <row r="121" spans="7:9" ht="12.75">
      <c r="G121" s="120"/>
      <c r="H121" s="109"/>
      <c r="I121" s="120"/>
    </row>
    <row r="122" spans="7:9" ht="12.75">
      <c r="G122" s="120"/>
      <c r="H122" s="109"/>
      <c r="I122" s="120"/>
    </row>
    <row r="123" spans="7:9" ht="12.75">
      <c r="G123" s="120"/>
      <c r="H123" s="109"/>
      <c r="I123" s="120"/>
    </row>
    <row r="124" spans="7:9" ht="12.75">
      <c r="G124" s="120"/>
      <c r="H124" s="109"/>
      <c r="I124" s="120"/>
    </row>
    <row r="125" spans="7:9" ht="12.75">
      <c r="G125" s="120"/>
      <c r="H125" s="109"/>
      <c r="I125" s="120"/>
    </row>
    <row r="126" spans="7:9" ht="12.75">
      <c r="G126" s="120"/>
      <c r="H126" s="109"/>
      <c r="I126" s="120"/>
    </row>
  </sheetData>
  <sheetProtection/>
  <mergeCells count="2">
    <mergeCell ref="E3:E4"/>
    <mergeCell ref="C1:P1"/>
  </mergeCells>
  <printOptions/>
  <pageMargins left="0.7" right="0.7" top="0.75" bottom="0.75" header="0.3" footer="0.3"/>
  <pageSetup fitToHeight="5" fitToWidth="1" horizontalDpi="600" verticalDpi="600" orientation="landscape" scale="78" r:id="rId1"/>
  <headerFooter>
    <oddFooter>&amp;CPage &amp;P</oddFooter>
  </headerFooter>
  <ignoredErrors>
    <ignoredError sqref="K53:L6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Horizon Utilities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DGAPIC</cp:lastModifiedBy>
  <cp:lastPrinted>2012-12-14T18:33:45Z</cp:lastPrinted>
  <dcterms:created xsi:type="dcterms:W3CDTF">2008-08-08T18:59:42Z</dcterms:created>
  <dcterms:modified xsi:type="dcterms:W3CDTF">2012-12-14T18:33:57Z</dcterms:modified>
  <cp:category/>
  <cp:version/>
  <cp:contentType/>
  <cp:contentStatus/>
</cp:coreProperties>
</file>