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15" yWindow="5310" windowWidth="19230" windowHeight="5355" tabRatio="968" activeTab="2"/>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Settlement" sheetId="27" r:id="rId10"/>
  </sheets>
  <externalReferences>
    <externalReference r:id="rId11"/>
    <externalReference r:id="rId12"/>
    <externalReference r:id="rId13"/>
    <externalReference r:id="rId14"/>
    <externalReference r:id="rId15"/>
    <externalReference r:id="rId16"/>
    <externalReference r:id="rId17"/>
  </externalReferences>
  <definedNames>
    <definedName name="LDC_LIST">[1]lists!$AM$1:$AM$80</definedName>
    <definedName name="_xlnm.Print_Area" localSheetId="0">'1. Info'!$A$1:$Q$38</definedName>
    <definedName name="_xlnm.Print_Area" localSheetId="1">'2. Table of Contents'!$A$1:$O$30</definedName>
    <definedName name="_xlnm.Print_Area" localSheetId="2">'3. Data_Input_Sheet'!$A$1:$X$97</definedName>
    <definedName name="_xlnm.Print_Area" localSheetId="3">'4. Rate_Base'!$A$1:$X$37</definedName>
    <definedName name="_xlnm.Print_Area" localSheetId="4">'5. Utility Income'!$A$1:$W$59</definedName>
    <definedName name="_xlnm.Print_Area" localSheetId="5">'6. Taxes_PILs'!$A$1:$R$53</definedName>
    <definedName name="_xlnm.Print_Area" localSheetId="6">'7. Cost_of_Capital'!$A$1:$T$69</definedName>
    <definedName name="_xlnm.Print_Area" localSheetId="7">'8. Rev_Def_Suff'!$B$1:$Q$62</definedName>
    <definedName name="_xlnm.Print_Area" localSheetId="8">'9. Rev_Reqt'!$A$1:$R$47</definedName>
    <definedName name="ratedescription">[2]hidden1!$D$1:$D$122</definedName>
    <definedName name="units">[2]hidden1!$J$3:$J$8</definedName>
  </definedNames>
  <calcPr calcId="145621" iterate="1"/>
</workbook>
</file>

<file path=xl/calcChain.xml><?xml version="1.0" encoding="utf-8"?>
<calcChain xmlns="http://schemas.openxmlformats.org/spreadsheetml/2006/main">
  <c r="U33" i="22" l="1"/>
  <c r="M33" i="22"/>
  <c r="E33" i="22"/>
  <c r="U64" i="22" l="1"/>
  <c r="U63" i="22"/>
  <c r="U62" i="22"/>
  <c r="U30" i="22"/>
  <c r="U31" i="22"/>
  <c r="U29" i="22"/>
  <c r="U28" i="22"/>
  <c r="M64" i="22" l="1"/>
  <c r="M63" i="22"/>
  <c r="M62" i="22"/>
  <c r="M44" i="22"/>
  <c r="M31" i="22"/>
  <c r="M30" i="22"/>
  <c r="E30" i="22" l="1"/>
  <c r="E64" i="22"/>
  <c r="E63" i="22"/>
  <c r="E62" i="22"/>
  <c r="E50" i="22"/>
  <c r="E49" i="22"/>
  <c r="E38" i="22"/>
  <c r="E19" i="22"/>
  <c r="E17" i="22"/>
  <c r="E16" i="22"/>
  <c r="I19" i="22" l="1"/>
  <c r="I16" i="22"/>
  <c r="I17" i="22"/>
  <c r="E28" i="22"/>
  <c r="E29" i="22"/>
  <c r="J13" i="23"/>
  <c r="O11" i="14"/>
  <c r="M29" i="22" l="1"/>
  <c r="M28" i="22"/>
  <c r="N13" i="13"/>
  <c r="J13" i="13" s="1"/>
  <c r="K12" i="15"/>
  <c r="J13" i="11"/>
  <c r="N28" i="11"/>
  <c r="G40" i="15"/>
  <c r="K40" i="15" s="1"/>
  <c r="G39" i="15"/>
  <c r="K39" i="15" s="1"/>
  <c r="O39" i="15" s="1"/>
  <c r="G25" i="15"/>
  <c r="K25" i="15" s="1"/>
  <c r="O25" i="15" s="1"/>
  <c r="N18" i="11" s="1"/>
  <c r="L17" i="12"/>
  <c r="L49" i="12" s="1"/>
  <c r="G13" i="14"/>
  <c r="K13" i="14"/>
  <c r="S13" i="14"/>
  <c r="G14" i="14"/>
  <c r="K14" i="14"/>
  <c r="S14" i="14"/>
  <c r="G24" i="14"/>
  <c r="K24" i="14"/>
  <c r="M21" i="22"/>
  <c r="U21" i="22" s="1"/>
  <c r="W28" i="14" s="1"/>
  <c r="F33" i="12"/>
  <c r="F49" i="12" s="1"/>
  <c r="L18" i="12"/>
  <c r="L50" i="12" s="1"/>
  <c r="F34" i="12"/>
  <c r="F50" i="12" s="1"/>
  <c r="L22" i="12"/>
  <c r="L54" i="12" s="1"/>
  <c r="F38" i="12"/>
  <c r="F54" i="12" s="1"/>
  <c r="L23" i="12"/>
  <c r="L55" i="12" s="1"/>
  <c r="F39" i="12"/>
  <c r="F55" i="12" s="1"/>
  <c r="J28" i="11"/>
  <c r="L33" i="12"/>
  <c r="O28" i="14"/>
  <c r="L34" i="12"/>
  <c r="L38" i="12"/>
  <c r="L39" i="12"/>
  <c r="F18" i="11"/>
  <c r="F24" i="13"/>
  <c r="F17" i="11" s="1"/>
  <c r="F26" i="13"/>
  <c r="F20" i="11" s="1"/>
  <c r="G28" i="14"/>
  <c r="F17" i="12"/>
  <c r="F18" i="12"/>
  <c r="F22" i="12"/>
  <c r="F23" i="12"/>
  <c r="Q33" i="22"/>
  <c r="I33" i="22"/>
  <c r="AC1" i="26"/>
  <c r="F29" i="12" s="1"/>
  <c r="N46" i="13"/>
  <c r="V46" i="13" s="1"/>
  <c r="N47" i="13"/>
  <c r="V47" i="13" s="1"/>
  <c r="N48" i="13"/>
  <c r="V48" i="13" s="1"/>
  <c r="N49" i="13"/>
  <c r="V49" i="13" s="1"/>
  <c r="F46" i="13"/>
  <c r="F47" i="13"/>
  <c r="F48" i="13"/>
  <c r="F49" i="13"/>
  <c r="M16" i="22"/>
  <c r="P36" i="23"/>
  <c r="U38" i="22"/>
  <c r="U40" i="22"/>
  <c r="V26" i="13" s="1"/>
  <c r="N20" i="11" s="1"/>
  <c r="N36" i="23"/>
  <c r="M38" i="22"/>
  <c r="N24" i="13" s="1"/>
  <c r="J17" i="11" s="1"/>
  <c r="M40" i="22"/>
  <c r="N26" i="13" s="1"/>
  <c r="J20" i="11" s="1"/>
  <c r="L36" i="23"/>
  <c r="J36" i="23"/>
  <c r="G35" i="15"/>
  <c r="K35" i="15" s="1"/>
  <c r="O35" i="15" s="1"/>
  <c r="Q31" i="22"/>
  <c r="Q30" i="22"/>
  <c r="Q29" i="22"/>
  <c r="Q28" i="22"/>
  <c r="I29" i="22"/>
  <c r="J47" i="13" s="1"/>
  <c r="I30" i="22"/>
  <c r="J48" i="13" s="1"/>
  <c r="I31" i="22"/>
  <c r="J49" i="13" s="1"/>
  <c r="I28" i="22"/>
  <c r="J46" i="13" s="1"/>
  <c r="R23" i="13"/>
  <c r="R24" i="13"/>
  <c r="R26" i="13"/>
  <c r="F25" i="13"/>
  <c r="J24" i="13"/>
  <c r="J26" i="13"/>
  <c r="M19" i="22"/>
  <c r="Q19" i="22" s="1"/>
  <c r="S24" i="14" s="1"/>
  <c r="M17" i="22"/>
  <c r="N13" i="11"/>
  <c r="P1" i="23"/>
  <c r="N13" i="23"/>
  <c r="F36" i="23"/>
  <c r="H36" i="23"/>
  <c r="D62" i="12"/>
  <c r="O12" i="15"/>
  <c r="K18" i="15"/>
  <c r="V13" i="13"/>
  <c r="Q12" i="22"/>
  <c r="S11" i="14" s="1"/>
  <c r="W11" i="14"/>
  <c r="U1" i="22"/>
  <c r="I12" i="22"/>
  <c r="K11" i="14" s="1"/>
  <c r="U16" i="22"/>
  <c r="U17" i="22"/>
  <c r="U19" i="22"/>
  <c r="E39" i="22"/>
  <c r="M39" i="22"/>
  <c r="U39" i="22"/>
  <c r="E59" i="22"/>
  <c r="M59" i="22"/>
  <c r="U59" i="22"/>
  <c r="E60" i="22"/>
  <c r="M60" i="22"/>
  <c r="U60" i="22"/>
  <c r="V24" i="13" l="1"/>
  <c r="N17" i="11" s="1"/>
  <c r="F28" i="11"/>
  <c r="R48" i="13"/>
  <c r="R49" i="13"/>
  <c r="R46" i="13"/>
  <c r="R47" i="13"/>
  <c r="F35" i="12"/>
  <c r="L35" i="12" s="1"/>
  <c r="F40" i="12"/>
  <c r="L40" i="12" s="1"/>
  <c r="J44" i="23" s="1"/>
  <c r="K28" i="14"/>
  <c r="F56" i="12"/>
  <c r="L56" i="12" s="1"/>
  <c r="P44" i="23" s="1"/>
  <c r="F24" i="12"/>
  <c r="L24" i="12" s="1"/>
  <c r="F19" i="12"/>
  <c r="L19" i="12" s="1"/>
  <c r="S28" i="14"/>
  <c r="G15" i="14"/>
  <c r="V25" i="13"/>
  <c r="O24" i="14"/>
  <c r="S15" i="14"/>
  <c r="O13" i="14"/>
  <c r="W24" i="14"/>
  <c r="K15" i="14"/>
  <c r="N25" i="13"/>
  <c r="O14" i="14"/>
  <c r="G41" i="15"/>
  <c r="J50" i="13"/>
  <c r="N50" i="13"/>
  <c r="J21" i="23" s="1"/>
  <c r="F51" i="12"/>
  <c r="L51" i="12" s="1"/>
  <c r="F50" i="13"/>
  <c r="F17" i="13" s="1"/>
  <c r="W13" i="14"/>
  <c r="W14" i="14"/>
  <c r="V50" i="13"/>
  <c r="P21" i="23" s="1"/>
  <c r="J18" i="11"/>
  <c r="R13" i="13"/>
  <c r="O40" i="15"/>
  <c r="O41" i="15" s="1"/>
  <c r="K41" i="15"/>
  <c r="R50" i="13" l="1"/>
  <c r="F42" i="12"/>
  <c r="N44" i="23"/>
  <c r="L42" i="12"/>
  <c r="J48" i="23" s="1"/>
  <c r="L44" i="23"/>
  <c r="N17" i="13"/>
  <c r="J33" i="11" s="1"/>
  <c r="L58" i="12"/>
  <c r="N48" i="23" s="1"/>
  <c r="O15" i="14"/>
  <c r="F26" i="12"/>
  <c r="L26" i="12"/>
  <c r="H48" i="23" s="1"/>
  <c r="R25" i="13"/>
  <c r="J25" i="13"/>
  <c r="F58" i="12"/>
  <c r="W15" i="14"/>
  <c r="F34" i="23"/>
  <c r="H34" i="23"/>
  <c r="N21" i="23"/>
  <c r="J17" i="13"/>
  <c r="L21" i="23"/>
  <c r="F21" i="23"/>
  <c r="V17" i="13"/>
  <c r="H21" i="23"/>
  <c r="F33" i="11"/>
  <c r="F44" i="23"/>
  <c r="H44" i="23"/>
  <c r="N34" i="23"/>
  <c r="P34" i="23"/>
  <c r="J34" i="23"/>
  <c r="L34" i="23"/>
  <c r="L48" i="23" l="1"/>
  <c r="R17" i="13"/>
  <c r="N33" i="11"/>
  <c r="P48" i="23"/>
  <c r="F48" i="23"/>
  <c r="E36" i="22" l="1"/>
  <c r="I36" i="22" l="1"/>
  <c r="J22" i="13" s="1"/>
  <c r="F22" i="13"/>
  <c r="M36" i="22" l="1"/>
  <c r="N22" i="13" s="1"/>
  <c r="J15" i="11" s="1"/>
  <c r="F15" i="11"/>
  <c r="U44" i="22" l="1"/>
  <c r="Q36" i="22"/>
  <c r="E25" i="22"/>
  <c r="N31" i="23" l="1"/>
  <c r="P31" i="23"/>
  <c r="R22" i="13"/>
  <c r="R27" i="13" s="1"/>
  <c r="U36" i="22"/>
  <c r="F20" i="23"/>
  <c r="F22" i="23" s="1"/>
  <c r="V22" i="13" l="1"/>
  <c r="N15" i="11" s="1"/>
  <c r="E26" i="22"/>
  <c r="F16" i="13" l="1"/>
  <c r="F18" i="13" l="1"/>
  <c r="F32" i="11"/>
  <c r="F34" i="11" s="1"/>
  <c r="E20" i="22" l="1"/>
  <c r="I20" i="22" l="1"/>
  <c r="K25" i="14" s="1"/>
  <c r="K26" i="14" s="1"/>
  <c r="G25" i="14"/>
  <c r="M20" i="22" l="1"/>
  <c r="G26" i="14"/>
  <c r="G30" i="14" s="1"/>
  <c r="G17" i="14" s="1"/>
  <c r="G18" i="14" s="1"/>
  <c r="O25" i="14"/>
  <c r="O26" i="14" s="1"/>
  <c r="O30" i="14" s="1"/>
  <c r="J26" i="12" l="1"/>
  <c r="F39" i="23"/>
  <c r="H39" i="23"/>
  <c r="O17" i="14"/>
  <c r="O18" i="14" s="1"/>
  <c r="K30" i="14"/>
  <c r="K17" i="14" s="1"/>
  <c r="K18" i="14" s="1"/>
  <c r="J23" i="12" l="1"/>
  <c r="P23" i="12" s="1"/>
  <c r="J17" i="12"/>
  <c r="J22" i="12"/>
  <c r="J18" i="12"/>
  <c r="P18" i="12" s="1"/>
  <c r="J42" i="12"/>
  <c r="J39" i="23"/>
  <c r="L39" i="23"/>
  <c r="J39" i="12" l="1"/>
  <c r="P39" i="12" s="1"/>
  <c r="J34" i="12"/>
  <c r="P34" i="12" s="1"/>
  <c r="J33" i="12"/>
  <c r="J38" i="12"/>
  <c r="J19" i="12"/>
  <c r="P17" i="12"/>
  <c r="P19" i="12" s="1"/>
  <c r="J24" i="12"/>
  <c r="F41" i="23" s="1"/>
  <c r="P22" i="12"/>
  <c r="P24" i="12" l="1"/>
  <c r="H51" i="23" s="1"/>
  <c r="F51" i="23" s="1"/>
  <c r="G16" i="15"/>
  <c r="P33" i="12"/>
  <c r="P35" i="12" s="1"/>
  <c r="J35" i="12"/>
  <c r="F30" i="13"/>
  <c r="H41" i="23"/>
  <c r="J40" i="12"/>
  <c r="J41" i="23" s="1"/>
  <c r="P38" i="12"/>
  <c r="N30" i="13" l="1"/>
  <c r="F23" i="11"/>
  <c r="L41" i="23"/>
  <c r="H25" i="23"/>
  <c r="F25" i="23"/>
  <c r="K16" i="15"/>
  <c r="K20" i="15" s="1"/>
  <c r="P40" i="12"/>
  <c r="L51" i="23" s="1"/>
  <c r="P26" i="12"/>
  <c r="P42" i="12" l="1"/>
  <c r="F22" i="11"/>
  <c r="J25" i="23"/>
  <c r="J30" i="13"/>
  <c r="L25" i="23"/>
  <c r="J23" i="11"/>
  <c r="J51" i="23"/>
  <c r="J22" i="11" l="1"/>
  <c r="E44" i="22" l="1"/>
  <c r="H31" i="23" l="1"/>
  <c r="G18" i="15"/>
  <c r="F31" i="23"/>
  <c r="L31" i="23"/>
  <c r="J31" i="23"/>
  <c r="O18" i="15" l="1"/>
  <c r="G20" i="15"/>
  <c r="E37" i="22" l="1"/>
  <c r="E67" i="22"/>
  <c r="I37" i="22" l="1"/>
  <c r="F23" i="13"/>
  <c r="F24" i="11"/>
  <c r="F26" i="23"/>
  <c r="H26" i="23" s="1"/>
  <c r="F34" i="13"/>
  <c r="J23" i="13" l="1"/>
  <c r="J27" i="13" s="1"/>
  <c r="J32" i="13" s="1"/>
  <c r="U37" i="22"/>
  <c r="M37" i="22"/>
  <c r="N23" i="13" s="1"/>
  <c r="N27" i="13" s="1"/>
  <c r="F16" i="11"/>
  <c r="F27" i="13"/>
  <c r="V23" i="13" l="1"/>
  <c r="N16" i="11" s="1"/>
  <c r="J16" i="11"/>
  <c r="V27" i="13"/>
  <c r="P24" i="23" s="1"/>
  <c r="L24" i="23"/>
  <c r="J24" i="23"/>
  <c r="N32" i="13"/>
  <c r="H24" i="23"/>
  <c r="H27" i="23" s="1"/>
  <c r="F24" i="23"/>
  <c r="F27" i="23" s="1"/>
  <c r="F29" i="23" s="1"/>
  <c r="F32" i="23" s="1"/>
  <c r="F35" i="23" s="1"/>
  <c r="F37" i="23" s="1"/>
  <c r="F32" i="13"/>
  <c r="F36" i="13" s="1"/>
  <c r="N24" i="23" l="1"/>
  <c r="F43" i="23"/>
  <c r="F45" i="23" s="1"/>
  <c r="F47" i="23"/>
  <c r="F49" i="23" s="1"/>
  <c r="F52" i="23"/>
  <c r="F53" i="23" s="1"/>
  <c r="H19" i="23" s="1"/>
  <c r="H20" i="23" s="1"/>
  <c r="H22" i="23" s="1"/>
  <c r="H29" i="23" s="1"/>
  <c r="H32" i="23" s="1"/>
  <c r="H35" i="23" s="1"/>
  <c r="E46" i="22" l="1"/>
  <c r="E47" i="22" l="1"/>
  <c r="G24" i="15"/>
  <c r="G26" i="15" l="1"/>
  <c r="G29" i="15"/>
  <c r="G33" i="15" l="1"/>
  <c r="F19" i="11" s="1"/>
  <c r="F26" i="11" s="1"/>
  <c r="F29" i="11" s="1"/>
  <c r="G31" i="15"/>
  <c r="F37" i="13" s="1"/>
  <c r="F39" i="13" s="1"/>
  <c r="H37" i="23" s="1"/>
  <c r="F36" i="11" l="1"/>
  <c r="H43" i="23"/>
  <c r="H45" i="23" s="1"/>
  <c r="H47" i="23"/>
  <c r="H49" i="23" s="1"/>
  <c r="H52" i="23" s="1"/>
  <c r="M67" i="22" l="1"/>
  <c r="M25" i="22"/>
  <c r="J20" i="23" l="1"/>
  <c r="J22" i="23" s="1"/>
  <c r="I25" i="22"/>
  <c r="N34" i="13"/>
  <c r="J26" i="23"/>
  <c r="J24" i="11"/>
  <c r="I67" i="22"/>
  <c r="L26" i="23" l="1"/>
  <c r="L27" i="23" s="1"/>
  <c r="J27" i="23"/>
  <c r="J29" i="23" s="1"/>
  <c r="J32" i="23" s="1"/>
  <c r="J35" i="23" s="1"/>
  <c r="J37" i="23" s="1"/>
  <c r="J34" i="13"/>
  <c r="J43" i="23" l="1"/>
  <c r="J45" i="23" s="1"/>
  <c r="J52" i="23"/>
  <c r="J53" i="23" s="1"/>
  <c r="L19" i="23" s="1"/>
  <c r="J47" i="23"/>
  <c r="J49" i="23" s="1"/>
  <c r="M26" i="22" l="1"/>
  <c r="I26" i="22" s="1"/>
  <c r="M46" i="22"/>
  <c r="M47" i="22" s="1"/>
  <c r="L20" i="23" l="1"/>
  <c r="L22" i="23" s="1"/>
  <c r="L29" i="23" s="1"/>
  <c r="L32" i="23" s="1"/>
  <c r="L35" i="23" s="1"/>
  <c r="N16" i="13"/>
  <c r="J32" i="11"/>
  <c r="J34" i="11" s="1"/>
  <c r="K24" i="15"/>
  <c r="J16" i="13" l="1"/>
  <c r="J18" i="13" s="1"/>
  <c r="J36" i="13" s="1"/>
  <c r="N18" i="13"/>
  <c r="N36" i="13" s="1"/>
  <c r="K29" i="15"/>
  <c r="K31" i="15" s="1"/>
  <c r="N37" i="13" s="1"/>
  <c r="K26" i="15"/>
  <c r="N39" i="13" l="1"/>
  <c r="L37" i="23" s="1"/>
  <c r="J37" i="13"/>
  <c r="J39" i="13" s="1"/>
  <c r="K33" i="15"/>
  <c r="J19" i="11" s="1"/>
  <c r="J26" i="11" s="1"/>
  <c r="J29" i="11" l="1"/>
  <c r="J36" i="11"/>
  <c r="L47" i="23"/>
  <c r="L49" i="23" s="1"/>
  <c r="L52" i="23" s="1"/>
  <c r="L43" i="23"/>
  <c r="L45" i="23" s="1"/>
  <c r="Q20" i="22" l="1"/>
  <c r="U25" i="22" l="1"/>
  <c r="S25" i="14"/>
  <c r="U20" i="22"/>
  <c r="Q25" i="22" l="1"/>
  <c r="N20" i="23"/>
  <c r="N22" i="23" s="1"/>
  <c r="S26" i="14"/>
  <c r="W25" i="14"/>
  <c r="W26" i="14" s="1"/>
  <c r="W30" i="14" s="1"/>
  <c r="S30" i="14" l="1"/>
  <c r="S17" i="14" s="1"/>
  <c r="W17" i="14"/>
  <c r="W18" i="14" s="1"/>
  <c r="N39" i="23" l="1"/>
  <c r="P39" i="23"/>
  <c r="J58" i="12"/>
  <c r="S18" i="14"/>
  <c r="J49" i="12" l="1"/>
  <c r="J54" i="12"/>
  <c r="J55" i="12"/>
  <c r="P55" i="12" s="1"/>
  <c r="J50" i="12"/>
  <c r="P50" i="12" s="1"/>
  <c r="J56" i="12" l="1"/>
  <c r="N41" i="23" s="1"/>
  <c r="P54" i="12"/>
  <c r="P49" i="12"/>
  <c r="P51" i="12" s="1"/>
  <c r="J51" i="12"/>
  <c r="V30" i="13" l="1"/>
  <c r="O16" i="15"/>
  <c r="O20" i="15" s="1"/>
  <c r="P56" i="12"/>
  <c r="P51" i="23" s="1"/>
  <c r="P41" i="23"/>
  <c r="N23" i="11" l="1"/>
  <c r="N51" i="23"/>
  <c r="P58" i="12"/>
  <c r="N25" i="23"/>
  <c r="R30" i="13"/>
  <c r="R32" i="13" s="1"/>
  <c r="P25" i="23"/>
  <c r="V32" i="13"/>
  <c r="N22" i="11" l="1"/>
  <c r="U67" i="22" l="1"/>
  <c r="V34" i="13" l="1"/>
  <c r="R34" i="13" s="1"/>
  <c r="Q67" i="22"/>
  <c r="N26" i="23"/>
  <c r="N24" i="11"/>
  <c r="P26" i="23" l="1"/>
  <c r="P27" i="23" s="1"/>
  <c r="N27" i="23"/>
  <c r="N29" i="23" s="1"/>
  <c r="N32" i="23" s="1"/>
  <c r="N35" i="23" s="1"/>
  <c r="N37" i="23" s="1"/>
  <c r="N43" i="23" l="1"/>
  <c r="N45" i="23" s="1"/>
  <c r="N47" i="23"/>
  <c r="N49" i="23" s="1"/>
  <c r="N52" i="23"/>
  <c r="N53" i="23" s="1"/>
  <c r="P19" i="23" s="1"/>
  <c r="U26" i="22" l="1"/>
  <c r="Q26" i="22" s="1"/>
  <c r="U46" i="22"/>
  <c r="U47" i="22" s="1"/>
  <c r="V16" i="13"/>
  <c r="V18" i="13" s="1"/>
  <c r="V36" i="13" s="1"/>
  <c r="O24" i="15"/>
  <c r="O26" i="15" s="1"/>
  <c r="P20" i="23"/>
  <c r="P22" i="23"/>
  <c r="P29" i="23"/>
  <c r="P32" i="23"/>
  <c r="P35" i="23" s="1"/>
  <c r="N32" i="11" l="1"/>
  <c r="N34" i="11" s="1"/>
  <c r="O29" i="15"/>
  <c r="O33" i="15" s="1"/>
  <c r="N19" i="11" s="1"/>
  <c r="N26" i="11" s="1"/>
  <c r="N29" i="11" s="1"/>
  <c r="R16" i="13"/>
  <c r="R18" i="13" s="1"/>
  <c r="R36" i="13" s="1"/>
  <c r="O31" i="15" l="1"/>
  <c r="V37" i="13" s="1"/>
  <c r="N36" i="11"/>
  <c r="R37" i="13" l="1"/>
  <c r="R39" i="13" s="1"/>
  <c r="V39" i="13"/>
  <c r="P37" i="23" s="1"/>
  <c r="P47" i="23" l="1"/>
  <c r="P49" i="23" s="1"/>
  <c r="P52" i="23" s="1"/>
  <c r="P43" i="23"/>
  <c r="P45" i="23" s="1"/>
</calcChain>
</file>

<file path=xl/sharedStrings.xml><?xml version="1.0" encoding="utf-8"?>
<sst xmlns="http://schemas.openxmlformats.org/spreadsheetml/2006/main" count="434" uniqueCount="312">
  <si>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</si>
  <si>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</si>
  <si>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</si>
  <si>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</si>
  <si>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</si>
  <si>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</si>
  <si>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</si>
  <si>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</si>
  <si>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</si>
  <si>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</si>
  <si>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</si>
  <si>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</si>
  <si>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</si>
  <si>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</si>
  <si>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</si>
  <si>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</si>
  <si>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</si>
  <si>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</si>
  <si>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</si>
  <si>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</si>
  <si>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</si>
  <si>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</si>
  <si>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</si>
  <si>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</si>
  <si>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</si>
  <si>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</si>
  <si>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</si>
  <si>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</si>
  <si>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</si>
  <si>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</si>
  <si>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</si>
  <si>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</si>
  <si>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</si>
  <si>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</si>
  <si>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</si>
  <si>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</si>
  <si>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</si>
  <si>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</si>
  <si>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</si>
  <si>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</si>
  <si>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</si>
  <si>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</si>
  <si>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</si>
  <si>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</si>
  <si>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</si>
  <si>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</si>
  <si>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</si>
  <si>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</si>
  <si>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</si>
  <si>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</si>
  <si>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</si>
  <si>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</si>
  <si>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</si>
  <si>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</si>
  <si>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</si>
  <si>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</si>
  <si>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</si>
  <si>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</si>
  <si>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</si>
  <si>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</si>
  <si>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</si>
  <si>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</si>
  <si>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</si>
  <si>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</si>
  <si>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</si>
  <si>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</si>
  <si>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</si>
  <si>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</si>
  <si>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</si>
  <si>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</si>
  <si>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</si>
  <si>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</si>
  <si>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</si>
  <si>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</si>
  <si>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</si>
  <si>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</si>
  <si>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</si>
  <si>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</si>
  <si>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</si>
  <si>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</si>
  <si>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</si>
  <si>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</si>
  <si>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</si>
  <si>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</si>
  <si>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</si>
  <si>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</si>
  <si>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</si>
  <si>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</si>
  <si>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</si>
  <si>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</si>
  <si>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</si>
  <si>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</si>
  <si>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</si>
  <si>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</si>
  <si>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</si>
  <si>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</si>
  <si>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</si>
  <si>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</si>
  <si>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</si>
  <si>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</si>
  <si>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</si>
  <si>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</si>
  <si>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</si>
  <si>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</si>
  <si>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</si>
  <si>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</si>
  <si>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</si>
  <si>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</si>
  <si>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</si>
  <si>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</si>
  <si>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</si>
  <si>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</si>
  <si>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</si>
  <si>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</si>
  <si>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</si>
  <si>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</si>
  <si>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</si>
  <si>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</si>
  <si>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</si>
  <si>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</si>
  <si>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</si>
  <si>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</si>
  <si>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</si>
  <si>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</si>
  <si>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</si>
  <si>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</si>
  <si>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</si>
  <si>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</si>
  <si>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</si>
  <si>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</si>
  <si>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</si>
  <si>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</si>
  <si>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</si>
  <si>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</si>
  <si>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</si>
  <si>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</si>
  <si>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</si>
  <si>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</si>
  <si>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</si>
  <si>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</si>
  <si>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</si>
  <si>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</si>
  <si>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</si>
  <si>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</si>
  <si>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</si>
  <si>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</si>
  <si>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</si>
  <si>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</si>
  <si>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</si>
  <si>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</si>
  <si>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</si>
  <si>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</si>
  <si>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</si>
  <si>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</si>
  <si>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</si>
  <si>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</si>
  <si>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</si>
  <si>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</si>
  <si>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</si>
  <si>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</si>
  <si>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</si>
  <si>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</si>
  <si>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</si>
  <si>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</si>
  <si>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</si>
  <si>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</si>
  <si>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</si>
  <si>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</si>
  <si>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</si>
  <si>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</si>
  <si>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</si>
  <si>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</si>
  <si>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</si>
  <si>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</si>
  <si>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</si>
  <si>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</si>
  <si>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</si>
  <si>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</si>
  <si>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</si>
  <si>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</si>
  <si>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</si>
  <si>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</si>
  <si>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</si>
  <si>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</si>
  <si>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</si>
  <si>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</si>
  <si>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</si>
  <si>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</si>
  <si>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</si>
  <si>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</si>
  <si>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</si>
  <si>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</si>
  <si>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</si>
  <si>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</si>
  <si>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</si>
  <si>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</si>
  <si>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</si>
  <si>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</si>
  <si>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</si>
  <si>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</si>
  <si>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</si>
  <si>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</si>
  <si>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</si>
  <si>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</si>
  <si>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</si>
  <si>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</si>
  <si>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</si>
  <si>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</si>
  <si>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</si>
  <si>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</si>
  <si>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</si>
  <si>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</si>
  <si>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</si>
  <si>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</si>
  <si>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</si>
  <si>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</si>
  <si>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</si>
  <si>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</si>
  <si>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</si>
  <si>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</si>
  <si>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</si>
  <si>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</si>
  <si>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</si>
  <si>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</si>
  <si>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</si>
  <si>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</si>
  <si>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</si>
  <si>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</si>
  <si>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</si>
  <si>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</si>
  <si>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</si>
  <si>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</si>
  <si>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</si>
  <si>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</si>
  <si>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</si>
  <si>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</si>
  <si>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</si>
  <si>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</si>
  <si>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</si>
  <si>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</si>
  <si>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</si>
  <si>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</si>
  <si>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</si>
  <si>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</si>
  <si>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</si>
  <si>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</si>
  <si>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</si>
  <si>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</si>
  <si>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</si>
  <si>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</si>
  <si>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(10)</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</si>
  <si>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</si>
  <si>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</si>
  <si>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</si>
  <si>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</si>
  <si>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</si>
  <si>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</si>
  <si>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</si>
  <si>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</si>
  <si>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</si>
  <si>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</si>
  <si>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</si>
  <si>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</si>
  <si>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</si>
  <si>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</si>
  <si>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</si>
  <si>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</si>
  <si>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</si>
  <si>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</si>
  <si>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</si>
  <si>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</si>
  <si>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</si>
  <si>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</si>
  <si>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</si>
  <si>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</si>
  <si>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</si>
  <si>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</si>
  <si>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</si>
  <si>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</si>
  <si>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</si>
  <si>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</si>
  <si>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</si>
  <si>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Adjustment to Return on Rate Base associated with Deferred PP&amp;E balance as a result of transition from CGAAP to MIFRS</t>
  </si>
  <si>
    <t>Return on Deemed Equity</t>
  </si>
  <si>
    <t>Adjustment to Return on Rate Base associated with Deferred PP&amp;E balance as a result of transition from CGAAP to MIFRS ($)</t>
  </si>
  <si>
    <t>(11)</t>
  </si>
  <si>
    <r>
      <t xml:space="preserve">Some Applicants may have a unique rate as a result of a lead-lag study.  </t>
    </r>
    <r>
      <rPr>
        <sz val="10"/>
        <color rgb="FFFF0000"/>
        <rFont val="Arial"/>
        <family val="2"/>
      </rPr>
      <t>Default rate for 2013 cost of service applications is 13%.</t>
    </r>
  </si>
  <si>
    <t>Tax Adjustments to Accounting               Income per 2013 PILs model</t>
  </si>
  <si>
    <t>Treated as an adjustment pre-tax to avoid an impact on taxes/PILs and hence on revenue sufficiency deficiency</t>
  </si>
  <si>
    <t>Depreciation Expense should include the adjustment resulting from the amortization of the deferred PP&amp;E balance as shown on Appendix 2-EA or Appendix 2-EB  of the Chapter 2 Appendices to the Filing Requirements.</t>
  </si>
  <si>
    <t>Adjustment should include the adjustment to the return on rate base associated with deferred PP&amp;E balance as shown on Appendix 2-EA or Appendix 2-EB of the Chapter 2 Appendices to the Filing Requirements.</t>
  </si>
  <si>
    <t>EB-2012-0147</t>
  </si>
  <si>
    <t>Christine Bell, CFO</t>
  </si>
  <si>
    <t>705-526-9362 ext 219</t>
  </si>
  <si>
    <t>cbell@midlandpuc.on.ca</t>
  </si>
  <si>
    <t>(12)</t>
  </si>
  <si>
    <t>(13)</t>
  </si>
  <si>
    <t>(14)</t>
  </si>
  <si>
    <t>Adjusted for revised OM&amp;A - IRR 43.VECC-16</t>
  </si>
  <si>
    <t>Adjusted for revised Long Term Debt Rate - IRR 59. VECC - 23</t>
  </si>
  <si>
    <t>(15)</t>
  </si>
  <si>
    <t>Adjusted for revised Amortization - no PP&amp;E Adjustment - IRR 58.SEC-19;  IRR 42. VECC-15</t>
  </si>
  <si>
    <t>Adjusted for Cost of Power Calc - IRR 69. VECC -29 (SME &amp; RPP);  IRR 35.VECC 9d)</t>
  </si>
  <si>
    <t>(16)</t>
  </si>
  <si>
    <t>Adjusted for Interest Revenue (Rev Offset) - IRR 42. VECC-15</t>
  </si>
  <si>
    <t>Adjusted for revised 2012 projects - IRR 23.VECC-6; Adjusted for revised 2013 projects - IRR 23.VECC-6</t>
  </si>
  <si>
    <t>Supplementary Interrogatory Responses</t>
  </si>
  <si>
    <t>Reduction of OM&amp;A Expenses to $2,320,000 plus $30,385 in property taxes - total $2,350,385</t>
  </si>
  <si>
    <t>Removal of Smart Meter Entity from Cost of Power Expenses and adjustment to CDM Variable from Gross to Net</t>
  </si>
  <si>
    <t>Settlement Tab - (1)</t>
  </si>
  <si>
    <t>Settlement Tab - (2)</t>
  </si>
  <si>
    <t>Settlement Tab Descriptions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</si>
</sst>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quot;$&quot;#,##0_);[Red]\(&quot;$&quot;#,##0\)"/>
    <numFmt numFmtId="165" formatCode="&quot;$&quot;#,##0.00_);[Red]\(&quot;$&quot;#,##0.00\)"/>
    <numFmt numFmtId="166" formatCode="0.0%"/>
    <numFmt numFmtId="167" formatCode="_-&quot;$&quot;* #,##0_-;\-&quot;$&quot;* #,##0_-;_-&quot;$&quot;* &quot;-&quot;??_-;_-@_-"/>
    <numFmt numFmtId="168" formatCode="&quot;$&quot;#,##0_);[Red]\(&quot;$&quot;#,##0\);&quot;$&quot;\ \-"/>
    <numFmt numFmtId="169" formatCode="\(#\)"/>
  </numFmts>
  <fonts count="49"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9">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24">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8"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8" fontId="7" fillId="0" borderId="0" xfId="2" applyNumberFormat="1" applyFont="1" applyBorder="1" applyAlignment="1" applyProtection="1">
      <alignment horizontal="right" vertical="center"/>
    </xf>
    <xf numFmtId="168" fontId="0" fillId="0" borderId="0" xfId="2" applyNumberFormat="1" applyFont="1" applyProtection="1"/>
    <xf numFmtId="168" fontId="0" fillId="0" borderId="0" xfId="2" applyNumberFormat="1" applyFont="1" applyBorder="1" applyProtection="1"/>
    <xf numFmtId="168" fontId="0" fillId="0" borderId="0" xfId="2" applyNumberFormat="1" applyFont="1" applyBorder="1" applyAlignment="1" applyProtection="1"/>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3" xfId="0" applyNumberFormat="1" applyBorder="1" applyAlignment="1" applyProtection="1"/>
    <xf numFmtId="168" fontId="0" fillId="0" borderId="4" xfId="2" applyNumberFormat="1" applyFont="1" applyBorder="1" applyAlignment="1" applyProtection="1"/>
    <xf numFmtId="168" fontId="0" fillId="0" borderId="0" xfId="0" applyNumberFormat="1" applyProtection="1"/>
    <xf numFmtId="168" fontId="0" fillId="0" borderId="2" xfId="2" applyNumberFormat="1" applyFont="1" applyBorder="1" applyProtection="1"/>
    <xf numFmtId="168" fontId="0" fillId="0" borderId="2" xfId="2" applyNumberFormat="1" applyFont="1" applyBorder="1" applyAlignment="1" applyProtection="1"/>
    <xf numFmtId="0" fontId="17" fillId="0" borderId="0" xfId="0" applyFont="1" applyAlignment="1" applyProtection="1">
      <alignment wrapText="1"/>
    </xf>
    <xf numFmtId="167"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8"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6" fontId="0" fillId="0" borderId="6" xfId="5" applyNumberFormat="1" applyFont="1" applyBorder="1" applyProtection="1"/>
    <xf numFmtId="168" fontId="0" fillId="0" borderId="6" xfId="2" applyNumberFormat="1" applyFont="1" applyBorder="1" applyProtection="1"/>
    <xf numFmtId="166" fontId="0" fillId="0" borderId="0" xfId="5" applyNumberFormat="1" applyFont="1" applyBorder="1" applyProtection="1"/>
    <xf numFmtId="168"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8"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8" fontId="0" fillId="0" borderId="0" xfId="2" applyNumberFormat="1" applyFont="1" applyFill="1" applyBorder="1" applyProtection="1"/>
    <xf numFmtId="164" fontId="0" fillId="0" borderId="0" xfId="0" applyNumberFormat="1" applyBorder="1" applyProtection="1"/>
    <xf numFmtId="168" fontId="0" fillId="0" borderId="2" xfId="2" applyNumberFormat="1" applyFont="1" applyFill="1" applyBorder="1" applyProtection="1"/>
    <xf numFmtId="0" fontId="8" fillId="0" borderId="0" xfId="0" applyFont="1" applyProtection="1"/>
    <xf numFmtId="0" fontId="8" fillId="0" borderId="0" xfId="0" applyFont="1" applyBorder="1" applyProtection="1"/>
    <xf numFmtId="168" fontId="8" fillId="0" borderId="0" xfId="0" applyNumberFormat="1" applyFont="1" applyProtection="1"/>
    <xf numFmtId="168" fontId="1" fillId="0" borderId="0" xfId="0" applyNumberFormat="1" applyFont="1" applyFill="1" applyAlignment="1" applyProtection="1"/>
    <xf numFmtId="168" fontId="0" fillId="0" borderId="0" xfId="2" applyNumberFormat="1" applyFont="1" applyFill="1" applyBorder="1" applyAlignment="1" applyProtection="1"/>
    <xf numFmtId="164" fontId="0" fillId="0" borderId="0" xfId="0" applyNumberFormat="1" applyBorder="1" applyAlignment="1" applyProtection="1">
      <alignment horizontal="right"/>
    </xf>
    <xf numFmtId="168"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8"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8"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8"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8" fontId="0" fillId="0" borderId="0" xfId="2" applyNumberFormat="1" applyFont="1" applyFill="1" applyBorder="1" applyAlignment="1" applyProtection="1">
      <alignment horizontal="right"/>
    </xf>
    <xf numFmtId="168" fontId="0" fillId="0" borderId="0" xfId="0" applyNumberFormat="1" applyAlignment="1" applyProtection="1"/>
    <xf numFmtId="168" fontId="0" fillId="0" borderId="0" xfId="0" applyNumberFormat="1" applyBorder="1" applyAlignment="1" applyProtection="1"/>
    <xf numFmtId="168" fontId="0" fillId="0" borderId="0" xfId="2" applyNumberFormat="1" applyFont="1" applyAlignment="1" applyProtection="1">
      <alignment horizontal="right"/>
    </xf>
    <xf numFmtId="168"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8" fontId="0" fillId="0" borderId="0" xfId="0" applyNumberFormat="1" applyBorder="1" applyAlignment="1" applyProtection="1">
      <alignment horizontal="center"/>
    </xf>
    <xf numFmtId="168" fontId="0" fillId="0" borderId="0" xfId="0" applyNumberFormat="1" applyBorder="1" applyAlignment="1" applyProtection="1">
      <alignment horizontal="right"/>
    </xf>
    <xf numFmtId="168" fontId="0" fillId="0" borderId="0" xfId="0" applyNumberFormat="1" applyFill="1" applyBorder="1" applyAlignment="1" applyProtection="1">
      <alignment horizontal="right"/>
    </xf>
    <xf numFmtId="168"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6" fontId="0" fillId="0" borderId="0" xfId="5" applyNumberFormat="1" applyFont="1" applyFill="1" applyBorder="1" applyProtection="1"/>
    <xf numFmtId="166" fontId="0" fillId="0" borderId="6" xfId="5" applyNumberFormat="1" applyFont="1" applyFill="1" applyBorder="1" applyProtection="1"/>
    <xf numFmtId="0" fontId="28" fillId="0" borderId="0" xfId="0" applyFont="1" applyProtection="1"/>
    <xf numFmtId="168"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9" fontId="0" fillId="0" borderId="0" xfId="0" applyNumberFormat="1" applyFill="1" applyProtection="1"/>
    <xf numFmtId="169" fontId="3" fillId="0" borderId="0" xfId="0" quotePrefix="1" applyNumberFormat="1" applyFont="1" applyFill="1" applyProtection="1"/>
    <xf numFmtId="166"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9"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8" fontId="0" fillId="0" borderId="1" xfId="2" applyNumberFormat="1" applyFont="1" applyBorder="1" applyAlignment="1" applyProtection="1">
      <alignment vertical="top"/>
    </xf>
    <xf numFmtId="168" fontId="0" fillId="0" borderId="5" xfId="2" applyNumberFormat="1" applyFont="1" applyBorder="1" applyAlignment="1" applyProtection="1">
      <alignment vertical="top"/>
    </xf>
    <xf numFmtId="168" fontId="0" fillId="0" borderId="7" xfId="2" applyNumberFormat="1" applyFont="1" applyBorder="1" applyAlignment="1" applyProtection="1">
      <alignment vertical="top"/>
    </xf>
    <xf numFmtId="168" fontId="0" fillId="0" borderId="8" xfId="2" applyNumberFormat="1" applyFont="1" applyBorder="1" applyAlignment="1" applyProtection="1">
      <alignment vertical="top"/>
    </xf>
    <xf numFmtId="168" fontId="0" fillId="0" borderId="11" xfId="2" applyNumberFormat="1" applyFont="1" applyBorder="1" applyAlignment="1" applyProtection="1">
      <alignment vertical="top"/>
    </xf>
    <xf numFmtId="168" fontId="0" fillId="0" borderId="12" xfId="2" applyNumberFormat="1" applyFont="1" applyBorder="1" applyAlignment="1" applyProtection="1">
      <alignment vertical="top"/>
    </xf>
    <xf numFmtId="168" fontId="0" fillId="0" borderId="11" xfId="0" applyNumberFormat="1" applyBorder="1" applyAlignment="1" applyProtection="1">
      <alignment vertical="top"/>
    </xf>
    <xf numFmtId="168" fontId="0" fillId="0" borderId="5" xfId="0" applyNumberFormat="1" applyBorder="1" applyAlignment="1" applyProtection="1">
      <alignment vertical="top"/>
    </xf>
    <xf numFmtId="168"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8"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8" fontId="1" fillId="0" borderId="1" xfId="0" applyNumberFormat="1" applyFont="1" applyFill="1" applyBorder="1" applyAlignment="1" applyProtection="1">
      <alignment vertical="top"/>
    </xf>
    <xf numFmtId="167" fontId="1" fillId="0" borderId="5" xfId="2" applyNumberFormat="1" applyFont="1" applyFill="1" applyBorder="1" applyAlignment="1" applyProtection="1">
      <alignment vertical="top"/>
    </xf>
    <xf numFmtId="167"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8" fontId="0" fillId="0" borderId="0" xfId="2" applyNumberFormat="1" applyFont="1" applyFill="1" applyAlignment="1" applyProtection="1">
      <alignment vertical="top"/>
    </xf>
    <xf numFmtId="167"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7"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7" fontId="0" fillId="0" borderId="0" xfId="2" applyNumberFormat="1" applyFont="1" applyAlignment="1" applyProtection="1">
      <alignment vertical="top"/>
    </xf>
    <xf numFmtId="10" fontId="0" fillId="0" borderId="0" xfId="5" applyNumberFormat="1" applyFont="1" applyFill="1" applyAlignment="1" applyProtection="1">
      <alignment vertical="top"/>
    </xf>
    <xf numFmtId="169"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9" fontId="3" fillId="0" borderId="0" xfId="0" quotePrefix="1" applyNumberFormat="1" applyFont="1" applyFill="1" applyAlignment="1" applyProtection="1">
      <alignment vertical="top"/>
    </xf>
    <xf numFmtId="166" fontId="0" fillId="0" borderId="0" xfId="0" applyNumberFormat="1" applyFill="1" applyAlignment="1" applyProtection="1">
      <alignment vertical="top"/>
    </xf>
    <xf numFmtId="166"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8" fontId="0" fillId="0" borderId="2" xfId="2" applyNumberFormat="1" applyFont="1" applyFill="1" applyBorder="1" applyAlignment="1" applyProtection="1">
      <alignment vertical="top"/>
    </xf>
    <xf numFmtId="168" fontId="0" fillId="0" borderId="0" xfId="2" applyNumberFormat="1" applyFont="1" applyFill="1" applyBorder="1" applyAlignment="1" applyProtection="1">
      <alignment vertical="top"/>
    </xf>
    <xf numFmtId="168"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8" fontId="0" fillId="0" borderId="0" xfId="2" applyNumberFormat="1" applyFont="1" applyAlignment="1" applyProtection="1">
      <alignment vertical="top"/>
    </xf>
    <xf numFmtId="168" fontId="0" fillId="0" borderId="0" xfId="2" applyNumberFormat="1" applyFont="1" applyBorder="1" applyAlignment="1" applyProtection="1">
      <alignment horizontal="right" vertical="top"/>
    </xf>
    <xf numFmtId="168"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8" fontId="0" fillId="0" borderId="0" xfId="0" applyNumberFormat="1" applyAlignment="1" applyProtection="1">
      <alignment vertical="top"/>
    </xf>
    <xf numFmtId="168" fontId="0" fillId="0" borderId="4" xfId="0" applyNumberFormat="1" applyFill="1" applyBorder="1" applyAlignment="1" applyProtection="1">
      <alignment vertical="top"/>
    </xf>
    <xf numFmtId="168" fontId="0" fillId="0" borderId="0" xfId="0" applyNumberFormat="1" applyFill="1" applyBorder="1" applyAlignment="1" applyProtection="1">
      <alignment vertical="top"/>
    </xf>
    <xf numFmtId="168"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8"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8" fontId="0" fillId="0" borderId="0" xfId="2" applyNumberFormat="1" applyFont="1" applyBorder="1" applyAlignment="1" applyProtection="1">
      <alignment horizontal="center" vertical="top"/>
    </xf>
    <xf numFmtId="168" fontId="0" fillId="0" borderId="4" xfId="2" applyNumberFormat="1" applyFont="1" applyBorder="1" applyAlignment="1" applyProtection="1">
      <alignment horizontal="right" vertical="top"/>
    </xf>
    <xf numFmtId="169"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9"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8" fontId="23" fillId="0" borderId="2" xfId="2" applyNumberFormat="1" applyFont="1" applyFill="1" applyBorder="1" applyAlignment="1" applyProtection="1">
      <alignment vertical="top"/>
    </xf>
    <xf numFmtId="168" fontId="23" fillId="0" borderId="0" xfId="2" applyNumberFormat="1" applyFont="1" applyFill="1" applyBorder="1" applyAlignment="1" applyProtection="1">
      <alignment vertical="top"/>
    </xf>
    <xf numFmtId="168" fontId="23" fillId="0" borderId="0" xfId="2" quotePrefix="1" applyNumberFormat="1" applyFont="1" applyFill="1" applyBorder="1" applyAlignment="1" applyProtection="1">
      <alignment vertical="top"/>
    </xf>
    <xf numFmtId="169" fontId="23" fillId="0" borderId="0" xfId="0" applyNumberFormat="1" applyFont="1" applyFill="1" applyAlignment="1" applyProtection="1">
      <alignment vertical="top"/>
    </xf>
    <xf numFmtId="169" fontId="23" fillId="0" borderId="0" xfId="0" quotePrefix="1" applyNumberFormat="1" applyFont="1" applyFill="1" applyAlignment="1" applyProtection="1">
      <alignment vertical="top"/>
    </xf>
    <xf numFmtId="168" fontId="23" fillId="0" borderId="0" xfId="2" applyNumberFormat="1" applyFont="1" applyFill="1" applyBorder="1" applyProtection="1"/>
    <xf numFmtId="169"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8" fontId="28" fillId="0" borderId="0" xfId="2" applyNumberFormat="1" applyFont="1" applyProtection="1"/>
    <xf numFmtId="169" fontId="28" fillId="0" borderId="0" xfId="0" applyNumberFormat="1" applyFont="1" applyFill="1" applyBorder="1" applyProtection="1">
      <protection locked="0"/>
    </xf>
    <xf numFmtId="164" fontId="28" fillId="2" borderId="0" xfId="0" applyNumberFormat="1" applyFont="1" applyFill="1" applyProtection="1"/>
    <xf numFmtId="168" fontId="28" fillId="0" borderId="0" xfId="2" applyNumberFormat="1" applyFont="1" applyAlignment="1" applyProtection="1"/>
    <xf numFmtId="168"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8" fontId="0" fillId="0" borderId="0" xfId="2" applyNumberFormat="1" applyFont="1" applyFill="1" applyAlignment="1" applyProtection="1">
      <alignment vertical="top"/>
      <protection locked="0"/>
    </xf>
    <xf numFmtId="169" fontId="0" fillId="0" borderId="0" xfId="0" applyNumberFormat="1" applyFill="1" applyProtection="1">
      <protection locked="0"/>
    </xf>
    <xf numFmtId="168"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9" fontId="0" fillId="0" borderId="14" xfId="0" applyNumberFormat="1" applyFill="1" applyBorder="1" applyAlignment="1" applyProtection="1">
      <protection locked="0"/>
    </xf>
    <xf numFmtId="169"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9" fontId="3" fillId="0" borderId="0" xfId="0" quotePrefix="1" applyNumberFormat="1" applyFont="1" applyFill="1" applyAlignment="1" applyProtection="1">
      <alignment vertical="top"/>
      <protection locked="0"/>
    </xf>
    <xf numFmtId="168"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6" fontId="0" fillId="4" borderId="0" xfId="0" applyNumberFormat="1" applyFill="1" applyAlignment="1" applyProtection="1">
      <alignment vertical="top"/>
      <protection locked="0"/>
    </xf>
    <xf numFmtId="166"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9" fontId="0" fillId="4" borderId="0" xfId="0" applyNumberFormat="1" applyFill="1" applyAlignment="1" applyProtection="1">
      <alignment vertical="top"/>
      <protection locked="0"/>
    </xf>
    <xf numFmtId="169" fontId="0" fillId="4" borderId="0" xfId="0" applyNumberFormat="1" applyFill="1" applyProtection="1">
      <protection locked="0"/>
    </xf>
    <xf numFmtId="169"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0" fillId="0" borderId="0" xfId="0" applyAlignment="1" applyProtection="1"/>
    <xf numFmtId="0" fontId="7" fillId="0" borderId="0" xfId="0" applyFont="1" applyAlignment="1" applyProtection="1">
      <alignment vertical="top" wrapText="1"/>
    </xf>
    <xf numFmtId="0" fontId="7" fillId="0" borderId="0" xfId="0" applyFont="1" applyAlignment="1" applyProtection="1">
      <alignment horizontal="left" indent="1"/>
    </xf>
    <xf numFmtId="0" fontId="7" fillId="0" borderId="0" xfId="0" applyFont="1" applyAlignment="1" applyProtection="1">
      <alignment horizontal="left" vertical="top" wrapText="1" indent="1"/>
    </xf>
    <xf numFmtId="168" fontId="0" fillId="0" borderId="3" xfId="2" applyNumberFormat="1" applyFont="1" applyBorder="1" applyAlignment="1" applyProtection="1"/>
    <xf numFmtId="168" fontId="0" fillId="0" borderId="4" xfId="2" applyNumberFormat="1" applyFont="1" applyBorder="1" applyAlignment="1" applyProtection="1"/>
    <xf numFmtId="0" fontId="3" fillId="0" borderId="2" xfId="0" applyFont="1" applyBorder="1" applyAlignment="1" applyProtection="1">
      <alignment horizontal="center" wrapText="1"/>
    </xf>
    <xf numFmtId="168" fontId="0" fillId="0" borderId="0" xfId="2" applyNumberFormat="1" applyFont="1" applyBorder="1" applyAlignment="1" applyProtection="1"/>
    <xf numFmtId="0" fontId="7" fillId="0" borderId="0" xfId="0" applyFont="1" applyAlignment="1" applyProtection="1">
      <alignment wrapText="1"/>
    </xf>
    <xf numFmtId="0" fontId="3" fillId="0" borderId="0" xfId="0" quotePrefix="1" applyFont="1" applyBorder="1" applyAlignment="1" applyProtection="1">
      <alignment vertical="top"/>
    </xf>
    <xf numFmtId="168" fontId="0" fillId="0" borderId="2" xfId="2" applyNumberFormat="1" applyFont="1" applyBorder="1" applyAlignment="1" applyProtection="1">
      <alignment vertical="top"/>
    </xf>
    <xf numFmtId="169"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3" fillId="0" borderId="0" xfId="0" quotePrefix="1" applyFont="1" applyAlignment="1" applyProtection="1">
      <alignment vertical="top"/>
      <protection locked="0"/>
    </xf>
    <xf numFmtId="169" fontId="1" fillId="4" borderId="14" xfId="0" quotePrefix="1" applyNumberFormat="1" applyFont="1" applyFill="1" applyBorder="1" applyAlignment="1" applyProtection="1">
      <protection locked="0"/>
    </xf>
    <xf numFmtId="169" fontId="1" fillId="4" borderId="0" xfId="0" quotePrefix="1" applyNumberFormat="1" applyFont="1" applyFill="1" applyAlignment="1" applyProtection="1">
      <alignment vertical="top"/>
      <protection locked="0"/>
    </xf>
    <xf numFmtId="165" fontId="7" fillId="4" borderId="0" xfId="2" applyNumberFormat="1" applyFont="1" applyFill="1" applyAlignment="1" applyProtection="1">
      <alignment vertical="top"/>
      <protection locked="0"/>
    </xf>
    <xf numFmtId="165" fontId="0" fillId="4" borderId="0" xfId="2" applyNumberFormat="1" applyFont="1" applyFill="1" applyAlignment="1" applyProtection="1">
      <alignment vertical="top"/>
      <protection locked="0"/>
    </xf>
    <xf numFmtId="169" fontId="1" fillId="4" borderId="0" xfId="0" applyNumberFormat="1" applyFont="1" applyFill="1" applyAlignment="1" applyProtection="1">
      <alignment vertical="top"/>
      <protection locked="0"/>
    </xf>
    <xf numFmtId="0" fontId="1" fillId="0" borderId="0" xfId="0" applyFont="1"/>
    <xf numFmtId="0" fontId="1" fillId="0" borderId="0" xfId="0" quotePrefix="1" applyFont="1" applyAlignment="1">
      <alignment horizontal="center"/>
    </xf>
    <xf numFmtId="0" fontId="0" fillId="0" borderId="0" xfId="0" applyAlignment="1">
      <alignment horizontal="center"/>
    </xf>
    <xf numFmtId="0" fontId="3" fillId="0" borderId="0" xfId="0" applyFont="1"/>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0" fillId="0" borderId="0" xfId="0" applyFill="1" applyAlignment="1" applyProtection="1">
      <alignment horizontal="left" wrapText="1"/>
      <protection locked="0"/>
    </xf>
    <xf numFmtId="0" fontId="7" fillId="0" borderId="0" xfId="0" applyFont="1" applyFill="1" applyAlignment="1" applyProtection="1">
      <alignment horizontal="left" vertical="center" wrapText="1"/>
      <protection locked="0"/>
    </xf>
    <xf numFmtId="0" fontId="0" fillId="0" borderId="0" xfId="0" applyAlignment="1">
      <alignment horizontal="left" vertical="center" wrapText="1"/>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horizontal="left" wrapText="1"/>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1" fillId="4" borderId="0" xfId="0" applyFont="1" applyFill="1" applyAlignment="1" applyProtection="1">
      <alignment horizontal="left" wrapText="1"/>
      <protection locked="0"/>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7" fillId="0" borderId="0" xfId="0" applyFont="1" applyAlignment="1" applyProtection="1">
      <alignment wrapText="1"/>
    </xf>
    <xf numFmtId="0" fontId="0" fillId="4" borderId="0" xfId="0" applyFill="1" applyAlignment="1" applyProtection="1">
      <alignment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8" fontId="0" fillId="0" borderId="3" xfId="2" applyNumberFormat="1" applyFont="1" applyBorder="1" applyAlignment="1" applyProtection="1">
      <alignment horizontal="right"/>
    </xf>
    <xf numFmtId="168"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168" fontId="0" fillId="0" borderId="3" xfId="0" applyNumberFormat="1" applyBorder="1" applyAlignment="1" applyProtection="1">
      <alignment horizontal="right"/>
    </xf>
    <xf numFmtId="168" fontId="0" fillId="0" borderId="4" xfId="0" applyNumberFormat="1" applyBorder="1" applyAlignment="1" applyProtection="1">
      <alignment horizontal="right"/>
    </xf>
    <xf numFmtId="168" fontId="0" fillId="0" borderId="13" xfId="2" applyNumberFormat="1" applyFont="1" applyBorder="1" applyAlignment="1" applyProtection="1">
      <alignment horizontal="right"/>
    </xf>
    <xf numFmtId="168" fontId="0" fillId="0" borderId="2" xfId="2" applyNumberFormat="1" applyFont="1" applyBorder="1" applyAlignment="1" applyProtection="1">
      <alignment horizontal="right"/>
    </xf>
    <xf numFmtId="168" fontId="0" fillId="0" borderId="3" xfId="2" applyNumberFormat="1" applyFont="1" applyFill="1" applyBorder="1" applyAlignment="1" applyProtection="1">
      <alignment horizontal="right"/>
    </xf>
    <xf numFmtId="168" fontId="0" fillId="0" borderId="4" xfId="2" applyNumberFormat="1" applyFont="1" applyFill="1" applyBorder="1" applyAlignment="1" applyProtection="1">
      <alignment horizontal="right"/>
    </xf>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2" xfId="2" applyNumberFormat="1" applyFont="1" applyBorder="1" applyAlignment="1" applyProtection="1"/>
    <xf numFmtId="0" fontId="5" fillId="0" borderId="0" xfId="0" applyFont="1" applyFill="1" applyAlignment="1" applyProtection="1">
      <alignment horizontal="center"/>
    </xf>
    <xf numFmtId="0" fontId="0" fillId="4" borderId="0" xfId="0" applyFill="1" applyBorder="1" applyAlignment="1" applyProtection="1">
      <alignment wrapText="1"/>
      <protection locked="0"/>
    </xf>
    <xf numFmtId="0" fontId="7" fillId="4" borderId="0" xfId="0" applyFont="1" applyFill="1" applyBorder="1" applyAlignment="1" applyProtection="1">
      <alignment wrapText="1"/>
      <protection locked="0"/>
    </xf>
    <xf numFmtId="0" fontId="10" fillId="0" borderId="0" xfId="0" applyFont="1" applyBorder="1" applyAlignment="1" applyProtection="1">
      <alignment horizontal="left"/>
    </xf>
    <xf numFmtId="0" fontId="23" fillId="0" borderId="0" xfId="0" applyFont="1" applyFill="1" applyAlignment="1" applyProtection="1">
      <alignment wrapText="1"/>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6" borderId="0" xfId="0" applyFont="1" applyFill="1" applyBorder="1" applyAlignment="1" applyProtection="1">
      <alignment horizontal="center" vertical="center"/>
    </xf>
    <xf numFmtId="0" fontId="0" fillId="0" borderId="0" xfId="0" applyAlignment="1" applyProtection="1">
      <alignment horizontal="left" vertical="top"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center"/>
    </xf>
    <xf numFmtId="0" fontId="7" fillId="0" borderId="0" xfId="0" applyFont="1" applyFill="1" applyAlignment="1" applyProtection="1">
      <alignment vertical="top" wrapText="1"/>
    </xf>
    <xf numFmtId="0" fontId="0" fillId="0" borderId="0" xfId="0" applyAlignment="1">
      <alignment vertical="top" wrapText="1"/>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168" fontId="0" fillId="0" borderId="2" xfId="0" applyNumberFormat="1" applyBorder="1" applyAlignment="1" applyProtection="1">
      <alignment horizontal="right"/>
    </xf>
    <xf numFmtId="168" fontId="0" fillId="0" borderId="3" xfId="0" applyNumberFormat="1" applyFill="1" applyBorder="1" applyAlignment="1" applyProtection="1">
      <alignment horizontal="right"/>
    </xf>
    <xf numFmtId="168"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8" fontId="0" fillId="0" borderId="0" xfId="2" applyNumberFormat="1" applyFont="1" applyAlignment="1" applyProtection="1">
      <alignment horizontal="right"/>
    </xf>
    <xf numFmtId="168" fontId="0" fillId="0" borderId="0" xfId="2" applyNumberFormat="1" applyFont="1" applyAlignment="1" applyProtection="1"/>
    <xf numFmtId="168" fontId="0" fillId="0" borderId="0" xfId="0" applyNumberFormat="1" applyAlignment="1" applyProtection="1"/>
    <xf numFmtId="168" fontId="28" fillId="0" borderId="0" xfId="2" applyNumberFormat="1" applyFont="1" applyAlignment="1" applyProtection="1"/>
    <xf numFmtId="168" fontId="28" fillId="0" borderId="0" xfId="0" applyNumberFormat="1" applyFont="1" applyAlignment="1" applyProtection="1"/>
    <xf numFmtId="168" fontId="0" fillId="0" borderId="0" xfId="2" applyNumberFormat="1" applyFont="1" applyFill="1" applyBorder="1" applyAlignment="1" applyProtection="1">
      <alignment horizontal="right"/>
    </xf>
    <xf numFmtId="168" fontId="0" fillId="0" borderId="0" xfId="0" applyNumberFormat="1" applyBorder="1" applyAlignment="1" applyProtection="1">
      <alignment horizontal="center"/>
    </xf>
    <xf numFmtId="168" fontId="0" fillId="0" borderId="6" xfId="2" applyNumberFormat="1" applyFont="1" applyBorder="1" applyAlignment="1" applyProtection="1">
      <alignment horizontal="right"/>
    </xf>
    <xf numFmtId="168" fontId="7" fillId="0" borderId="0" xfId="2" applyNumberFormat="1" applyFont="1" applyBorder="1" applyAlignment="1" applyProtection="1">
      <alignment horizontal="right" vertical="center"/>
    </xf>
    <xf numFmtId="168" fontId="7" fillId="0" borderId="0" xfId="0" applyNumberFormat="1" applyFont="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8" fontId="0" fillId="0" borderId="0" xfId="2" applyNumberFormat="1" applyFont="1" applyBorder="1" applyAlignment="1" applyProtection="1"/>
    <xf numFmtId="168" fontId="0" fillId="0" borderId="0" xfId="0" applyNumberFormat="1" applyBorder="1" applyAlignment="1" applyProtection="1"/>
    <xf numFmtId="168" fontId="0" fillId="0" borderId="2" xfId="0" applyNumberFormat="1" applyBorder="1" applyAlignment="1" applyProtection="1"/>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microsoft.com/office/2006/relationships/vbaProject" Target="vbaProject.bin"/></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8857420" cy="1952624"/>
          <a:chOff x="9524" y="19051"/>
          <a:chExt cx="8537711" cy="1924049"/>
        </a:xfrm>
      </xdr:grpSpPr>
      <xdr:pic>
        <xdr:nvPicPr>
          <xdr:cNvPr id="26" name="Picture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823082</xdr:colOff>
      <xdr:row>7</xdr:row>
      <xdr:rowOff>266699</xdr:rowOff>
    </xdr:to>
    <xdr:grpSp>
      <xdr:nvGrpSpPr>
        <xdr:cNvPr id="11" name="Group 10"/>
        <xdr:cNvGrpSpPr/>
      </xdr:nvGrpSpPr>
      <xdr:grpSpPr>
        <a:xfrm>
          <a:off x="0" y="0"/>
          <a:ext cx="8862182"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42</xdr:row>
      <xdr:rowOff>28575</xdr:rowOff>
    </xdr:from>
    <xdr:to>
      <xdr:col>5</xdr:col>
      <xdr:colOff>762000</xdr:colOff>
      <xdr:row>44</xdr:row>
      <xdr:rowOff>19050</xdr:rowOff>
    </xdr:to>
    <xdr:grpSp>
      <xdr:nvGrpSpPr>
        <xdr:cNvPr id="4113" name="Group 17"/>
        <xdr:cNvGrpSpPr>
          <a:grpSpLocks/>
        </xdr:cNvGrpSpPr>
      </xdr:nvGrpSpPr>
      <xdr:grpSpPr bwMode="auto">
        <a:xfrm>
          <a:off x="895350" y="8753475"/>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0391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ATE%20APPLICATION%20-%202013/Midland%20Rate%20Application/Models/Revenue%20Requirement%20Model%20-%202013%20for%202009%20Rebaser%20Midlan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ATE%20APPLICATION%20-%202013/Midland%20Rate%20Application/Interrogatories-Second%20Round/OEB%20Filing%20-%20Dec%202012%20-%20same%20as%20Model%20Change%208/OEB%20Filings%20-%20Broken%20Links/Revenue%20Requirement%20Model%20-%202013%20for%202009%20Rebaser%20Midlan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ATE%20APPLICATION%20-%202013/Midland%20Rate%20Application/Models/Settlement/5%20-%20Exh%209%20-%20Stranded%20Meters/5%20-%20Stranded%20Meters%20-%20Revenue%20Requirement%20Model%20-%202013%20for%202009%20Rebaser%20Midla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ATE%20APPLICATION%20-%202013/Midland%20Rate%20Application/Cost%20Allocation/CA%20for%20COS%20Application/2013_Cost_Allocation_Model_V3_07052012%20Midland.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ATE%20APPLICATION%20-%202013/Midland%20Rate%20Application/Models/Filing_Requirements_Chapter2_Appendices%20Midland%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1. FA Continuity 2009"/>
      <sheetName val="2. FA Continuity 2010"/>
      <sheetName val="3. FA Continuity 2011"/>
      <sheetName val="4. FA Continuity 2012"/>
      <sheetName val="5. FA Continuity 2013"/>
      <sheetName val="5(B) FA 2009 to 2013"/>
      <sheetName val="6. Trial Balance "/>
      <sheetName val="6a OM&amp;A 2009COS 2009"/>
      <sheetName val="6b OM&amp;A 2009 2010"/>
      <sheetName val="6c OM&amp;A 2010 2011"/>
      <sheetName val="6d OM&amp;A 2011 2012"/>
      <sheetName val="6e OM&amp;A 2012 2013"/>
      <sheetName val="7. 2009 Balance Sheet"/>
      <sheetName val="8. 2009 Income Statement"/>
      <sheetName val="9. 2010 Balance Sheet"/>
      <sheetName val="10. 2010 Income Statement"/>
      <sheetName val="11. 2011 Balance Sheet"/>
      <sheetName val="12. 2011 Income Statement"/>
      <sheetName val="13. 2012 Balance Sheet"/>
      <sheetName val="14. 2012 Income Statement"/>
      <sheetName val="15. 2013 Balance Shee"/>
      <sheetName val="16. 2013 Income Statement"/>
      <sheetName val="17. Return on Capital"/>
      <sheetName val="18. Debt &amp; Capital Structure"/>
      <sheetName val="18a Debt Details"/>
      <sheetName val="19. Tax rates"/>
      <sheetName val="20. CCA Continuity 2012"/>
      <sheetName val="21. CCA Continuity 2013"/>
      <sheetName val="22. Reserves Continuity"/>
      <sheetName val="23. Corporation Loss Continuity"/>
      <sheetName val="24. Tax Adjustments 2012"/>
      <sheetName val="25. Tax Adjustments 2013"/>
      <sheetName val="26. 2013 Rev Deficiency"/>
      <sheetName val="27. Capital Tax &amp; Exp Schedules"/>
      <sheetName val="28. Revenue Requirement"/>
      <sheetName val="Sheet1"/>
    </sheetNames>
    <sheetDataSet>
      <sheetData sheetId="0" refreshError="1"/>
      <sheetData sheetId="1" refreshError="1"/>
      <sheetData sheetId="2" refreshError="1"/>
      <sheetData sheetId="3" refreshError="1"/>
      <sheetData sheetId="4" refreshError="1"/>
      <sheetData sheetId="5" refreshError="1">
        <row r="123">
          <cell r="D123">
            <v>25229021.827593945</v>
          </cell>
          <cell r="G123">
            <v>25954029.004345797</v>
          </cell>
          <cell r="I123">
            <v>12511127.741776595</v>
          </cell>
          <cell r="L123">
            <v>12403028.945066504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91">
          <cell r="D91">
            <v>0.56000000000000005</v>
          </cell>
        </row>
        <row r="174">
          <cell r="E174">
            <v>3.4407650845202857E-2</v>
          </cell>
        </row>
        <row r="175">
          <cell r="E175">
            <v>2.0799999999999999E-2</v>
          </cell>
        </row>
        <row r="176">
          <cell r="E176">
            <v>9.1200000000000003E-2</v>
          </cell>
        </row>
        <row r="184">
          <cell r="E184">
            <v>378986.69036558975</v>
          </cell>
        </row>
        <row r="185">
          <cell r="E185">
            <v>548841.46808419633</v>
          </cell>
        </row>
        <row r="186">
          <cell r="E186">
            <v>498599.45260413433</v>
          </cell>
        </row>
        <row r="187">
          <cell r="E187">
            <v>4450.0360725329965</v>
          </cell>
        </row>
        <row r="188">
          <cell r="E188">
            <v>1085055.7853956842</v>
          </cell>
        </row>
        <row r="189">
          <cell r="E189">
            <v>30385</v>
          </cell>
        </row>
        <row r="191">
          <cell r="E191">
            <v>19811586.624456361</v>
          </cell>
        </row>
      </sheetData>
      <sheetData sheetId="24" refreshError="1"/>
      <sheetData sheetId="25" refreshError="1"/>
      <sheetData sheetId="26" refreshError="1">
        <row r="15">
          <cell r="C15">
            <v>0.11</v>
          </cell>
        </row>
        <row r="17">
          <cell r="C17">
            <v>4.4999999999999998E-2</v>
          </cell>
        </row>
      </sheetData>
      <sheetData sheetId="27" refreshError="1"/>
      <sheetData sheetId="28" refreshError="1"/>
      <sheetData sheetId="29" refreshError="1"/>
      <sheetData sheetId="30" refreshError="1"/>
      <sheetData sheetId="31" refreshError="1"/>
      <sheetData sheetId="32" refreshError="1">
        <row r="165">
          <cell r="F165">
            <v>-579842.76603918872</v>
          </cell>
        </row>
      </sheetData>
      <sheetData sheetId="33" refreshError="1">
        <row r="146">
          <cell r="D146">
            <v>826.45877698628408</v>
          </cell>
        </row>
      </sheetData>
      <sheetData sheetId="34" refreshError="1"/>
      <sheetData sheetId="35" refreshError="1">
        <row r="62">
          <cell r="C62">
            <v>2546318.4325221376</v>
          </cell>
        </row>
        <row r="63">
          <cell r="C63">
            <v>682735.33243281115</v>
          </cell>
        </row>
        <row r="74">
          <cell r="C74">
            <v>263604</v>
          </cell>
        </row>
        <row r="80">
          <cell r="F80">
            <v>-19500</v>
          </cell>
        </row>
        <row r="85">
          <cell r="F85">
            <v>-78200</v>
          </cell>
        </row>
        <row r="87">
          <cell r="F87">
            <v>-5600</v>
          </cell>
        </row>
        <row r="88">
          <cell r="D88">
            <v>-23400</v>
          </cell>
        </row>
        <row r="90">
          <cell r="D90">
            <v>-108600</v>
          </cell>
        </row>
        <row r="97">
          <cell r="F97">
            <v>-94300</v>
          </cell>
        </row>
        <row r="98">
          <cell r="F98">
            <v>64500</v>
          </cell>
        </row>
        <row r="104">
          <cell r="F104">
            <v>0</v>
          </cell>
        </row>
        <row r="106">
          <cell r="F106">
            <v>22596</v>
          </cell>
        </row>
        <row r="107">
          <cell r="F107">
            <v>-58800</v>
          </cell>
        </row>
        <row r="108">
          <cell r="F108">
            <v>37700</v>
          </cell>
        </row>
      </sheetData>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1. FA Continuity 2009"/>
      <sheetName val="2. FA Continuity 2010"/>
      <sheetName val="3. FA Continuity 2011"/>
      <sheetName val="4. FA Continuity 2012"/>
      <sheetName val="5. FA Continuity 2013"/>
      <sheetName val="5(B) FA 2009 to 2013"/>
      <sheetName val="6. Trial Balance "/>
      <sheetName val="6a OM&amp;A 2009COS 2009"/>
      <sheetName val="6b OM&amp;A 2009 2010"/>
      <sheetName val="6c OM&amp;A 2010 2011"/>
      <sheetName val="6d OM&amp;A 2011 2012"/>
      <sheetName val="6e OM&amp;A 2012 2013"/>
      <sheetName val="7. 2009 Balance Sheet"/>
      <sheetName val="8. 2009 Income Statement"/>
      <sheetName val="9. 2010 Balance Sheet"/>
      <sheetName val="10. 2010 Income Statement"/>
      <sheetName val="11. 2011 Balance Sheet"/>
      <sheetName val="12. 2011 Income Statement"/>
      <sheetName val="13. 2012 Balance Sheet"/>
      <sheetName val="14. 2012 Income Statement"/>
      <sheetName val="15. 2013 Balance Shee"/>
      <sheetName val="16. 2013 Income Statement"/>
      <sheetName val="17. Return on Capital"/>
      <sheetName val="18. Debt &amp; Capital Structure"/>
      <sheetName val="18a Debt Details"/>
      <sheetName val="19. Tax rates"/>
      <sheetName val="20. CCA Continuity 2012"/>
      <sheetName val="21. CCA Continuity 2013"/>
      <sheetName val="22. Reserves Continuity"/>
      <sheetName val="23. Corporation Loss Continuity"/>
      <sheetName val="24. Tax Adjustments 2012"/>
      <sheetName val="25. Tax Adjustments 2013"/>
      <sheetName val="26. 2013 Rev Deficiency"/>
      <sheetName val="27. Capital Tax &amp; Exp Schedules"/>
      <sheetName val="28. Revenue Requirement"/>
      <sheetName val="Sheet1"/>
    </sheetNames>
    <sheetDataSet>
      <sheetData sheetId="0" refreshError="1"/>
      <sheetData sheetId="1" refreshError="1"/>
      <sheetData sheetId="2" refreshError="1"/>
      <sheetData sheetId="3" refreshError="1"/>
      <sheetData sheetId="4" refreshError="1">
        <row r="121">
          <cell r="G121">
            <v>25532617.417156685</v>
          </cell>
          <cell r="L121">
            <v>12865546.68020873</v>
          </cell>
        </row>
      </sheetData>
      <sheetData sheetId="5" refreshError="1">
        <row r="123">
          <cell r="G123">
            <v>26546626.898313373</v>
          </cell>
          <cell r="L123">
            <v>13080858.725881323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74">
          <cell r="E174">
            <v>3.6079303820458784E-2</v>
          </cell>
        </row>
        <row r="175">
          <cell r="E175">
            <v>2.0799999999999999E-2</v>
          </cell>
        </row>
        <row r="176">
          <cell r="E176">
            <v>8.9300000000000004E-2</v>
          </cell>
        </row>
        <row r="191">
          <cell r="E191">
            <v>19945793.884741135</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84">
          <cell r="D84">
            <v>3584474.9676692677</v>
          </cell>
        </row>
        <row r="89">
          <cell r="D89">
            <v>1582904.3292604769</v>
          </cell>
        </row>
        <row r="90">
          <cell r="D90">
            <v>894220.07450355892</v>
          </cell>
        </row>
        <row r="91">
          <cell r="D91">
            <v>695086.62861742103</v>
          </cell>
        </row>
        <row r="93">
          <cell r="D93">
            <v>0</v>
          </cell>
        </row>
        <row r="146">
          <cell r="D146">
            <v>1827.5936257048168</v>
          </cell>
        </row>
      </sheetData>
      <sheetData sheetId="34" refreshError="1">
        <row r="54">
          <cell r="D54">
            <v>-559205.73545457912</v>
          </cell>
        </row>
      </sheetData>
      <sheetData sheetId="35" refreshError="1">
        <row r="62">
          <cell r="C62">
            <v>2507509.4037640356</v>
          </cell>
        </row>
        <row r="75">
          <cell r="D75">
            <v>3820229.8824548051</v>
          </cell>
        </row>
        <row r="80">
          <cell r="D80">
            <v>-19500</v>
          </cell>
        </row>
        <row r="85">
          <cell r="D85">
            <v>-78200</v>
          </cell>
        </row>
        <row r="87">
          <cell r="D87">
            <v>-5600</v>
          </cell>
        </row>
        <row r="97">
          <cell r="D97">
            <v>-94300</v>
          </cell>
        </row>
        <row r="98">
          <cell r="D98">
            <v>64500</v>
          </cell>
        </row>
        <row r="107">
          <cell r="D107">
            <v>-58800</v>
          </cell>
        </row>
        <row r="108">
          <cell r="D108">
            <v>37700</v>
          </cell>
        </row>
        <row r="113">
          <cell r="D113">
            <v>-5600</v>
          </cell>
        </row>
        <row r="114">
          <cell r="F114">
            <v>-291800</v>
          </cell>
        </row>
      </sheetData>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1. FA Continuity 2009"/>
      <sheetName val="2. FA Continuity 2010"/>
      <sheetName val="3. FA Continuity 2011"/>
      <sheetName val="4. FA Continuity 2012"/>
      <sheetName val="5. FA Continuity 2013"/>
      <sheetName val="5(B) FA 2009 to 2013"/>
      <sheetName val="6. Trial Balance "/>
      <sheetName val="6a OM&amp;A 2009COS 2009"/>
      <sheetName val="6b OM&amp;A 2009 2010"/>
      <sheetName val="6c OM&amp;A 2010 2011"/>
      <sheetName val="6d OM&amp;A 2011 2012"/>
      <sheetName val="6e OM&amp;A 2012 2013"/>
      <sheetName val="7. 2009 Balance Sheet"/>
      <sheetName val="8. 2009 Income Statement"/>
      <sheetName val="9. 2010 Balance Sheet"/>
      <sheetName val="10. 2010 Income Statement"/>
      <sheetName val="11. 2011 Balance Sheet"/>
      <sheetName val="12. 2011 Income Statement"/>
      <sheetName val="13. 2012 Balance Sheet"/>
      <sheetName val="14. 2012 Income Statement"/>
      <sheetName val="15. 2013 Balance Shee"/>
      <sheetName val="16. 2013 Income Statement"/>
      <sheetName val="17. Return on Capital"/>
      <sheetName val="18. Debt &amp; Capital Structure"/>
      <sheetName val="18a Debt Details"/>
      <sheetName val="19. Tax rates"/>
      <sheetName val="20. CCA Continuity 2012"/>
      <sheetName val="21. CCA Continuity 2013"/>
      <sheetName val="22. Reserves Continuity"/>
      <sheetName val="23. Corporation Loss Continuity"/>
      <sheetName val="24. Tax Adjustments 2012"/>
      <sheetName val="25. Tax Adjustments 2013"/>
      <sheetName val="26. 2013 Rev Deficiency"/>
      <sheetName val="27. Capital Tax &amp; Exp Schedules"/>
      <sheetName val="28. Revenue Requiremen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74">
          <cell r="E174">
            <v>3.6079303820458784E-2</v>
          </cell>
        </row>
        <row r="175">
          <cell r="E175">
            <v>2.0799999999999999E-2</v>
          </cell>
        </row>
        <row r="176">
          <cell r="E176">
            <v>8.9300000000000004E-2</v>
          </cell>
        </row>
        <row r="191">
          <cell r="E191">
            <v>20036662.923584897</v>
          </cell>
        </row>
      </sheetData>
      <sheetData sheetId="24"/>
      <sheetData sheetId="25"/>
      <sheetData sheetId="26"/>
      <sheetData sheetId="27"/>
      <sheetData sheetId="28"/>
      <sheetData sheetId="29"/>
      <sheetData sheetId="30"/>
      <sheetData sheetId="31"/>
      <sheetData sheetId="32"/>
      <sheetData sheetId="33">
        <row r="83">
          <cell r="D83">
            <v>66102.281868355436</v>
          </cell>
        </row>
        <row r="84">
          <cell r="C84">
            <v>3596458.3144424534</v>
          </cell>
          <cell r="D84">
            <v>3596458.3144424534</v>
          </cell>
        </row>
        <row r="89">
          <cell r="D89">
            <v>1454292.3977666157</v>
          </cell>
        </row>
        <row r="90">
          <cell r="D90">
            <v>865708.00599742006</v>
          </cell>
        </row>
        <row r="93">
          <cell r="D93">
            <v>0</v>
          </cell>
        </row>
        <row r="146">
          <cell r="D146">
            <v>1779.9060873729218</v>
          </cell>
        </row>
      </sheetData>
      <sheetData sheetId="34">
        <row r="54">
          <cell r="D54">
            <v>-559205.73545457912</v>
          </cell>
        </row>
      </sheetData>
      <sheetData sheetId="35">
        <row r="80">
          <cell r="F80">
            <v>-19500</v>
          </cell>
        </row>
        <row r="85">
          <cell r="F85">
            <v>-78200</v>
          </cell>
        </row>
        <row r="87">
          <cell r="F87">
            <v>-5600</v>
          </cell>
        </row>
        <row r="88">
          <cell r="F88">
            <v>-23400</v>
          </cell>
        </row>
        <row r="90">
          <cell r="F90">
            <v>-108600</v>
          </cell>
        </row>
        <row r="97">
          <cell r="F97">
            <v>-94300</v>
          </cell>
        </row>
        <row r="98">
          <cell r="F98">
            <v>64500</v>
          </cell>
        </row>
        <row r="107">
          <cell r="F107">
            <v>-58800</v>
          </cell>
        </row>
        <row r="108">
          <cell r="F108">
            <v>37700</v>
          </cell>
        </row>
        <row r="113">
          <cell r="F113">
            <v>-5600</v>
          </cell>
        </row>
        <row r="118">
          <cell r="F118">
            <v>-291800</v>
          </cell>
        </row>
      </sheetData>
      <sheetData sheetId="3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1 Intro"/>
      <sheetName val="I2 LDC class"/>
      <sheetName val="I3 TB Data"/>
      <sheetName val="I4 BO ASSETS"/>
      <sheetName val="I5.1 Misc Data"/>
      <sheetName val="I5.2 Weighting Factors"/>
      <sheetName val="I6.1 Revenue"/>
      <sheetName val="I6.2 Customer Data"/>
      <sheetName val="Meter Costs 2005-2011"/>
      <sheetName val="I7.1 Meter Capital"/>
      <sheetName val="I7.2 Meter Reading"/>
      <sheetName val="I8 Demand Data"/>
      <sheetName val="I9 Direct Allocation"/>
      <sheetName val="O1 Revenue to cost|RR"/>
      <sheetName val="O2 Fixed Charge|Floor|Ceiling"/>
      <sheetName val="O2.1 Line Tran PLCC Adj"/>
      <sheetName val="O2.2 Primary Cost PLCC Adj"/>
      <sheetName val="O2.3 Secondary Cost PLCC Adj"/>
      <sheetName val="O3.1 Line Tran Unit Cost"/>
      <sheetName val="O3.2 Substat Tran Unit Cost "/>
      <sheetName val="O3.3 Primary Cost Pool"/>
      <sheetName val="O3.4 Secondary Cost Pool"/>
      <sheetName val="O3.5 USL Metering Credit"/>
      <sheetName val="O3.6 MicroFIT Charge"/>
      <sheetName val="O4 Summary by Class &amp; Accounts"/>
      <sheetName val="O5 Details by Class &amp; Accounts"/>
      <sheetName val="O6 Source Data for E2"/>
      <sheetName val="O7 Amortization"/>
      <sheetName val="E1 Categorization"/>
      <sheetName val="E2 Allocators"/>
      <sheetName val="E3 PLCC"/>
      <sheetName val="E4 TB Allocation Details"/>
      <sheetName val="E5 Reconciliation"/>
      <sheetName val="Click here if comple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8">
          <cell r="C18">
            <v>3573629.0632676748</v>
          </cell>
        </row>
        <row r="23">
          <cell r="C23">
            <v>3801841.7471484803</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App.2-A_Capital Projects"/>
      <sheetName val="App.2-B_Fixed Asset Continuity"/>
      <sheetName val="App.2-CA_CGAAP_DepExp_2011"/>
      <sheetName val="App.2-CB_MIFRS_DepExp_2011"/>
      <sheetName val="App.2-CC_MIFRS_DepExp_2012"/>
      <sheetName val="App.2-CD_MIFRS_DepExp_2013"/>
      <sheetName val="App.2-CE_CGAAP_DepExp_2011"/>
      <sheetName val="App.2-CF_CGAAP_DepExp_2012"/>
      <sheetName val="App.2-CG_MIFRS_DepExp_2012"/>
      <sheetName val="App.2-CH_MIFRS_DepExp_2013"/>
      <sheetName val="App.2-CI_AltAccStd_DepExp"/>
      <sheetName val="App.2-D_Overhead"/>
      <sheetName val="App.2-EA_PP&amp;E Deferral Account"/>
      <sheetName val="App.2-EB_PP&amp;E Deferral Account"/>
      <sheetName val="App.2-F_Other_Oper_Rev"/>
      <sheetName val="App.2-G_Detailed_OM&amp;A_Expenses"/>
      <sheetName val="App.2-H_OM&amp;A_Detailed_Analysis"/>
      <sheetName val="App.2-I_OM&amp;A_Summary_Analys"/>
      <sheetName val="App.2-J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_1592_Tax_Variance"/>
      <sheetName val="App.2-U_IFRS Transition Costs"/>
      <sheetName val="App.2-V_Rev_Reconciliation"/>
      <sheetName val="App.2-W_Bill Impacts"/>
      <sheetName val="App.2-X_CoS_Flow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3">
          <cell r="F43">
            <v>-58866.300800169352</v>
          </cell>
        </row>
        <row r="44">
          <cell r="F44">
            <v>-13322.688180660922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view="pageBreakPreview" zoomScaleNormal="100" zoomScaleSheetLayoutView="100" workbookViewId="0"/>
  </sheetViews>
  <sheetFormatPr defaultRowHeight="12.75" x14ac:dyDescent="0.2"/>
  <cols>
    <col min="1"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x14ac:dyDescent="0.2">
      <c r="C1" s="412"/>
      <c r="D1" s="412"/>
      <c r="E1" s="412"/>
      <c r="F1" s="412"/>
      <c r="G1" s="412"/>
      <c r="H1" s="412"/>
      <c r="I1" s="412"/>
      <c r="J1" s="412"/>
      <c r="K1" s="412"/>
      <c r="L1" s="412"/>
      <c r="M1" s="412"/>
      <c r="AC1" s="280" t="str">
        <f>IF('3. Data_Input_Sheet'!M12=0, "", '3. Data_Input_Sheet'!M12)</f>
        <v>Supplementary Interrogatory Responses</v>
      </c>
    </row>
    <row r="2" spans="3:33" x14ac:dyDescent="0.2">
      <c r="C2" s="412"/>
      <c r="D2" s="412"/>
      <c r="E2" s="412"/>
      <c r="F2" s="412"/>
      <c r="G2" s="412"/>
      <c r="H2" s="412"/>
      <c r="I2" s="412"/>
      <c r="J2" s="412"/>
      <c r="K2" s="412"/>
      <c r="L2" s="412"/>
      <c r="M2" s="412"/>
      <c r="AE2" s="280"/>
      <c r="AF2" s="280"/>
      <c r="AG2" s="280"/>
    </row>
    <row r="3" spans="3:33" x14ac:dyDescent="0.2">
      <c r="C3" s="412"/>
      <c r="D3" s="412"/>
      <c r="E3" s="412"/>
      <c r="F3" s="412"/>
      <c r="G3" s="412"/>
      <c r="H3" s="412"/>
      <c r="I3" s="412"/>
      <c r="J3" s="412"/>
      <c r="K3" s="412"/>
      <c r="L3" s="412"/>
      <c r="M3" s="412"/>
    </row>
    <row r="4" spans="3:33" x14ac:dyDescent="0.2">
      <c r="C4" s="412"/>
      <c r="D4" s="412"/>
      <c r="E4" s="412"/>
      <c r="F4" s="412"/>
      <c r="G4" s="412"/>
      <c r="H4" s="412"/>
      <c r="I4" s="412"/>
      <c r="J4" s="412"/>
      <c r="K4" s="412"/>
      <c r="L4" s="412"/>
      <c r="M4" s="412"/>
    </row>
    <row r="11" spans="3:33" ht="15" x14ac:dyDescent="0.25">
      <c r="P11" s="370" t="s">
        <v>254</v>
      </c>
      <c r="Q11" s="371">
        <v>3</v>
      </c>
    </row>
    <row r="15" spans="3:33" ht="13.5" thickBot="1" x14ac:dyDescent="0.25"/>
    <row r="16" spans="3:33" ht="29.25" customHeight="1" thickTop="1" thickBot="1" x14ac:dyDescent="0.25">
      <c r="F16" s="374" t="s">
        <v>255</v>
      </c>
      <c r="G16" s="418" t="s">
        <v>188</v>
      </c>
      <c r="H16" s="419"/>
      <c r="I16" s="419"/>
      <c r="J16" s="419"/>
      <c r="K16" s="419"/>
      <c r="L16" s="419"/>
      <c r="M16" s="420"/>
    </row>
    <row r="17" spans="2:32" ht="13.5" thickBot="1" x14ac:dyDescent="0.25">
      <c r="F17" s="375"/>
      <c r="G17" s="200"/>
      <c r="H17" s="201"/>
      <c r="I17" s="200"/>
      <c r="J17" s="200"/>
      <c r="K17" s="200"/>
    </row>
    <row r="18" spans="2:32" ht="16.5" thickTop="1" thickBot="1" x14ac:dyDescent="0.25">
      <c r="F18" s="376" t="s">
        <v>256</v>
      </c>
      <c r="G18" s="421"/>
      <c r="H18" s="422"/>
      <c r="I18" s="422"/>
      <c r="J18" s="422"/>
      <c r="K18" s="423"/>
    </row>
    <row r="19" spans="2:32" ht="15" thickBot="1" x14ac:dyDescent="0.25">
      <c r="F19" s="377"/>
    </row>
    <row r="20" spans="2:32" ht="18" thickTop="1" thickBot="1" x14ac:dyDescent="0.35">
      <c r="C20" s="282"/>
      <c r="F20" s="376" t="s">
        <v>257</v>
      </c>
      <c r="G20" s="424" t="s">
        <v>291</v>
      </c>
      <c r="H20" s="425"/>
      <c r="I20" s="425"/>
      <c r="J20" s="425"/>
      <c r="K20" s="426"/>
      <c r="Z20" s="283"/>
      <c r="AA20" s="283" t="s">
        <v>221</v>
      </c>
      <c r="AB20" s="283"/>
      <c r="AC20" s="283"/>
      <c r="AD20" s="283"/>
      <c r="AE20" s="284"/>
      <c r="AF20" s="284"/>
    </row>
    <row r="21" spans="2:32" ht="15" thickBot="1" x14ac:dyDescent="0.25">
      <c r="F21" s="377"/>
      <c r="Z21" s="280">
        <v>1</v>
      </c>
      <c r="AA21" s="379" t="s">
        <v>162</v>
      </c>
      <c r="AE21" s="286"/>
      <c r="AF21" s="287"/>
    </row>
    <row r="22" spans="2:32" ht="18" thickTop="1" thickBot="1" x14ac:dyDescent="0.35">
      <c r="B22" s="410"/>
      <c r="C22" s="410"/>
      <c r="D22" s="30"/>
      <c r="F22" s="376" t="s">
        <v>258</v>
      </c>
      <c r="G22" s="424" t="s">
        <v>292</v>
      </c>
      <c r="H22" s="425"/>
      <c r="I22" s="425"/>
      <c r="J22" s="425"/>
      <c r="K22" s="426"/>
      <c r="Z22" s="280">
        <v>2</v>
      </c>
      <c r="AA22" s="379" t="s">
        <v>163</v>
      </c>
      <c r="AE22" s="286"/>
      <c r="AF22" s="287"/>
    </row>
    <row r="23" spans="2:32" ht="17.25" thickBot="1" x14ac:dyDescent="0.35">
      <c r="B23" s="30"/>
      <c r="C23" s="372"/>
      <c r="D23" s="30"/>
      <c r="F23" s="378"/>
      <c r="G23" s="200"/>
      <c r="H23" s="201"/>
      <c r="I23" s="200"/>
      <c r="J23" s="200"/>
      <c r="K23" s="200"/>
      <c r="Z23" s="280">
        <v>3</v>
      </c>
      <c r="AA23" s="379" t="s">
        <v>261</v>
      </c>
      <c r="AE23" s="286"/>
      <c r="AF23" s="287"/>
    </row>
    <row r="24" spans="2:32" ht="18" thickTop="1" thickBot="1" x14ac:dyDescent="0.35">
      <c r="B24" s="410"/>
      <c r="C24" s="410"/>
      <c r="D24" s="30"/>
      <c r="F24" s="374" t="s">
        <v>259</v>
      </c>
      <c r="G24" s="424" t="s">
        <v>293</v>
      </c>
      <c r="H24" s="425"/>
      <c r="I24" s="425"/>
      <c r="J24" s="425"/>
      <c r="K24" s="426"/>
      <c r="Z24" s="280">
        <v>4</v>
      </c>
      <c r="AA24" s="379" t="s">
        <v>262</v>
      </c>
      <c r="AE24" s="286"/>
      <c r="AF24" s="287"/>
    </row>
    <row r="25" spans="2:32" ht="17.25" thickBot="1" x14ac:dyDescent="0.35">
      <c r="B25" s="30"/>
      <c r="C25" s="372"/>
      <c r="D25" s="30"/>
      <c r="F25" s="378"/>
      <c r="G25" s="200"/>
      <c r="H25" s="201"/>
      <c r="I25" s="200"/>
      <c r="J25" s="200"/>
      <c r="K25" s="200"/>
      <c r="Z25" s="280">
        <v>5</v>
      </c>
      <c r="AA25" s="379" t="s">
        <v>263</v>
      </c>
      <c r="AE25" s="286"/>
      <c r="AF25" s="287"/>
    </row>
    <row r="26" spans="2:32" ht="18" thickTop="1" thickBot="1" x14ac:dyDescent="0.35">
      <c r="B26" s="410"/>
      <c r="C26" s="410"/>
      <c r="D26" s="410"/>
      <c r="F26" s="374" t="s">
        <v>260</v>
      </c>
      <c r="G26" s="415" t="s">
        <v>294</v>
      </c>
      <c r="H26" s="416"/>
      <c r="I26" s="416"/>
      <c r="J26" s="416"/>
      <c r="K26" s="417"/>
      <c r="Z26" s="280">
        <v>6</v>
      </c>
      <c r="AA26" s="379" t="s">
        <v>164</v>
      </c>
      <c r="AE26" s="286"/>
      <c r="AF26" s="287"/>
    </row>
    <row r="27" spans="2:32" ht="16.5" x14ac:dyDescent="0.3">
      <c r="B27" s="30"/>
      <c r="C27" s="372"/>
      <c r="D27" s="30"/>
      <c r="E27" s="373"/>
      <c r="F27" s="30"/>
      <c r="G27" s="30"/>
      <c r="H27" s="30"/>
      <c r="I27" s="30"/>
      <c r="J27" s="30"/>
      <c r="Z27" s="280">
        <v>7</v>
      </c>
      <c r="AA27" s="379" t="s">
        <v>165</v>
      </c>
      <c r="AE27" s="286"/>
      <c r="AF27" s="287"/>
    </row>
    <row r="28" spans="2:32" ht="16.5" x14ac:dyDescent="0.3">
      <c r="B28" s="410"/>
      <c r="C28" s="410"/>
      <c r="D28" s="410"/>
      <c r="E28" s="413"/>
      <c r="F28" s="414"/>
      <c r="G28" s="414"/>
      <c r="H28" s="414"/>
      <c r="I28" s="414"/>
      <c r="J28" s="414"/>
      <c r="Z28" s="280">
        <v>8</v>
      </c>
      <c r="AA28" s="379" t="s">
        <v>264</v>
      </c>
      <c r="AE28" s="286"/>
      <c r="AF28" s="287"/>
    </row>
    <row r="29" spans="2:32" ht="25.5" x14ac:dyDescent="0.2">
      <c r="B29" s="30"/>
      <c r="C29" s="30"/>
      <c r="D29" s="30"/>
      <c r="E29" s="30"/>
      <c r="F29" s="30"/>
      <c r="G29" s="30"/>
      <c r="H29" s="30"/>
      <c r="I29" s="30"/>
      <c r="J29" s="30"/>
      <c r="Z29" s="280">
        <v>9</v>
      </c>
      <c r="AA29" s="379" t="s">
        <v>265</v>
      </c>
      <c r="AE29" s="286"/>
      <c r="AF29" s="287"/>
    </row>
    <row r="30" spans="2:32" x14ac:dyDescent="0.2">
      <c r="Z30" s="280">
        <v>10</v>
      </c>
      <c r="AA30" s="379" t="s">
        <v>166</v>
      </c>
      <c r="AE30" s="286"/>
      <c r="AF30" s="287"/>
    </row>
    <row r="31" spans="2:32" x14ac:dyDescent="0.2">
      <c r="Z31" s="280">
        <v>11</v>
      </c>
      <c r="AA31" s="379" t="s">
        <v>167</v>
      </c>
      <c r="AE31" s="286"/>
      <c r="AF31" s="287"/>
    </row>
    <row r="32" spans="2:32" x14ac:dyDescent="0.2">
      <c r="Z32" s="280">
        <v>12</v>
      </c>
      <c r="AA32" s="379" t="s">
        <v>266</v>
      </c>
      <c r="AE32" s="286"/>
      <c r="AF32" s="287"/>
    </row>
    <row r="33" spans="2:32" x14ac:dyDescent="0.2">
      <c r="Z33" s="280">
        <v>13</v>
      </c>
      <c r="AA33" s="379" t="s">
        <v>168</v>
      </c>
      <c r="AE33" s="286"/>
      <c r="AF33" s="287"/>
    </row>
    <row r="34" spans="2:32" x14ac:dyDescent="0.2">
      <c r="Z34" s="280">
        <v>14</v>
      </c>
      <c r="AA34" s="379" t="s">
        <v>169</v>
      </c>
      <c r="AE34" s="286"/>
      <c r="AF34" s="287"/>
    </row>
    <row r="35" spans="2:32" x14ac:dyDescent="0.2">
      <c r="B35" s="411"/>
      <c r="C35" s="411"/>
      <c r="D35" s="411"/>
      <c r="E35" s="411"/>
      <c r="F35" s="411"/>
      <c r="G35" s="411"/>
      <c r="H35" s="411"/>
      <c r="I35" s="411"/>
      <c r="J35" s="411"/>
      <c r="K35" s="411"/>
      <c r="L35" s="411"/>
      <c r="Z35" s="280">
        <v>15</v>
      </c>
      <c r="AA35" s="379" t="s">
        <v>170</v>
      </c>
      <c r="AE35" s="286"/>
      <c r="AF35" s="287"/>
    </row>
    <row r="36" spans="2:32" x14ac:dyDescent="0.2">
      <c r="B36" s="411"/>
      <c r="C36" s="411"/>
      <c r="D36" s="411"/>
      <c r="E36" s="411"/>
      <c r="F36" s="411"/>
      <c r="G36" s="411"/>
      <c r="H36" s="411"/>
      <c r="I36" s="411"/>
      <c r="J36" s="411"/>
      <c r="K36" s="411"/>
      <c r="L36" s="411"/>
      <c r="Z36" s="280">
        <v>16</v>
      </c>
      <c r="AA36" s="379" t="s">
        <v>267</v>
      </c>
      <c r="AE36" s="286"/>
      <c r="AF36" s="287"/>
    </row>
    <row r="37" spans="2:32" x14ac:dyDescent="0.2">
      <c r="B37" s="411"/>
      <c r="C37" s="411"/>
      <c r="D37" s="411"/>
      <c r="E37" s="411"/>
      <c r="F37" s="411"/>
      <c r="G37" s="411"/>
      <c r="H37" s="411"/>
      <c r="I37" s="411"/>
      <c r="J37" s="411"/>
      <c r="K37" s="411"/>
      <c r="L37" s="411"/>
      <c r="Z37" s="280">
        <v>17</v>
      </c>
      <c r="AA37" s="379" t="s">
        <v>171</v>
      </c>
      <c r="AE37" s="286"/>
      <c r="AF37" s="287"/>
    </row>
    <row r="38" spans="2:32" x14ac:dyDescent="0.2">
      <c r="B38" s="411"/>
      <c r="C38" s="411"/>
      <c r="D38" s="411"/>
      <c r="E38" s="411"/>
      <c r="F38" s="411"/>
      <c r="G38" s="411"/>
      <c r="H38" s="411"/>
      <c r="I38" s="411"/>
      <c r="J38" s="411"/>
      <c r="K38" s="411"/>
      <c r="L38" s="411"/>
      <c r="Z38" s="280">
        <v>18</v>
      </c>
      <c r="AA38" s="379" t="s">
        <v>268</v>
      </c>
      <c r="AE38" s="286"/>
      <c r="AF38" s="287"/>
    </row>
    <row r="39" spans="2:32" x14ac:dyDescent="0.2">
      <c r="B39" s="411"/>
      <c r="C39" s="411"/>
      <c r="D39" s="411"/>
      <c r="E39" s="411"/>
      <c r="F39" s="411"/>
      <c r="G39" s="411"/>
      <c r="H39" s="411"/>
      <c r="I39" s="411"/>
      <c r="J39" s="411"/>
      <c r="K39" s="411"/>
      <c r="L39" s="411"/>
      <c r="Z39" s="280">
        <v>19</v>
      </c>
      <c r="AA39" s="379" t="s">
        <v>172</v>
      </c>
      <c r="AE39" s="286"/>
      <c r="AF39" s="287"/>
    </row>
    <row r="40" spans="2:32" x14ac:dyDescent="0.2">
      <c r="B40" s="411"/>
      <c r="C40" s="411"/>
      <c r="D40" s="411"/>
      <c r="E40" s="411"/>
      <c r="F40" s="411"/>
      <c r="G40" s="411"/>
      <c r="H40" s="411"/>
      <c r="I40" s="411"/>
      <c r="J40" s="411"/>
      <c r="K40" s="411"/>
      <c r="L40" s="411"/>
      <c r="Z40" s="280">
        <v>20</v>
      </c>
      <c r="AA40" s="379" t="s">
        <v>173</v>
      </c>
      <c r="AE40" s="286"/>
      <c r="AF40" s="287"/>
    </row>
    <row r="41" spans="2:32" x14ac:dyDescent="0.2">
      <c r="B41" s="411"/>
      <c r="C41" s="411"/>
      <c r="D41" s="411"/>
      <c r="E41" s="411"/>
      <c r="F41" s="411"/>
      <c r="G41" s="411"/>
      <c r="H41" s="411"/>
      <c r="I41" s="411"/>
      <c r="J41" s="411"/>
      <c r="K41" s="411"/>
      <c r="L41" s="411"/>
      <c r="Z41" s="280">
        <v>21</v>
      </c>
      <c r="AA41" s="379" t="s">
        <v>174</v>
      </c>
      <c r="AE41" s="286"/>
      <c r="AF41" s="287"/>
    </row>
    <row r="42" spans="2:32" x14ac:dyDescent="0.2">
      <c r="Z42" s="280">
        <v>22</v>
      </c>
      <c r="AA42" s="379" t="s">
        <v>214</v>
      </c>
      <c r="AE42" s="286"/>
      <c r="AF42" s="287"/>
    </row>
    <row r="43" spans="2:32" x14ac:dyDescent="0.2">
      <c r="Z43" s="280">
        <v>23</v>
      </c>
      <c r="AA43" s="379" t="s">
        <v>175</v>
      </c>
      <c r="AE43" s="286"/>
      <c r="AF43" s="287"/>
    </row>
    <row r="44" spans="2:32" x14ac:dyDescent="0.2">
      <c r="Z44" s="280">
        <v>24</v>
      </c>
      <c r="AA44" s="379" t="s">
        <v>215</v>
      </c>
      <c r="AE44" s="286"/>
      <c r="AF44" s="287"/>
    </row>
    <row r="45" spans="2:32" x14ac:dyDescent="0.2">
      <c r="Z45" s="280">
        <v>25</v>
      </c>
      <c r="AA45" s="379" t="s">
        <v>216</v>
      </c>
      <c r="AE45" s="286"/>
      <c r="AF45" s="287"/>
    </row>
    <row r="46" spans="2:32" x14ac:dyDescent="0.2">
      <c r="Z46" s="280">
        <v>26</v>
      </c>
      <c r="AA46" s="379" t="s">
        <v>176</v>
      </c>
      <c r="AE46" s="286"/>
      <c r="AF46" s="287"/>
    </row>
    <row r="47" spans="2:32" x14ac:dyDescent="0.2">
      <c r="Z47" s="280">
        <v>27</v>
      </c>
      <c r="AA47" s="379" t="s">
        <v>177</v>
      </c>
      <c r="AE47" s="286"/>
      <c r="AF47" s="287"/>
    </row>
    <row r="48" spans="2:32" x14ac:dyDescent="0.2">
      <c r="Z48" s="280">
        <v>28</v>
      </c>
      <c r="AA48" s="379" t="s">
        <v>178</v>
      </c>
      <c r="AE48" s="286"/>
      <c r="AF48" s="287"/>
    </row>
    <row r="49" spans="2:32" x14ac:dyDescent="0.2">
      <c r="B49" s="288"/>
      <c r="C49" s="288"/>
      <c r="D49" s="288"/>
      <c r="Z49" s="280">
        <v>29</v>
      </c>
      <c r="AA49" s="379" t="s">
        <v>269</v>
      </c>
      <c r="AE49" s="286"/>
      <c r="AF49" s="287"/>
    </row>
    <row r="50" spans="2:32" x14ac:dyDescent="0.2">
      <c r="Z50" s="280">
        <v>30</v>
      </c>
      <c r="AA50" s="379" t="s">
        <v>179</v>
      </c>
      <c r="AE50" s="286"/>
      <c r="AF50" s="287"/>
    </row>
    <row r="51" spans="2:32" x14ac:dyDescent="0.2">
      <c r="Z51" s="280">
        <v>31</v>
      </c>
      <c r="AA51" s="379" t="s">
        <v>180</v>
      </c>
      <c r="AE51" s="286"/>
      <c r="AF51" s="287"/>
    </row>
    <row r="52" spans="2:32" x14ac:dyDescent="0.2">
      <c r="Z52" s="280">
        <v>32</v>
      </c>
      <c r="AA52" s="379" t="s">
        <v>181</v>
      </c>
      <c r="AE52" s="286"/>
      <c r="AF52" s="287"/>
    </row>
    <row r="53" spans="2:32" x14ac:dyDescent="0.2">
      <c r="Z53" s="280">
        <v>33</v>
      </c>
      <c r="AA53" s="379" t="s">
        <v>182</v>
      </c>
      <c r="AE53" s="286"/>
      <c r="AF53" s="287"/>
    </row>
    <row r="54" spans="2:32" x14ac:dyDescent="0.2">
      <c r="Z54" s="280">
        <v>34</v>
      </c>
      <c r="AA54" s="379" t="s">
        <v>270</v>
      </c>
      <c r="AE54" s="286"/>
      <c r="AF54" s="287"/>
    </row>
    <row r="55" spans="2:32" x14ac:dyDescent="0.2">
      <c r="Z55" s="280">
        <v>35</v>
      </c>
      <c r="AA55" s="379" t="s">
        <v>271</v>
      </c>
      <c r="AE55" s="286"/>
      <c r="AF55" s="287"/>
    </row>
    <row r="56" spans="2:32" x14ac:dyDescent="0.2">
      <c r="Z56" s="280">
        <v>36</v>
      </c>
      <c r="AA56" s="379" t="s">
        <v>217</v>
      </c>
      <c r="AE56" s="286"/>
      <c r="AF56" s="287"/>
    </row>
    <row r="57" spans="2:32" x14ac:dyDescent="0.2">
      <c r="Z57" s="280">
        <v>37</v>
      </c>
      <c r="AA57" s="379" t="s">
        <v>272</v>
      </c>
      <c r="AE57" s="286"/>
      <c r="AF57" s="287"/>
    </row>
    <row r="58" spans="2:32" x14ac:dyDescent="0.2">
      <c r="Z58" s="280">
        <v>38</v>
      </c>
      <c r="AA58" s="379" t="s">
        <v>218</v>
      </c>
      <c r="AE58" s="286"/>
      <c r="AF58" s="287"/>
    </row>
    <row r="59" spans="2:32" x14ac:dyDescent="0.2">
      <c r="Z59" s="280">
        <v>39</v>
      </c>
      <c r="AA59" s="379" t="s">
        <v>183</v>
      </c>
      <c r="AE59" s="286"/>
      <c r="AF59" s="287"/>
    </row>
    <row r="60" spans="2:32" x14ac:dyDescent="0.2">
      <c r="Z60" s="280">
        <v>40</v>
      </c>
      <c r="AA60" s="379" t="s">
        <v>184</v>
      </c>
      <c r="AE60" s="286"/>
      <c r="AF60" s="287"/>
    </row>
    <row r="61" spans="2:32" x14ac:dyDescent="0.2">
      <c r="Z61" s="280">
        <v>41</v>
      </c>
      <c r="AA61" s="379" t="s">
        <v>185</v>
      </c>
      <c r="AE61" s="286"/>
      <c r="AF61" s="287"/>
    </row>
    <row r="62" spans="2:32" x14ac:dyDescent="0.2">
      <c r="Z62" s="280">
        <v>42</v>
      </c>
      <c r="AA62" s="379" t="s">
        <v>186</v>
      </c>
      <c r="AE62" s="286"/>
      <c r="AF62" s="287"/>
    </row>
    <row r="63" spans="2:32" x14ac:dyDescent="0.2">
      <c r="Z63" s="280">
        <v>43</v>
      </c>
      <c r="AA63" s="379" t="s">
        <v>219</v>
      </c>
      <c r="AE63" s="286"/>
      <c r="AF63" s="287"/>
    </row>
    <row r="64" spans="2:32" x14ac:dyDescent="0.2">
      <c r="Z64" s="280">
        <v>44</v>
      </c>
      <c r="AA64" s="379" t="s">
        <v>187</v>
      </c>
      <c r="AE64" s="286"/>
      <c r="AF64" s="287"/>
    </row>
    <row r="65" spans="26:32" x14ac:dyDescent="0.2">
      <c r="Z65" s="280">
        <v>45</v>
      </c>
      <c r="AA65" s="379" t="s">
        <v>188</v>
      </c>
      <c r="AE65" s="286"/>
      <c r="AF65" s="287"/>
    </row>
    <row r="66" spans="26:32" x14ac:dyDescent="0.2">
      <c r="Z66" s="280">
        <v>46</v>
      </c>
      <c r="AA66" s="379" t="s">
        <v>273</v>
      </c>
      <c r="AE66" s="286"/>
      <c r="AF66" s="287"/>
    </row>
    <row r="67" spans="26:32" x14ac:dyDescent="0.2">
      <c r="Z67" s="280">
        <v>47</v>
      </c>
      <c r="AA67" s="379" t="s">
        <v>274</v>
      </c>
      <c r="AE67" s="286"/>
      <c r="AF67" s="287"/>
    </row>
    <row r="68" spans="26:32" x14ac:dyDescent="0.2">
      <c r="Z68" s="280">
        <v>48</v>
      </c>
      <c r="AA68" s="379" t="s">
        <v>275</v>
      </c>
      <c r="AE68" s="286"/>
      <c r="AF68" s="287"/>
    </row>
    <row r="69" spans="26:32" x14ac:dyDescent="0.2">
      <c r="Z69" s="280">
        <v>49</v>
      </c>
      <c r="AA69" s="379" t="s">
        <v>189</v>
      </c>
      <c r="AE69" s="286"/>
      <c r="AF69" s="287"/>
    </row>
    <row r="70" spans="26:32" x14ac:dyDescent="0.2">
      <c r="Z70" s="280">
        <v>50</v>
      </c>
      <c r="AA70" s="379" t="s">
        <v>276</v>
      </c>
      <c r="AE70" s="286"/>
      <c r="AF70" s="287"/>
    </row>
    <row r="71" spans="26:32" x14ac:dyDescent="0.2">
      <c r="Z71" s="280">
        <v>51</v>
      </c>
      <c r="AA71" s="379" t="s">
        <v>190</v>
      </c>
      <c r="AE71" s="286"/>
      <c r="AF71" s="287"/>
    </row>
    <row r="72" spans="26:32" x14ac:dyDescent="0.2">
      <c r="Z72" s="280">
        <v>52</v>
      </c>
      <c r="AA72" s="379" t="s">
        <v>191</v>
      </c>
      <c r="AE72" s="286"/>
      <c r="AF72" s="287"/>
    </row>
    <row r="73" spans="26:32" x14ac:dyDescent="0.2">
      <c r="Z73" s="280">
        <v>53</v>
      </c>
      <c r="AA73" s="379" t="s">
        <v>277</v>
      </c>
      <c r="AE73" s="286"/>
      <c r="AF73" s="287"/>
    </row>
    <row r="74" spans="26:32" x14ac:dyDescent="0.2">
      <c r="Z74" s="280">
        <v>54</v>
      </c>
      <c r="AA74" s="379" t="s">
        <v>192</v>
      </c>
      <c r="AE74" s="286"/>
      <c r="AF74" s="287"/>
    </row>
    <row r="75" spans="26:32" x14ac:dyDescent="0.2">
      <c r="Z75" s="280">
        <v>55</v>
      </c>
      <c r="AA75" s="379" t="s">
        <v>278</v>
      </c>
      <c r="AE75" s="286"/>
      <c r="AF75" s="287"/>
    </row>
    <row r="76" spans="26:32" x14ac:dyDescent="0.2">
      <c r="Z76" s="280">
        <v>56</v>
      </c>
      <c r="AA76" s="379" t="s">
        <v>193</v>
      </c>
      <c r="AE76" s="286"/>
      <c r="AF76" s="287"/>
    </row>
    <row r="77" spans="26:32" x14ac:dyDescent="0.2">
      <c r="Z77" s="280">
        <v>57</v>
      </c>
      <c r="AA77" s="379" t="s">
        <v>194</v>
      </c>
      <c r="AE77" s="286"/>
      <c r="AF77" s="287"/>
    </row>
    <row r="78" spans="26:32" x14ac:dyDescent="0.2">
      <c r="Z78" s="280">
        <v>58</v>
      </c>
      <c r="AA78" s="379" t="s">
        <v>195</v>
      </c>
      <c r="AE78" s="286"/>
      <c r="AF78" s="287"/>
    </row>
    <row r="79" spans="26:32" x14ac:dyDescent="0.2">
      <c r="Z79" s="280">
        <v>59</v>
      </c>
      <c r="AA79" s="379" t="s">
        <v>279</v>
      </c>
      <c r="AE79" s="286"/>
      <c r="AF79" s="287"/>
    </row>
    <row r="80" spans="26:32" x14ac:dyDescent="0.2">
      <c r="Z80" s="280">
        <v>60</v>
      </c>
      <c r="AA80" s="379" t="s">
        <v>196</v>
      </c>
      <c r="AE80" s="286"/>
      <c r="AF80" s="287"/>
    </row>
    <row r="81" spans="26:32" x14ac:dyDescent="0.2">
      <c r="Z81" s="280">
        <v>61</v>
      </c>
      <c r="AA81" s="380" t="s">
        <v>197</v>
      </c>
      <c r="AE81" s="286"/>
      <c r="AF81" s="287"/>
    </row>
    <row r="82" spans="26:32" x14ac:dyDescent="0.2">
      <c r="Z82" s="280">
        <v>62</v>
      </c>
      <c r="AA82" s="379" t="s">
        <v>198</v>
      </c>
      <c r="AE82" s="286"/>
      <c r="AF82" s="287"/>
    </row>
    <row r="83" spans="26:32" x14ac:dyDescent="0.2">
      <c r="Z83" s="280">
        <v>63</v>
      </c>
      <c r="AA83" s="379" t="s">
        <v>199</v>
      </c>
      <c r="AE83" s="286"/>
      <c r="AF83" s="287"/>
    </row>
    <row r="84" spans="26:32" x14ac:dyDescent="0.2">
      <c r="Z84" s="280">
        <v>64</v>
      </c>
      <c r="AA84" s="379" t="s">
        <v>200</v>
      </c>
      <c r="AE84" s="286"/>
      <c r="AF84" s="287"/>
    </row>
    <row r="85" spans="26:32" x14ac:dyDescent="0.2">
      <c r="Z85" s="280">
        <v>65</v>
      </c>
      <c r="AA85" s="379" t="s">
        <v>202</v>
      </c>
      <c r="AE85" s="286"/>
      <c r="AF85" s="287"/>
    </row>
    <row r="86" spans="26:32" x14ac:dyDescent="0.2">
      <c r="Z86" s="280">
        <v>66</v>
      </c>
      <c r="AA86" s="379" t="s">
        <v>201</v>
      </c>
      <c r="AE86" s="287"/>
      <c r="AF86" s="287"/>
    </row>
    <row r="87" spans="26:32" x14ac:dyDescent="0.2">
      <c r="Z87" s="280">
        <v>67</v>
      </c>
      <c r="AA87" s="379" t="s">
        <v>203</v>
      </c>
      <c r="AE87" s="287"/>
      <c r="AF87" s="287"/>
    </row>
    <row r="88" spans="26:32" x14ac:dyDescent="0.2">
      <c r="Z88" s="280">
        <v>68</v>
      </c>
      <c r="AA88" s="379" t="s">
        <v>204</v>
      </c>
      <c r="AE88" s="287"/>
      <c r="AF88" s="287"/>
    </row>
    <row r="89" spans="26:32" x14ac:dyDescent="0.2">
      <c r="Z89" s="280">
        <v>69</v>
      </c>
      <c r="AA89" s="379" t="s">
        <v>220</v>
      </c>
      <c r="AE89" s="287"/>
      <c r="AF89" s="287"/>
    </row>
    <row r="90" spans="26:32" x14ac:dyDescent="0.2">
      <c r="Z90" s="280">
        <v>70</v>
      </c>
      <c r="AA90" s="379" t="s">
        <v>205</v>
      </c>
      <c r="AE90" s="287"/>
      <c r="AF90" s="287"/>
    </row>
    <row r="91" spans="26:32" x14ac:dyDescent="0.2">
      <c r="Z91" s="280">
        <v>71</v>
      </c>
      <c r="AA91" s="379" t="s">
        <v>206</v>
      </c>
      <c r="AE91" s="287"/>
      <c r="AF91" s="287"/>
    </row>
    <row r="92" spans="26:32" x14ac:dyDescent="0.2">
      <c r="Z92" s="280">
        <v>72</v>
      </c>
      <c r="AA92" s="379" t="s">
        <v>207</v>
      </c>
      <c r="AE92" s="287"/>
      <c r="AF92" s="287"/>
    </row>
    <row r="93" spans="26:32" x14ac:dyDescent="0.2">
      <c r="Z93" s="280">
        <v>73</v>
      </c>
      <c r="AA93" s="379" t="s">
        <v>208</v>
      </c>
      <c r="AE93" s="287"/>
      <c r="AF93" s="287"/>
    </row>
    <row r="94" spans="26:32" x14ac:dyDescent="0.2">
      <c r="Z94" s="280">
        <v>74</v>
      </c>
      <c r="AA94" s="379" t="s">
        <v>209</v>
      </c>
      <c r="AE94" s="287"/>
      <c r="AF94" s="287"/>
    </row>
    <row r="95" spans="26:32" x14ac:dyDescent="0.2">
      <c r="Z95" s="280">
        <v>75</v>
      </c>
      <c r="AA95" s="379" t="s">
        <v>210</v>
      </c>
      <c r="AE95" s="287"/>
      <c r="AF95" s="287"/>
    </row>
    <row r="96" spans="26:32" x14ac:dyDescent="0.2">
      <c r="Z96" s="280">
        <v>76</v>
      </c>
      <c r="AA96" s="379" t="s">
        <v>211</v>
      </c>
      <c r="AE96" s="287"/>
      <c r="AF96" s="287"/>
    </row>
    <row r="97" spans="26:32" x14ac:dyDescent="0.2">
      <c r="Z97" s="280">
        <v>77</v>
      </c>
      <c r="AA97" s="379" t="s">
        <v>212</v>
      </c>
      <c r="AE97" s="287"/>
      <c r="AF97" s="287"/>
    </row>
    <row r="98" spans="26:32" x14ac:dyDescent="0.2">
      <c r="Z98" s="280">
        <v>78</v>
      </c>
      <c r="AA98" s="379" t="s">
        <v>213</v>
      </c>
      <c r="AE98" s="287"/>
      <c r="AF98" s="287"/>
    </row>
    <row r="99" spans="26:32" ht="15" x14ac:dyDescent="0.25">
      <c r="AA99" s="270"/>
      <c r="AB99" s="285"/>
      <c r="AE99" s="287"/>
      <c r="AF99" s="287"/>
    </row>
    <row r="100" spans="26:32" ht="15" x14ac:dyDescent="0.25">
      <c r="AA100" s="270"/>
      <c r="AB100" s="285"/>
      <c r="AE100" s="287"/>
      <c r="AF100" s="287"/>
    </row>
    <row r="101" spans="26:32" ht="15" x14ac:dyDescent="0.25">
      <c r="AA101" s="270"/>
      <c r="AB101" s="285"/>
      <c r="AE101" s="287"/>
      <c r="AF101" s="287"/>
    </row>
    <row r="102" spans="26:32" ht="15" x14ac:dyDescent="0.25">
      <c r="AA102" s="270"/>
      <c r="AB102" s="285"/>
      <c r="AE102" s="287"/>
      <c r="AF102" s="287"/>
    </row>
    <row r="103" spans="26:32" ht="15" x14ac:dyDescent="0.25">
      <c r="AA103" s="270"/>
      <c r="AB103" s="285"/>
      <c r="AE103" s="287"/>
      <c r="AF103" s="287"/>
    </row>
    <row r="104" spans="26:32" ht="15" x14ac:dyDescent="0.25">
      <c r="AA104" s="270"/>
      <c r="AB104" s="285"/>
      <c r="AE104" s="287"/>
      <c r="AF104" s="287"/>
    </row>
    <row r="105" spans="26:32" ht="15" x14ac:dyDescent="0.25">
      <c r="AA105" s="270"/>
      <c r="AB105" s="285"/>
      <c r="AE105" s="287"/>
      <c r="AF105" s="287"/>
    </row>
    <row r="106" spans="26:32" ht="15" x14ac:dyDescent="0.25">
      <c r="AA106" s="270"/>
      <c r="AB106" s="285"/>
      <c r="AE106" s="287"/>
      <c r="AF106" s="287"/>
    </row>
    <row r="107" spans="26:32" ht="15" x14ac:dyDescent="0.2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9"/>
  <sheetViews>
    <sheetView workbookViewId="0">
      <selection activeCell="E17" sqref="E17"/>
    </sheetView>
  </sheetViews>
  <sheetFormatPr defaultRowHeight="12.75" x14ac:dyDescent="0.2"/>
  <cols>
    <col min="2" max="2" width="6.28515625" style="408" customWidth="1"/>
  </cols>
  <sheetData>
    <row r="5" spans="2:4" x14ac:dyDescent="0.2">
      <c r="D5" s="409" t="s">
        <v>311</v>
      </c>
    </row>
    <row r="7" spans="2:4" x14ac:dyDescent="0.2">
      <c r="B7" s="407" t="s">
        <v>2</v>
      </c>
      <c r="C7" s="406" t="s">
        <v>307</v>
      </c>
    </row>
    <row r="9" spans="2:4" x14ac:dyDescent="0.2">
      <c r="B9" s="407" t="s">
        <v>3</v>
      </c>
      <c r="C9" s="406" t="s">
        <v>308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view="pageBreakPreview" topLeftCell="A7" zoomScaleNormal="100" zoomScaleSheetLayoutView="100" workbookViewId="0"/>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27"/>
      <c r="D1" s="427"/>
      <c r="E1" s="427"/>
      <c r="F1" s="278"/>
      <c r="G1" s="278"/>
      <c r="H1" s="278"/>
      <c r="I1" s="1"/>
    </row>
    <row r="2" spans="3:11" s="2" customFormat="1" ht="18" x14ac:dyDescent="0.25">
      <c r="C2" s="271"/>
      <c r="D2" s="428"/>
      <c r="E2" s="428"/>
      <c r="F2" s="428"/>
      <c r="G2" s="428"/>
      <c r="H2" s="272"/>
    </row>
    <row r="3" spans="3:11" s="2" customFormat="1" ht="18" x14ac:dyDescent="0.25">
      <c r="C3" s="271"/>
      <c r="D3" s="273"/>
      <c r="E3" s="273"/>
      <c r="F3" s="273"/>
      <c r="G3" s="273"/>
      <c r="H3" s="274"/>
    </row>
    <row r="4" spans="3:11" s="2" customFormat="1" ht="18" x14ac:dyDescent="0.25">
      <c r="C4" s="275"/>
      <c r="D4" s="428"/>
      <c r="E4" s="428"/>
      <c r="F4" s="275"/>
      <c r="G4" s="275"/>
      <c r="H4" s="30"/>
      <c r="I4" s="9"/>
    </row>
    <row r="5" spans="3:11" s="2" customFormat="1" ht="18" x14ac:dyDescent="0.25">
      <c r="C5" s="275"/>
      <c r="D5" s="273"/>
      <c r="E5" s="273"/>
      <c r="F5" s="275"/>
      <c r="G5" s="275"/>
      <c r="H5" s="30"/>
      <c r="I5" s="9"/>
    </row>
    <row r="6" spans="3:11" s="2" customFormat="1" ht="18" x14ac:dyDescent="0.25">
      <c r="C6" s="275"/>
      <c r="D6" s="279"/>
      <c r="E6" s="275"/>
      <c r="F6" s="276"/>
      <c r="G6" s="277"/>
      <c r="H6" s="30"/>
    </row>
    <row r="7" spans="3:11" s="2" customFormat="1" ht="15.75" x14ac:dyDescent="0.25">
      <c r="F7" s="3"/>
      <c r="G7" s="3"/>
      <c r="J7" s="7"/>
    </row>
    <row r="8" spans="3:11" s="2" customFormat="1" x14ac:dyDescent="0.2"/>
    <row r="9" spans="3:11" s="2" customFormat="1" ht="18" x14ac:dyDescent="0.25">
      <c r="C9" s="338"/>
    </row>
    <row r="10" spans="3:11" s="2" customFormat="1" ht="18" x14ac:dyDescent="0.25">
      <c r="C10" s="338"/>
    </row>
    <row r="11" spans="3:11" s="2" customFormat="1" ht="15" x14ac:dyDescent="0.2">
      <c r="D11" s="337" t="s">
        <v>222</v>
      </c>
      <c r="E11" s="339"/>
      <c r="F11" s="340"/>
      <c r="G11" s="340"/>
      <c r="H11" s="340"/>
      <c r="I11" s="337" t="s">
        <v>226</v>
      </c>
      <c r="J11" s="341"/>
      <c r="K11" s="291"/>
    </row>
    <row r="12" spans="3:11" s="2" customFormat="1" ht="15" x14ac:dyDescent="0.2">
      <c r="D12" s="292"/>
      <c r="E12" s="340"/>
      <c r="F12" s="340"/>
      <c r="G12" s="340"/>
      <c r="H12" s="340"/>
      <c r="J12" s="341"/>
      <c r="K12" s="291"/>
    </row>
    <row r="13" spans="3:11" s="2" customFormat="1" ht="15.75" x14ac:dyDescent="0.25">
      <c r="D13" s="337" t="s">
        <v>237</v>
      </c>
      <c r="E13" s="340"/>
      <c r="F13" s="340"/>
      <c r="G13" s="340"/>
      <c r="H13" s="340"/>
      <c r="I13" s="337" t="s">
        <v>227</v>
      </c>
      <c r="J13" s="342"/>
      <c r="K13" s="291"/>
    </row>
    <row r="14" spans="3:11" s="2" customFormat="1" ht="15.75" x14ac:dyDescent="0.25">
      <c r="D14" s="292"/>
      <c r="E14" s="340"/>
      <c r="F14" s="340"/>
      <c r="G14" s="340"/>
      <c r="H14" s="340"/>
      <c r="I14" s="293"/>
      <c r="J14" s="343"/>
      <c r="K14" s="291"/>
    </row>
    <row r="15" spans="3:11" s="2" customFormat="1" ht="15.75" x14ac:dyDescent="0.25">
      <c r="D15" s="337" t="s">
        <v>223</v>
      </c>
      <c r="E15" s="340"/>
      <c r="F15" s="340"/>
      <c r="G15" s="340"/>
      <c r="H15" s="340"/>
      <c r="I15" s="337" t="s">
        <v>236</v>
      </c>
      <c r="J15" s="342"/>
      <c r="K15" s="291"/>
    </row>
    <row r="16" spans="3:11" s="2" customFormat="1" ht="15.75" x14ac:dyDescent="0.25">
      <c r="D16" s="292"/>
      <c r="E16" s="340"/>
      <c r="F16" s="340"/>
      <c r="G16" s="340"/>
      <c r="H16" s="340"/>
      <c r="I16" s="294"/>
      <c r="J16" s="343"/>
      <c r="K16" s="291"/>
    </row>
    <row r="17" spans="1:13" s="2" customFormat="1" ht="15.75" x14ac:dyDescent="0.25">
      <c r="D17" s="337" t="s">
        <v>224</v>
      </c>
      <c r="E17" s="340"/>
      <c r="F17" s="340"/>
      <c r="G17" s="340"/>
      <c r="H17" s="340"/>
      <c r="I17" s="337" t="s">
        <v>228</v>
      </c>
      <c r="J17" s="342"/>
      <c r="K17" s="291"/>
    </row>
    <row r="18" spans="1:13" s="2" customFormat="1" ht="15.75" x14ac:dyDescent="0.25">
      <c r="D18" s="292"/>
      <c r="E18" s="340"/>
      <c r="F18" s="340"/>
      <c r="G18" s="340"/>
      <c r="H18" s="340"/>
      <c r="J18" s="343"/>
      <c r="K18" s="291"/>
    </row>
    <row r="19" spans="1:13" s="2" customFormat="1" ht="15.75" x14ac:dyDescent="0.25">
      <c r="D19" s="337" t="s">
        <v>225</v>
      </c>
      <c r="E19" s="340"/>
      <c r="F19" s="340"/>
      <c r="G19" s="340"/>
      <c r="H19" s="340"/>
      <c r="J19" s="342"/>
      <c r="K19" s="291"/>
    </row>
    <row r="20" spans="1:13" s="2" customFormat="1" ht="15.75" x14ac:dyDescent="0.25">
      <c r="D20" s="295"/>
      <c r="E20" s="340"/>
      <c r="F20" s="340"/>
      <c r="G20" s="340"/>
      <c r="H20" s="344"/>
      <c r="I20" s="292"/>
      <c r="K20" s="291"/>
    </row>
    <row r="21" spans="1:13" s="2" customFormat="1" ht="15.75" x14ac:dyDescent="0.25">
      <c r="D21" s="337"/>
      <c r="E21" s="340"/>
      <c r="F21" s="340"/>
      <c r="G21" s="340"/>
      <c r="H21" s="344"/>
      <c r="I21" s="292"/>
      <c r="J21" s="342"/>
      <c r="K21" s="291"/>
    </row>
    <row r="22" spans="1:13" s="2" customFormat="1" ht="15.75" x14ac:dyDescent="0.25">
      <c r="D22" s="295"/>
      <c r="E22" s="340"/>
      <c r="F22" s="340"/>
      <c r="G22" s="340"/>
      <c r="H22" s="345"/>
      <c r="I22" s="292"/>
      <c r="J22" s="343"/>
      <c r="K22" s="297"/>
    </row>
    <row r="23" spans="1:13" s="2" customFormat="1" ht="15.75" x14ac:dyDescent="0.25">
      <c r="C23" s="289"/>
      <c r="D23" s="346"/>
      <c r="E23" s="340"/>
      <c r="F23" s="343"/>
      <c r="G23" s="345"/>
      <c r="H23" s="345"/>
      <c r="I23" s="340"/>
      <c r="J23" s="340"/>
      <c r="K23" s="291"/>
    </row>
    <row r="24" spans="1:13" s="2" customFormat="1" ht="15.75" x14ac:dyDescent="0.25">
      <c r="A24" s="4" t="s">
        <v>42</v>
      </c>
      <c r="B24" s="5"/>
      <c r="C24" s="5"/>
      <c r="D24" s="347"/>
      <c r="E24" s="347"/>
      <c r="F24" s="343"/>
      <c r="G24" s="345"/>
      <c r="H24" s="345"/>
      <c r="I24" s="340"/>
      <c r="J24" s="340"/>
      <c r="K24" s="291"/>
    </row>
    <row r="25" spans="1:13" s="2" customFormat="1" x14ac:dyDescent="0.2">
      <c r="A25" s="185" t="s">
        <v>2</v>
      </c>
      <c r="B25" s="430" t="s">
        <v>51</v>
      </c>
      <c r="C25" s="430"/>
      <c r="D25" s="430"/>
      <c r="E25" s="430"/>
      <c r="F25" s="430"/>
      <c r="G25" s="430"/>
      <c r="H25" s="430"/>
    </row>
    <row r="26" spans="1:13" s="2" customFormat="1" x14ac:dyDescent="0.2">
      <c r="A26" s="185" t="s">
        <v>3</v>
      </c>
      <c r="B26" s="430" t="s">
        <v>233</v>
      </c>
      <c r="C26" s="430"/>
      <c r="D26" s="430"/>
      <c r="E26" s="430"/>
      <c r="F26" s="430"/>
      <c r="G26" s="430"/>
      <c r="H26" s="430"/>
    </row>
    <row r="27" spans="1:13" s="2" customFormat="1" x14ac:dyDescent="0.2">
      <c r="A27" s="185" t="s">
        <v>98</v>
      </c>
      <c r="B27" s="431" t="s">
        <v>232</v>
      </c>
      <c r="C27" s="431"/>
      <c r="D27" s="431"/>
      <c r="E27" s="431"/>
      <c r="F27" s="431"/>
      <c r="G27" s="431"/>
      <c r="H27" s="431"/>
    </row>
    <row r="28" spans="1:13" s="2" customFormat="1" x14ac:dyDescent="0.2">
      <c r="A28" s="11" t="s">
        <v>122</v>
      </c>
      <c r="B28" s="429" t="s">
        <v>141</v>
      </c>
      <c r="C28" s="429"/>
      <c r="D28" s="429"/>
      <c r="E28" s="429"/>
      <c r="F28" s="429"/>
      <c r="G28" s="429"/>
      <c r="H28" s="429"/>
      <c r="I28" s="429"/>
      <c r="J28" s="429"/>
      <c r="K28" s="429"/>
      <c r="L28" s="429"/>
    </row>
    <row r="29" spans="1:13" s="2" customFormat="1" x14ac:dyDescent="0.2">
      <c r="A29" s="11" t="s">
        <v>123</v>
      </c>
      <c r="B29" s="429" t="s">
        <v>159</v>
      </c>
      <c r="C29" s="429"/>
      <c r="D29" s="429"/>
      <c r="E29" s="429"/>
      <c r="F29" s="429"/>
      <c r="G29" s="429"/>
      <c r="H29" s="429"/>
      <c r="I29" s="429"/>
      <c r="J29" s="429"/>
      <c r="K29" s="429"/>
      <c r="L29" s="429"/>
      <c r="M29" s="290"/>
    </row>
    <row r="30" spans="1:13" ht="15.75" x14ac:dyDescent="0.25">
      <c r="A30" s="146"/>
      <c r="B30" s="290"/>
      <c r="C30" s="290"/>
      <c r="D30" s="290"/>
      <c r="E30" s="290"/>
      <c r="F30" s="290"/>
      <c r="G30" s="290"/>
      <c r="H30" s="290"/>
      <c r="I30" s="290"/>
      <c r="J30" s="290"/>
      <c r="K30" s="290"/>
      <c r="L30" s="290"/>
      <c r="M30" s="290"/>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90"/>
      <c r="G36" s="290"/>
      <c r="H36" s="10"/>
      <c r="I36" s="10"/>
    </row>
    <row r="37" spans="1:256" x14ac:dyDescent="0.2">
      <c r="F37" s="290"/>
      <c r="G37" s="290"/>
      <c r="H37" s="10"/>
      <c r="I37" s="10"/>
    </row>
    <row r="38" spans="1:256" ht="15.75" x14ac:dyDescent="0.2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
      <c r="F39" s="288"/>
      <c r="G39" s="288"/>
    </row>
    <row r="40" spans="1:256" x14ac:dyDescent="0.2">
      <c r="F40" s="288"/>
      <c r="G40" s="288"/>
    </row>
    <row r="41" spans="1:256" x14ac:dyDescent="0.2">
      <c r="F41" s="288"/>
      <c r="G41" s="288"/>
    </row>
    <row r="42" spans="1:256" x14ac:dyDescent="0.2">
      <c r="F42" s="288"/>
      <c r="G42" s="288"/>
    </row>
    <row r="43" spans="1:256" x14ac:dyDescent="0.2">
      <c r="F43" s="288"/>
      <c r="G43" s="288"/>
    </row>
    <row r="44" spans="1:256" x14ac:dyDescent="0.2">
      <c r="F44" s="288"/>
      <c r="G44" s="288"/>
    </row>
    <row r="45" spans="1:256" x14ac:dyDescent="0.2">
      <c r="F45" s="288"/>
      <c r="G45" s="288"/>
    </row>
    <row r="46" spans="1:256" x14ac:dyDescent="0.2">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90"/>
  <sheetViews>
    <sheetView showGridLines="0" tabSelected="1" topLeftCell="B25" zoomScaleNormal="100" zoomScaleSheetLayoutView="100" workbookViewId="0">
      <selection activeCell="I65" sqref="I65"/>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7.42578125" style="5" customWidth="1"/>
    <col min="10" max="10" width="1.140625" style="5" customWidth="1"/>
    <col min="11" max="11" width="3.710937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18.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35"/>
      <c r="D1" s="435"/>
      <c r="E1" s="435"/>
      <c r="F1" s="435"/>
      <c r="G1" s="435"/>
      <c r="H1" s="435"/>
      <c r="I1" s="435"/>
      <c r="J1" s="435"/>
      <c r="K1" s="435"/>
      <c r="L1" s="435"/>
      <c r="M1" s="435"/>
      <c r="N1" s="8"/>
      <c r="O1" s="8"/>
      <c r="P1" s="8"/>
      <c r="Q1" s="8"/>
      <c r="R1" s="8"/>
      <c r="S1" s="8"/>
      <c r="T1" s="8"/>
      <c r="U1" s="147" t="str">
        <f>CONCATENATE('2. Table of Contents'!$F$6," ",'2. Table of Contents'!$G$6)</f>
        <v xml:space="preserve"> </v>
      </c>
      <c r="V1" s="1"/>
    </row>
    <row r="2" spans="2:24" s="2" customFormat="1" ht="18" x14ac:dyDescent="0.25">
      <c r="C2" s="440"/>
      <c r="D2" s="440"/>
      <c r="E2" s="440"/>
      <c r="F2" s="440"/>
      <c r="G2" s="440"/>
      <c r="H2" s="440"/>
      <c r="I2" s="440"/>
      <c r="J2" s="440"/>
      <c r="K2" s="440"/>
      <c r="L2" s="36"/>
      <c r="N2" s="36"/>
      <c r="O2" s="36"/>
      <c r="P2" s="36"/>
      <c r="Q2" s="36"/>
      <c r="R2" s="36"/>
      <c r="S2" s="36"/>
      <c r="T2" s="36"/>
      <c r="U2" s="298"/>
    </row>
    <row r="3" spans="2:24" s="2" customFormat="1" ht="18" x14ac:dyDescent="0.25">
      <c r="C3" s="440"/>
      <c r="D3" s="440"/>
      <c r="E3" s="440"/>
      <c r="F3" s="440"/>
      <c r="G3" s="440"/>
      <c r="H3" s="440"/>
      <c r="I3" s="440"/>
      <c r="J3" s="440"/>
      <c r="K3" s="440"/>
      <c r="L3" s="36"/>
      <c r="N3" s="36"/>
      <c r="O3" s="36"/>
      <c r="P3" s="36"/>
      <c r="Q3" s="36"/>
      <c r="R3" s="36"/>
      <c r="S3" s="36"/>
      <c r="T3" s="36"/>
      <c r="U3" s="298"/>
    </row>
    <row r="4" spans="2:24" s="2" customFormat="1" ht="18" x14ac:dyDescent="0.25">
      <c r="C4" s="440"/>
      <c r="D4" s="440"/>
      <c r="E4" s="440"/>
      <c r="F4" s="440"/>
      <c r="G4" s="440"/>
      <c r="H4" s="440"/>
      <c r="I4" s="440"/>
      <c r="J4" s="440"/>
      <c r="K4" s="440"/>
      <c r="L4" s="36"/>
      <c r="N4" s="36"/>
      <c r="O4" s="36"/>
      <c r="P4" s="36"/>
      <c r="Q4" s="36"/>
      <c r="R4" s="36"/>
      <c r="S4" s="36"/>
      <c r="T4" s="36"/>
      <c r="U4" s="296"/>
    </row>
    <row r="5" spans="2:24" s="2" customFormat="1" ht="15.75" x14ac:dyDescent="0.25">
      <c r="G5" s="3"/>
      <c r="H5" s="3"/>
      <c r="I5" s="3"/>
      <c r="J5" s="3"/>
      <c r="U5" s="291"/>
    </row>
    <row r="6" spans="2:24" s="2" customFormat="1" ht="36.75" customHeight="1" x14ac:dyDescent="0.2">
      <c r="U6" s="291"/>
    </row>
    <row r="7" spans="2:24" ht="4.5" customHeight="1" x14ac:dyDescent="0.2"/>
    <row r="8" spans="2:24" ht="22.5" customHeight="1" x14ac:dyDescent="0.2">
      <c r="E8" s="436"/>
      <c r="F8" s="436"/>
      <c r="G8" s="436"/>
      <c r="H8" s="436"/>
      <c r="I8" s="436"/>
      <c r="J8" s="436"/>
      <c r="K8" s="436"/>
      <c r="L8" s="436"/>
      <c r="M8" s="436"/>
      <c r="N8" s="436"/>
      <c r="O8" s="436"/>
      <c r="P8" s="436"/>
      <c r="Q8" s="436"/>
      <c r="R8" s="436"/>
      <c r="S8" s="436"/>
      <c r="T8" s="436"/>
      <c r="U8" s="436"/>
      <c r="V8" s="144"/>
      <c r="W8" s="13"/>
      <c r="X8" s="14"/>
    </row>
    <row r="9" spans="2:24" ht="22.5" customHeight="1" x14ac:dyDescent="0.25">
      <c r="B9" s="381" t="s">
        <v>281</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
      <c r="V11" s="26"/>
    </row>
    <row r="12" spans="2:24" ht="12.75" customHeight="1" x14ac:dyDescent="0.2">
      <c r="E12" s="443" t="s">
        <v>155</v>
      </c>
      <c r="F12" s="69"/>
      <c r="G12" s="441" t="s">
        <v>3</v>
      </c>
      <c r="H12" s="26"/>
      <c r="I12" s="437" t="str">
        <f>IF(ISBLANK(M12),"","Adjustments")</f>
        <v>Adjustments</v>
      </c>
      <c r="J12" s="69"/>
      <c r="K12" s="306"/>
      <c r="L12" s="306"/>
      <c r="M12" s="445" t="s">
        <v>306</v>
      </c>
      <c r="N12" s="306"/>
      <c r="O12" s="441" t="s">
        <v>147</v>
      </c>
      <c r="P12" s="306"/>
      <c r="Q12" s="437" t="str">
        <f>IF(ISBLANK(M12),"","Adjustments")</f>
        <v>Adjustments</v>
      </c>
      <c r="R12" s="306"/>
      <c r="S12" s="306"/>
      <c r="T12" s="306"/>
      <c r="U12" s="443" t="s">
        <v>154</v>
      </c>
      <c r="V12" s="145"/>
    </row>
    <row r="13" spans="2:24" ht="27" customHeight="1" x14ac:dyDescent="0.2">
      <c r="E13" s="444"/>
      <c r="F13" s="69"/>
      <c r="G13" s="442"/>
      <c r="H13" s="26"/>
      <c r="I13" s="437"/>
      <c r="J13" s="69"/>
      <c r="K13" s="306"/>
      <c r="L13" s="306"/>
      <c r="M13" s="446"/>
      <c r="N13" s="306"/>
      <c r="O13" s="442"/>
      <c r="P13" s="306"/>
      <c r="Q13" s="437"/>
      <c r="R13" s="306"/>
      <c r="S13" s="306"/>
      <c r="T13" s="306"/>
      <c r="U13" s="444"/>
      <c r="V13" s="145"/>
    </row>
    <row r="14" spans="2:24" ht="10.5" customHeight="1" x14ac:dyDescent="0.2">
      <c r="J14" s="26"/>
      <c r="V14" s="26"/>
    </row>
    <row r="15" spans="2:24" x14ac:dyDescent="0.2">
      <c r="B15" s="301">
        <v>1</v>
      </c>
      <c r="C15" s="17" t="s">
        <v>7</v>
      </c>
      <c r="D15" s="17"/>
      <c r="J15" s="26"/>
      <c r="V15" s="26"/>
    </row>
    <row r="16" spans="2:24" x14ac:dyDescent="0.2">
      <c r="B16" s="302"/>
      <c r="C16" s="5" t="s">
        <v>100</v>
      </c>
      <c r="E16" s="358">
        <f>('[3]5. FA Continuity 2013'!$D$123+'[3]5. FA Continuity 2013'!$G$123)/2</f>
        <v>25591525.415969871</v>
      </c>
      <c r="F16" s="233"/>
      <c r="G16" s="363"/>
      <c r="H16" s="11"/>
      <c r="I16" s="403">
        <f>+(('[4]5. FA Continuity 2013'!$G$123+'[4]4. FA Continuity 2012'!$G$121)/2)-E16</f>
        <v>448096.74176515639</v>
      </c>
      <c r="J16" s="233"/>
      <c r="K16" s="363" t="s">
        <v>295</v>
      </c>
      <c r="L16" s="198"/>
      <c r="M16" s="234">
        <f>IF(ISBLANK(E16),0,E16+I16)</f>
        <v>26039622.157735027</v>
      </c>
      <c r="N16" s="198"/>
      <c r="O16" s="364"/>
      <c r="P16" s="198"/>
      <c r="Q16" s="358"/>
      <c r="R16" s="233"/>
      <c r="S16" s="364"/>
      <c r="T16" s="198"/>
      <c r="U16" s="235">
        <f>IF(ISBLANK(E16),"",E16+I16+Q16)</f>
        <v>26039622.157735027</v>
      </c>
      <c r="V16" s="19"/>
    </row>
    <row r="17" spans="2:29" x14ac:dyDescent="0.2">
      <c r="B17" s="302"/>
      <c r="C17" s="5" t="s">
        <v>101</v>
      </c>
      <c r="E17" s="358">
        <f>-('[3]5. FA Continuity 2013'!$I$123+'[3]5. FA Continuity 2013'!$L$123)/2</f>
        <v>-12457078.343421549</v>
      </c>
      <c r="F17" s="233"/>
      <c r="G17" s="11" t="s">
        <v>123</v>
      </c>
      <c r="H17" s="11"/>
      <c r="I17" s="404">
        <f>-(('[4]5. FA Continuity 2013'!$L$123+'[4]4. FA Continuity 2012'!$L$121)/2)-E17</f>
        <v>-516124.35962347686</v>
      </c>
      <c r="J17" s="233"/>
      <c r="K17" s="364"/>
      <c r="L17" s="198"/>
      <c r="M17" s="235">
        <f>IF(ISBLANK(E17),0,E17+I17)</f>
        <v>-12973202.703045025</v>
      </c>
      <c r="N17" s="198"/>
      <c r="O17" s="364"/>
      <c r="P17" s="198"/>
      <c r="Q17" s="358"/>
      <c r="R17" s="233"/>
      <c r="S17" s="364"/>
      <c r="T17" s="198"/>
      <c r="U17" s="235">
        <f>IF(ISBLANK(E17),"",E17+I17+Q17)</f>
        <v>-12973202.703045025</v>
      </c>
      <c r="V17" s="19"/>
    </row>
    <row r="18" spans="2:29" x14ac:dyDescent="0.2">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
      <c r="B19" s="302"/>
      <c r="C19" s="5" t="s">
        <v>61</v>
      </c>
      <c r="E19" s="358">
        <f>'[3]17. Return on Capital'!$E$184+'[3]17. Return on Capital'!$E$185+'[3]17. Return on Capital'!$E$186+'[3]17. Return on Capital'!$E$187+'[3]17. Return on Capital'!$E$188+'[3]17. Return on Capital'!$E$189</f>
        <v>2546318.4325221376</v>
      </c>
      <c r="F19" s="233"/>
      <c r="G19" s="363"/>
      <c r="H19" s="197"/>
      <c r="I19" s="358">
        <f>-E19+'[4]28. Revenue Requirement'!$C$62</f>
        <v>-38809.028758102097</v>
      </c>
      <c r="J19" s="233"/>
      <c r="K19" s="363" t="s">
        <v>296</v>
      </c>
      <c r="L19" s="198"/>
      <c r="M19" s="236">
        <f>IF(ISBLANK(E19),0,E19+I19)</f>
        <v>2507509.4037640356</v>
      </c>
      <c r="N19" s="198"/>
      <c r="O19" s="364"/>
      <c r="P19" s="198"/>
      <c r="Q19" s="358">
        <f>-M19+2350385</f>
        <v>-157124.40376403555</v>
      </c>
      <c r="R19" s="233"/>
      <c r="S19" s="405" t="s">
        <v>309</v>
      </c>
      <c r="T19" s="198"/>
      <c r="U19" s="235">
        <f>IF(ISBLANK(E19),"",E19+I19+Q19)</f>
        <v>2350385</v>
      </c>
      <c r="V19" s="19"/>
    </row>
    <row r="20" spans="2:29" x14ac:dyDescent="0.2">
      <c r="B20" s="302"/>
      <c r="C20" s="5" t="s">
        <v>62</v>
      </c>
      <c r="E20" s="358">
        <f>'[3]17. Return on Capital'!$E$191</f>
        <v>19811586.624456361</v>
      </c>
      <c r="F20" s="233"/>
      <c r="G20" s="363"/>
      <c r="H20" s="197"/>
      <c r="I20" s="358">
        <f>-E20+'[4]17. Return on Capital'!$E$191</f>
        <v>134207.26028477401</v>
      </c>
      <c r="J20" s="233"/>
      <c r="K20" s="363" t="s">
        <v>300</v>
      </c>
      <c r="L20" s="198"/>
      <c r="M20" s="236">
        <f>IF(ISBLANK(E20),0,E20+I20)</f>
        <v>19945793.884741135</v>
      </c>
      <c r="N20" s="198"/>
      <c r="O20" s="364"/>
      <c r="P20" s="198"/>
      <c r="Q20" s="358">
        <f>+'[5]17. Return on Capital'!$E$191-M20</f>
        <v>90869.03884376213</v>
      </c>
      <c r="R20" s="233"/>
      <c r="S20" s="405" t="s">
        <v>310</v>
      </c>
      <c r="T20" s="198"/>
      <c r="U20" s="235">
        <f>IF(ISBLANK(E20),"",E20+I20+Q20)</f>
        <v>20036662.923584897</v>
      </c>
      <c r="V20" s="19"/>
      <c r="Y20" s="437"/>
    </row>
    <row r="21" spans="2:29" x14ac:dyDescent="0.2">
      <c r="B21" s="302"/>
      <c r="C21" s="5" t="s">
        <v>63</v>
      </c>
      <c r="E21" s="359">
        <v>0.13</v>
      </c>
      <c r="F21" s="239"/>
      <c r="G21" s="11" t="s">
        <v>246</v>
      </c>
      <c r="H21" s="197"/>
      <c r="I21" s="237"/>
      <c r="J21" s="237"/>
      <c r="K21" s="197"/>
      <c r="L21" s="197"/>
      <c r="M21" s="359">
        <f>IF(ISBLANK(E21),0,E21)</f>
        <v>0.13</v>
      </c>
      <c r="N21" s="239"/>
      <c r="O21" s="11" t="s">
        <v>246</v>
      </c>
      <c r="P21" s="197"/>
      <c r="Q21" s="197"/>
      <c r="R21" s="197"/>
      <c r="S21" s="197"/>
      <c r="T21" s="197"/>
      <c r="U21" s="359">
        <f>IF(ISBLANK(M21),IF(ISBLANK(E21),0,E21),M21)</f>
        <v>0.13</v>
      </c>
      <c r="V21" s="179"/>
      <c r="W21" s="11" t="s">
        <v>246</v>
      </c>
      <c r="Y21" s="437"/>
    </row>
    <row r="22" spans="2:29" ht="10.5" customHeight="1" x14ac:dyDescent="0.2">
      <c r="B22" s="302"/>
      <c r="E22" s="230"/>
      <c r="F22" s="237"/>
      <c r="G22" s="197"/>
      <c r="H22" s="197"/>
      <c r="I22" s="230"/>
      <c r="J22" s="237"/>
      <c r="K22" s="197"/>
      <c r="L22" s="197"/>
      <c r="M22" s="239"/>
      <c r="N22" s="239"/>
      <c r="O22" s="240"/>
      <c r="P22" s="197"/>
      <c r="Q22" s="197"/>
      <c r="R22" s="197"/>
      <c r="S22" s="197"/>
      <c r="T22" s="197"/>
      <c r="U22" s="230"/>
      <c r="V22" s="21"/>
    </row>
    <row r="23" spans="2:29" x14ac:dyDescent="0.2">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
      <c r="B25" s="302"/>
      <c r="C25" s="25" t="s">
        <v>113</v>
      </c>
      <c r="D25" s="25"/>
      <c r="E25" s="358">
        <f>'[6]O1 Revenue to cost|RR'!$C$18</f>
        <v>3573629.0632676748</v>
      </c>
      <c r="F25" s="233"/>
      <c r="G25" s="364"/>
      <c r="H25" s="197"/>
      <c r="I25" s="237">
        <f>IF(ISBLANK(M25),"",IF(ISBLANK(E25),"",M25-E25))</f>
        <v>10845.90440159291</v>
      </c>
      <c r="J25" s="237"/>
      <c r="K25" s="197"/>
      <c r="L25" s="197"/>
      <c r="M25" s="358">
        <f>+'[4]26. 2013 Rev Deficiency'!$D$84</f>
        <v>3584474.9676692677</v>
      </c>
      <c r="N25" s="233"/>
      <c r="O25" s="364"/>
      <c r="P25" s="197"/>
      <c r="Q25" s="237">
        <f>IF(ISBLANK(U25),"",IF(ISBLANK(M25),"",U25-M25))</f>
        <v>11983.346773185767</v>
      </c>
      <c r="R25" s="197"/>
      <c r="S25" s="197"/>
      <c r="T25" s="197"/>
      <c r="U25" s="358">
        <f>+'[5]26. 2013 Rev Deficiency'!$C$84</f>
        <v>3596458.3144424534</v>
      </c>
      <c r="V25" s="29"/>
      <c r="W25" s="365"/>
    </row>
    <row r="26" spans="2:29" x14ac:dyDescent="0.2">
      <c r="B26" s="302"/>
      <c r="C26" s="5" t="s">
        <v>109</v>
      </c>
      <c r="E26" s="358">
        <f>'[6]O1 Revenue to cost|RR'!$C$23</f>
        <v>3801841.7471484803</v>
      </c>
      <c r="F26" s="233"/>
      <c r="G26" s="364"/>
      <c r="H26" s="197"/>
      <c r="I26" s="237">
        <f>IF(ISBLANK(M26),"",IF(ISBLANK(E26),"",M26-E26))</f>
        <v>18388.13530632481</v>
      </c>
      <c r="J26" s="235"/>
      <c r="K26" s="197"/>
      <c r="L26" s="197"/>
      <c r="M26" s="358">
        <f>+'[4]28. Revenue Requirement'!$D$75</f>
        <v>3820229.8824548051</v>
      </c>
      <c r="N26" s="233"/>
      <c r="O26" s="364"/>
      <c r="P26" s="197"/>
      <c r="Q26" s="237">
        <f>IF(ISBLANK(U26),"",IF(ISBLANK(M26),"",U26-M26))</f>
        <v>-157669.28614399629</v>
      </c>
      <c r="R26" s="197"/>
      <c r="S26" s="197"/>
      <c r="T26" s="197"/>
      <c r="U26" s="358">
        <f>+'[5]26. 2013 Rev Deficiency'!$D$84+'[5]26. 2013 Rev Deficiency'!$D$83</f>
        <v>3662560.5963108088</v>
      </c>
      <c r="V26" s="29"/>
      <c r="W26" s="365"/>
    </row>
    <row r="27" spans="2:29" x14ac:dyDescent="0.2">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
      <c r="B28" s="302"/>
      <c r="C28" s="5" t="s">
        <v>68</v>
      </c>
      <c r="E28" s="358">
        <f>-'[3]28. Revenue Requirement'!$D$90</f>
        <v>108600</v>
      </c>
      <c r="F28" s="233"/>
      <c r="G28" s="364"/>
      <c r="H28" s="197"/>
      <c r="I28" s="237">
        <f>IF(ISBLANK(M28),"",IF(ISBLANK(E28),"",M28-E28))</f>
        <v>0</v>
      </c>
      <c r="J28" s="237"/>
      <c r="K28" s="197"/>
      <c r="L28" s="197"/>
      <c r="M28" s="358">
        <f>E28</f>
        <v>108600</v>
      </c>
      <c r="N28" s="233"/>
      <c r="O28" s="364"/>
      <c r="P28" s="197"/>
      <c r="Q28" s="237">
        <f>IF(ISBLANK(U28),"",IF(ISBLANK(M28),"",U28-M28))</f>
        <v>0</v>
      </c>
      <c r="R28" s="197"/>
      <c r="S28" s="197"/>
      <c r="T28" s="197"/>
      <c r="U28" s="358">
        <f>-'[5]28. Revenue Requirement'!$F$90</f>
        <v>108600</v>
      </c>
      <c r="V28" s="29"/>
      <c r="W28" s="365"/>
    </row>
    <row r="29" spans="2:29" x14ac:dyDescent="0.2">
      <c r="B29" s="302"/>
      <c r="C29" s="5" t="s">
        <v>69</v>
      </c>
      <c r="E29" s="358">
        <f>-'[3]28. Revenue Requirement'!$D$88</f>
        <v>23400</v>
      </c>
      <c r="F29" s="233"/>
      <c r="G29" s="364"/>
      <c r="H29" s="197"/>
      <c r="I29" s="237">
        <f>IF(ISBLANK(M29),"",IF(ISBLANK(E29),"",M29-E29))</f>
        <v>0</v>
      </c>
      <c r="J29" s="237"/>
      <c r="K29" s="197"/>
      <c r="L29" s="197"/>
      <c r="M29" s="358">
        <f>E29</f>
        <v>23400</v>
      </c>
      <c r="N29" s="233"/>
      <c r="O29" s="364"/>
      <c r="P29" s="197"/>
      <c r="Q29" s="237">
        <f>IF(ISBLANK(U29),"",IF(ISBLANK(M29),"",U29-M29))</f>
        <v>0</v>
      </c>
      <c r="R29" s="197"/>
      <c r="S29" s="197"/>
      <c r="T29" s="197"/>
      <c r="U29" s="358">
        <f>-'[5]28. Revenue Requirement'!$F$88</f>
        <v>23400</v>
      </c>
      <c r="V29" s="29"/>
      <c r="W29" s="365"/>
    </row>
    <row r="30" spans="2:29" x14ac:dyDescent="0.2">
      <c r="B30" s="302"/>
      <c r="C30" s="5" t="s">
        <v>70</v>
      </c>
      <c r="E30" s="358">
        <f>-('[3]28. Revenue Requirement'!$F$80+'[3]28. Revenue Requirement'!$F$85+'[3]28. Revenue Requirement'!$F$87+'[3]28. Revenue Requirement'!$F$97+'[3]28. Revenue Requirement'!$F$98+'[3]28. Revenue Requirement'!$F$104+'[3]28. Revenue Requirement'!$F$107+'[3]28. Revenue Requirement'!$F$108)-'[3]28. Revenue Requirement'!$F$106</f>
        <v>131604</v>
      </c>
      <c r="F30" s="233"/>
      <c r="G30" s="139"/>
      <c r="H30" s="197"/>
      <c r="I30" s="237">
        <f>IF(ISBLANK(M30),"",IF(ISBLANK(E30),"",M30-E30))</f>
        <v>22596</v>
      </c>
      <c r="J30" s="237"/>
      <c r="K30" s="197"/>
      <c r="L30" s="197"/>
      <c r="M30" s="358">
        <f>-('[4]28. Revenue Requirement'!$D$80+'[4]28. Revenue Requirement'!$D$85+'[4]28. Revenue Requirement'!$D$87+'[4]28. Revenue Requirement'!$D$97+'[4]28. Revenue Requirement'!$D$98+'[4]28. Revenue Requirement'!$D$107+'[4]28. Revenue Requirement'!$D$108)</f>
        <v>154200</v>
      </c>
      <c r="N30" s="233"/>
      <c r="O30" s="400" t="s">
        <v>250</v>
      </c>
      <c r="P30" s="197"/>
      <c r="Q30" s="237">
        <f>IF(ISBLANK(U30),"",IF(ISBLANK(M30),"",U30-M30))</f>
        <v>0</v>
      </c>
      <c r="R30" s="197"/>
      <c r="S30" s="197"/>
      <c r="T30" s="197"/>
      <c r="U30" s="358">
        <f>-'[5]28. Revenue Requirement'!$F$80-'[5]28. Revenue Requirement'!$F$85-'[5]28. Revenue Requirement'!$F$97-'[5]28. Revenue Requirement'!$F$98-'[5]28. Revenue Requirement'!$F$107-'[5]28. Revenue Requirement'!$F$108-'[5]28. Revenue Requirement'!$F$113</f>
        <v>154200</v>
      </c>
      <c r="V30" s="29"/>
      <c r="W30" s="365"/>
    </row>
    <row r="31" spans="2:29" x14ac:dyDescent="0.2">
      <c r="B31" s="302"/>
      <c r="C31" s="5" t="s">
        <v>71</v>
      </c>
      <c r="E31" s="358">
        <v>0</v>
      </c>
      <c r="F31" s="233"/>
      <c r="G31" s="400" t="s">
        <v>303</v>
      </c>
      <c r="H31" s="197"/>
      <c r="I31" s="237">
        <f>IF(ISBLANK(M31),"",IF(ISBLANK(E31),"",M31-E31))</f>
        <v>5600</v>
      </c>
      <c r="J31" s="237"/>
      <c r="K31" s="197"/>
      <c r="L31" s="197"/>
      <c r="M31" s="358">
        <f>-'[4]28. Revenue Requirement'!$D$113</f>
        <v>5600</v>
      </c>
      <c r="N31" s="233"/>
      <c r="O31" s="400" t="s">
        <v>303</v>
      </c>
      <c r="P31" s="197"/>
      <c r="Q31" s="237">
        <f>IF(ISBLANK(U31),"",IF(ISBLANK(M31),"",U31-M31))</f>
        <v>0</v>
      </c>
      <c r="R31" s="197"/>
      <c r="S31" s="197"/>
      <c r="T31" s="197"/>
      <c r="U31" s="358">
        <f>-'[5]28. Revenue Requirement'!$F$87</f>
        <v>5600</v>
      </c>
      <c r="V31" s="29"/>
      <c r="W31" s="365"/>
    </row>
    <row r="32" spans="2:29" x14ac:dyDescent="0.2">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
      <c r="B33" s="302"/>
      <c r="D33" s="5" t="s">
        <v>57</v>
      </c>
      <c r="E33" s="358">
        <f>+'[3]28. Revenue Requirement'!$C$74</f>
        <v>263604</v>
      </c>
      <c r="F33" s="233"/>
      <c r="G33" s="11" t="s">
        <v>238</v>
      </c>
      <c r="H33" s="197"/>
      <c r="I33" s="237">
        <f>IF(ISBLANK(M33),"",IF(ISBLANK(E33),"",M33-E33))</f>
        <v>28196</v>
      </c>
      <c r="J33" s="237"/>
      <c r="K33" s="197"/>
      <c r="L33" s="197"/>
      <c r="M33" s="358">
        <f>-'[4]28. Revenue Requirement'!$F$114</f>
        <v>291800</v>
      </c>
      <c r="N33" s="233"/>
      <c r="O33" s="400" t="s">
        <v>303</v>
      </c>
      <c r="P33" s="197"/>
      <c r="Q33" s="237">
        <f>IF(ISBLANK(U33),"",IF(ISBLANK(M33),"",U33-M33))</f>
        <v>0</v>
      </c>
      <c r="R33" s="197"/>
      <c r="S33" s="197"/>
      <c r="T33" s="197"/>
      <c r="U33" s="358">
        <f>-'[5]28. Revenue Requirement'!$F$118</f>
        <v>291800</v>
      </c>
      <c r="V33" s="29"/>
      <c r="W33" s="365"/>
    </row>
    <row r="34" spans="2:23" ht="10.5" customHeight="1" x14ac:dyDescent="0.2">
      <c r="B34" s="302"/>
      <c r="E34" s="237"/>
      <c r="F34" s="237"/>
      <c r="G34" s="198"/>
      <c r="H34" s="198"/>
      <c r="I34" s="237"/>
      <c r="J34" s="237"/>
      <c r="K34" s="198"/>
      <c r="L34" s="198"/>
      <c r="M34" s="198"/>
      <c r="N34" s="198"/>
      <c r="O34" s="198"/>
      <c r="P34" s="198"/>
      <c r="Q34" s="198"/>
      <c r="R34" s="198"/>
      <c r="S34" s="198"/>
      <c r="T34" s="198"/>
      <c r="U34" s="237"/>
      <c r="V34" s="21"/>
    </row>
    <row r="35" spans="2:23" x14ac:dyDescent="0.2">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
      <c r="B36" s="302"/>
      <c r="C36" s="5" t="s">
        <v>65</v>
      </c>
      <c r="E36" s="358">
        <f>'[3]28. Revenue Requirement'!$C$62-'[3]17. Return on Capital'!$E$189</f>
        <v>2515933.4325221376</v>
      </c>
      <c r="F36" s="233"/>
      <c r="G36" s="364"/>
      <c r="H36" s="197"/>
      <c r="I36" s="404">
        <f>+'[4]26. 2013 Rev Deficiency'!$D$89+'[4]26. 2013 Rev Deficiency'!$D$90-E36</f>
        <v>-38809.028758102097</v>
      </c>
      <c r="J36" s="233"/>
      <c r="K36" s="364"/>
      <c r="L36" s="197"/>
      <c r="M36" s="236">
        <f>IF(ISBLANK(E36),"",E36+I36)</f>
        <v>2477124.4037640356</v>
      </c>
      <c r="N36" s="197"/>
      <c r="O36" s="197"/>
      <c r="P36" s="197"/>
      <c r="Q36" s="358">
        <f>-M36+'[5]26. 2013 Rev Deficiency'!$D$89+'[5]26. 2013 Rev Deficiency'!$D$90</f>
        <v>-157123.99999999977</v>
      </c>
      <c r="R36" s="233"/>
      <c r="S36" s="405" t="s">
        <v>309</v>
      </c>
      <c r="T36" s="197"/>
      <c r="U36" s="235">
        <f>IF(ISBLANK(E36),"",E36+I36+Q36)</f>
        <v>2320000.4037640356</v>
      </c>
      <c r="V36" s="19"/>
    </row>
    <row r="37" spans="2:23" x14ac:dyDescent="0.2">
      <c r="B37" s="302"/>
      <c r="C37" s="5" t="s">
        <v>143</v>
      </c>
      <c r="E37" s="358">
        <f>'[3]28. Revenue Requirement'!$C$63+'[7]App.2-EB_PP&amp;E Deferral Account'!$F$43</f>
        <v>623869.0316326418</v>
      </c>
      <c r="F37" s="233"/>
      <c r="G37" s="357" t="s">
        <v>250</v>
      </c>
      <c r="H37" s="197"/>
      <c r="I37" s="404">
        <f>+'[4]26. 2013 Rev Deficiency'!$D$91-E37</f>
        <v>71217.596984779229</v>
      </c>
      <c r="J37" s="233"/>
      <c r="K37" s="357" t="s">
        <v>250</v>
      </c>
      <c r="L37" s="197"/>
      <c r="M37" s="236">
        <f>IF(ISBLANK(E37),"",E37+I37)</f>
        <v>695086.62861742103</v>
      </c>
      <c r="N37" s="197"/>
      <c r="O37" s="197"/>
      <c r="P37" s="197"/>
      <c r="Q37" s="358"/>
      <c r="R37" s="233"/>
      <c r="S37" s="364"/>
      <c r="T37" s="197"/>
      <c r="U37" s="235">
        <f>IF(ISBLANK(E37),"",E37+I37+Q37)</f>
        <v>695086.62861742103</v>
      </c>
      <c r="V37" s="19"/>
    </row>
    <row r="38" spans="2:23" x14ac:dyDescent="0.2">
      <c r="B38" s="302"/>
      <c r="C38" s="5" t="s">
        <v>66</v>
      </c>
      <c r="E38" s="358">
        <f>'[3]17. Return on Capital'!$E$189</f>
        <v>30385</v>
      </c>
      <c r="F38" s="233"/>
      <c r="G38" s="364"/>
      <c r="H38" s="197"/>
      <c r="I38" s="358"/>
      <c r="J38" s="233"/>
      <c r="K38" s="364"/>
      <c r="L38" s="197"/>
      <c r="M38" s="236">
        <f>IF(ISBLANK(E38),"",E38+I38)</f>
        <v>30385</v>
      </c>
      <c r="N38" s="197"/>
      <c r="O38" s="197"/>
      <c r="P38" s="197"/>
      <c r="Q38" s="358"/>
      <c r="R38" s="233"/>
      <c r="S38" s="364"/>
      <c r="T38" s="197"/>
      <c r="U38" s="235">
        <f>IF(ISBLANK(E38),"",E38+I38+Q38)</f>
        <v>30385</v>
      </c>
      <c r="V38" s="19"/>
    </row>
    <row r="39" spans="2:23" s="174" customFormat="1" ht="0.75" customHeight="1" x14ac:dyDescent="0.2">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
      <c r="B40" s="302"/>
      <c r="C40" s="5" t="s">
        <v>93</v>
      </c>
      <c r="E40" s="358"/>
      <c r="F40" s="233"/>
      <c r="G40" s="364"/>
      <c r="H40" s="197"/>
      <c r="I40" s="358"/>
      <c r="J40" s="233"/>
      <c r="K40" s="364"/>
      <c r="L40" s="197"/>
      <c r="M40" s="198" t="str">
        <f>IF(ISBLANK(E40),"",E40+I40)</f>
        <v/>
      </c>
      <c r="N40" s="197"/>
      <c r="O40" s="197"/>
      <c r="P40" s="197"/>
      <c r="Q40" s="358"/>
      <c r="R40" s="233"/>
      <c r="S40" s="364"/>
      <c r="T40" s="197"/>
      <c r="U40" s="235" t="str">
        <f>IF(ISBLANK(E40),"",E40+I40+Q40)</f>
        <v/>
      </c>
      <c r="V40" s="19"/>
    </row>
    <row r="41" spans="2:23" ht="9.75" customHeight="1" x14ac:dyDescent="0.2">
      <c r="B41" s="302"/>
      <c r="E41" s="230"/>
      <c r="F41" s="237"/>
      <c r="G41" s="197"/>
      <c r="H41" s="197"/>
      <c r="I41" s="230"/>
      <c r="J41" s="237"/>
      <c r="K41" s="197"/>
      <c r="L41" s="197"/>
      <c r="M41" s="197"/>
      <c r="N41" s="197"/>
      <c r="O41" s="197"/>
      <c r="P41" s="197"/>
      <c r="Q41" s="197"/>
      <c r="R41" s="197"/>
      <c r="S41" s="197"/>
      <c r="T41" s="197"/>
      <c r="U41" s="230"/>
      <c r="V41" s="21"/>
    </row>
    <row r="42" spans="2:23" x14ac:dyDescent="0.2">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
      <c r="B44" s="302"/>
      <c r="C44" s="28"/>
      <c r="D44" s="28" t="s">
        <v>146</v>
      </c>
      <c r="E44" s="358">
        <f>'[3]25. Tax Adjustments 2013'!$F$165</f>
        <v>-579842.76603918872</v>
      </c>
      <c r="F44" s="233"/>
      <c r="G44" s="11" t="s">
        <v>98</v>
      </c>
      <c r="H44" s="11"/>
      <c r="I44" s="235"/>
      <c r="J44" s="235"/>
      <c r="K44" s="197"/>
      <c r="L44" s="197"/>
      <c r="M44" s="358">
        <f>+'[4]27. Capital Tax &amp; Exp Schedules'!$D$54</f>
        <v>-559205.73545457912</v>
      </c>
      <c r="N44" s="233"/>
      <c r="O44" s="363"/>
      <c r="P44" s="197"/>
      <c r="Q44" s="197"/>
      <c r="R44" s="197"/>
      <c r="S44" s="197"/>
      <c r="T44" s="197"/>
      <c r="U44" s="358">
        <f>+'[5]27. Capital Tax &amp; Exp Schedules'!$D$54</f>
        <v>-559205.73545457912</v>
      </c>
      <c r="V44" s="29"/>
      <c r="W44" s="365"/>
    </row>
    <row r="45" spans="2:23" x14ac:dyDescent="0.2">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
      <c r="B46" s="302"/>
      <c r="C46" s="5" t="s">
        <v>125</v>
      </c>
      <c r="E46" s="358">
        <f>'[3]26. 2013 Rev Deficiency'!$D$146</f>
        <v>826.45877698628408</v>
      </c>
      <c r="F46" s="233"/>
      <c r="G46" s="364"/>
      <c r="H46" s="197"/>
      <c r="I46" s="230"/>
      <c r="J46" s="237"/>
      <c r="K46" s="197"/>
      <c r="L46" s="197"/>
      <c r="M46" s="358">
        <f>+'[4]26. 2013 Rev Deficiency'!$D$146</f>
        <v>1827.5936257048168</v>
      </c>
      <c r="N46" s="233"/>
      <c r="O46" s="364"/>
      <c r="P46" s="197"/>
      <c r="Q46" s="197"/>
      <c r="R46" s="197"/>
      <c r="S46" s="197"/>
      <c r="T46" s="197"/>
      <c r="U46" s="358">
        <f>+'[5]26. 2013 Rev Deficiency'!$D$146</f>
        <v>1779.9060873729218</v>
      </c>
      <c r="V46" s="29"/>
      <c r="W46" s="365"/>
    </row>
    <row r="47" spans="2:23" x14ac:dyDescent="0.2">
      <c r="B47" s="302"/>
      <c r="C47" s="20" t="s">
        <v>126</v>
      </c>
      <c r="D47" s="20"/>
      <c r="E47" s="233">
        <f>IF(ISBLANK(E46),"",E46/(1-SUM(E49:E50)))</f>
        <v>978.05772424412316</v>
      </c>
      <c r="F47" s="233"/>
      <c r="G47" s="241"/>
      <c r="H47" s="241"/>
      <c r="I47" s="242"/>
      <c r="J47" s="242"/>
      <c r="K47" s="241"/>
      <c r="L47" s="241"/>
      <c r="M47" s="233">
        <f>IF(ISBLANK(M46),"",M46/(1-SUM(M49:M50)))</f>
        <v>2162.8326931417951</v>
      </c>
      <c r="N47" s="233"/>
      <c r="O47" s="241"/>
      <c r="P47" s="241"/>
      <c r="Q47" s="241"/>
      <c r="R47" s="241"/>
      <c r="S47" s="241"/>
      <c r="T47" s="241"/>
      <c r="U47" s="233">
        <f>IF(ISBLANK(U46),"",U46/(1-SUM(U49:U50)))</f>
        <v>2106.397736536002</v>
      </c>
      <c r="V47" s="29"/>
    </row>
    <row r="48" spans="2:23" ht="0.75" customHeight="1" x14ac:dyDescent="0.2">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
      <c r="B49" s="302"/>
      <c r="C49" s="5" t="s">
        <v>83</v>
      </c>
      <c r="E49" s="359">
        <f>'[3]19. Tax rates'!$C$15</f>
        <v>0.11</v>
      </c>
      <c r="F49" s="239"/>
      <c r="G49" s="364"/>
      <c r="H49" s="197"/>
      <c r="I49" s="197"/>
      <c r="J49" s="198"/>
      <c r="K49" s="197"/>
      <c r="L49" s="197"/>
      <c r="M49" s="359">
        <v>0.11</v>
      </c>
      <c r="N49" s="239"/>
      <c r="O49" s="364"/>
      <c r="P49" s="197"/>
      <c r="Q49" s="197"/>
      <c r="R49" s="197"/>
      <c r="S49" s="197"/>
      <c r="T49" s="197"/>
      <c r="U49" s="359">
        <v>0.11</v>
      </c>
      <c r="V49" s="179"/>
      <c r="W49" s="365"/>
    </row>
    <row r="50" spans="2:23" x14ac:dyDescent="0.2">
      <c r="B50" s="302"/>
      <c r="C50" s="5" t="s">
        <v>84</v>
      </c>
      <c r="E50" s="359">
        <f>'[3]19. Tax rates'!$C$17</f>
        <v>4.4999999999999998E-2</v>
      </c>
      <c r="F50" s="239"/>
      <c r="G50" s="364"/>
      <c r="H50" s="197"/>
      <c r="I50" s="197"/>
      <c r="J50" s="198"/>
      <c r="K50" s="197"/>
      <c r="L50" s="197"/>
      <c r="M50" s="359">
        <v>4.4999999999999998E-2</v>
      </c>
      <c r="N50" s="239"/>
      <c r="O50" s="364"/>
      <c r="P50" s="197"/>
      <c r="Q50" s="197"/>
      <c r="R50" s="197"/>
      <c r="S50" s="197"/>
      <c r="T50" s="197"/>
      <c r="U50" s="359">
        <v>4.4999999999999998E-2</v>
      </c>
      <c r="V50" s="179"/>
      <c r="W50" s="365"/>
    </row>
    <row r="51" spans="2:23" x14ac:dyDescent="0.2">
      <c r="B51" s="302"/>
      <c r="C51" s="31" t="s">
        <v>116</v>
      </c>
      <c r="D51" s="31"/>
      <c r="E51" s="358">
        <v>0</v>
      </c>
      <c r="F51" s="233"/>
      <c r="G51" s="364"/>
      <c r="H51" s="197"/>
      <c r="I51" s="197"/>
      <c r="J51" s="198"/>
      <c r="K51" s="197"/>
      <c r="L51" s="197"/>
      <c r="M51" s="358">
        <v>0</v>
      </c>
      <c r="N51" s="233"/>
      <c r="O51" s="364"/>
      <c r="P51" s="197"/>
      <c r="Q51" s="197"/>
      <c r="R51" s="197"/>
      <c r="S51" s="197"/>
      <c r="T51" s="197"/>
      <c r="U51" s="358">
        <v>0</v>
      </c>
      <c r="V51" s="29"/>
      <c r="W51" s="365"/>
    </row>
    <row r="52" spans="2:23" ht="10.5" customHeight="1" x14ac:dyDescent="0.2">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
      <c r="C55" s="5" t="s">
        <v>74</v>
      </c>
      <c r="E55" s="360">
        <v>0.56000000000000005</v>
      </c>
      <c r="F55" s="244"/>
      <c r="G55" s="364"/>
      <c r="H55" s="197"/>
      <c r="I55" s="197"/>
      <c r="J55" s="198"/>
      <c r="K55" s="197"/>
      <c r="L55" s="197"/>
      <c r="M55" s="360">
        <v>0.56000000000000005</v>
      </c>
      <c r="N55" s="244"/>
      <c r="O55" s="364"/>
      <c r="P55" s="197"/>
      <c r="Q55" s="197"/>
      <c r="R55" s="197"/>
      <c r="S55" s="197"/>
      <c r="T55" s="197"/>
      <c r="U55" s="360">
        <v>0.56000000000000005</v>
      </c>
      <c r="V55" s="182"/>
      <c r="W55" s="365"/>
    </row>
    <row r="56" spans="2:23" x14ac:dyDescent="0.2">
      <c r="C56" s="5" t="s">
        <v>75</v>
      </c>
      <c r="E56" s="360">
        <v>0.04</v>
      </c>
      <c r="F56" s="244"/>
      <c r="G56" s="11" t="s">
        <v>244</v>
      </c>
      <c r="H56" s="11"/>
      <c r="I56" s="197"/>
      <c r="J56" s="198"/>
      <c r="K56" s="197"/>
      <c r="L56" s="197"/>
      <c r="M56" s="360">
        <v>0.04</v>
      </c>
      <c r="N56" s="244"/>
      <c r="O56" s="11" t="s">
        <v>244</v>
      </c>
      <c r="P56" s="197"/>
      <c r="Q56" s="197"/>
      <c r="R56" s="197"/>
      <c r="S56" s="197"/>
      <c r="T56" s="197"/>
      <c r="U56" s="360">
        <v>0.04</v>
      </c>
      <c r="V56" s="182"/>
      <c r="W56" s="18" t="s">
        <v>244</v>
      </c>
    </row>
    <row r="57" spans="2:23" x14ac:dyDescent="0.2">
      <c r="C57" s="5" t="s">
        <v>76</v>
      </c>
      <c r="E57" s="360">
        <v>0.4</v>
      </c>
      <c r="F57" s="244"/>
      <c r="G57" s="396"/>
      <c r="H57" s="197"/>
      <c r="I57" s="197"/>
      <c r="J57" s="198"/>
      <c r="K57" s="197"/>
      <c r="L57" s="197"/>
      <c r="M57" s="360">
        <v>0.4</v>
      </c>
      <c r="N57" s="244"/>
      <c r="O57" s="364"/>
      <c r="P57" s="197"/>
      <c r="Q57" s="197"/>
      <c r="R57" s="197"/>
      <c r="S57" s="197"/>
      <c r="T57" s="197"/>
      <c r="U57" s="360">
        <v>0.4</v>
      </c>
      <c r="V57" s="182"/>
      <c r="W57" s="365"/>
    </row>
    <row r="58" spans="2:23" ht="13.5" thickBot="1" x14ac:dyDescent="0.25">
      <c r="C58" s="5" t="s">
        <v>77</v>
      </c>
      <c r="E58" s="361"/>
      <c r="F58" s="244"/>
      <c r="G58" s="364"/>
      <c r="H58" s="197"/>
      <c r="I58" s="197"/>
      <c r="J58" s="198"/>
      <c r="K58" s="197"/>
      <c r="L58" s="197"/>
      <c r="M58" s="361"/>
      <c r="N58" s="244"/>
      <c r="O58" s="364"/>
      <c r="P58" s="197"/>
      <c r="Q58" s="197"/>
      <c r="R58" s="197"/>
      <c r="S58" s="197"/>
      <c r="T58" s="197"/>
      <c r="U58" s="361"/>
      <c r="V58" s="182"/>
      <c r="W58" s="365"/>
    </row>
    <row r="59" spans="2:23" ht="13.5" thickTop="1" x14ac:dyDescent="0.2">
      <c r="E59" s="245">
        <f>SUM(E55:E58)</f>
        <v>1</v>
      </c>
      <c r="F59" s="244"/>
      <c r="G59" s="240"/>
      <c r="H59" s="198"/>
      <c r="I59" s="198"/>
      <c r="J59" s="198"/>
      <c r="K59" s="198"/>
      <c r="L59" s="198"/>
      <c r="M59" s="245">
        <f>SUM(M55:M58)</f>
        <v>1</v>
      </c>
      <c r="N59" s="244"/>
      <c r="O59" s="240"/>
      <c r="P59" s="198"/>
      <c r="Q59" s="198"/>
      <c r="R59" s="198"/>
      <c r="S59" s="198"/>
      <c r="T59" s="198"/>
      <c r="U59" s="245">
        <f>SUM(U55:U58)</f>
        <v>1</v>
      </c>
      <c r="V59" s="182"/>
      <c r="W59" s="180"/>
    </row>
    <row r="60" spans="2:23" ht="25.5" customHeight="1" x14ac:dyDescent="0.2">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
      <c r="C62" s="5" t="s">
        <v>78</v>
      </c>
      <c r="E62" s="362">
        <f>'[3]17. Return on Capital'!$E$174</f>
        <v>3.4407650845202857E-2</v>
      </c>
      <c r="F62" s="248"/>
      <c r="G62" s="402"/>
      <c r="H62" s="197"/>
      <c r="I62" s="197"/>
      <c r="J62" s="198"/>
      <c r="K62" s="197"/>
      <c r="L62" s="197"/>
      <c r="M62" s="362">
        <f>+'[4]17. Return on Capital'!$E$174</f>
        <v>3.6079303820458784E-2</v>
      </c>
      <c r="N62" s="248"/>
      <c r="O62" s="402" t="s">
        <v>297</v>
      </c>
      <c r="P62" s="197"/>
      <c r="Q62" s="197"/>
      <c r="R62" s="197"/>
      <c r="S62" s="197"/>
      <c r="T62" s="197"/>
      <c r="U62" s="362">
        <f>+'[5]17. Return on Capital'!$E$174</f>
        <v>3.6079303820458784E-2</v>
      </c>
      <c r="V62" s="183"/>
      <c r="W62" s="365"/>
    </row>
    <row r="63" spans="2:23" x14ac:dyDescent="0.2">
      <c r="C63" s="5" t="s">
        <v>79</v>
      </c>
      <c r="E63" s="362">
        <f>'[3]17. Return on Capital'!$E$175</f>
        <v>2.0799999999999999E-2</v>
      </c>
      <c r="F63" s="248"/>
      <c r="G63" s="364"/>
      <c r="H63" s="197"/>
      <c r="I63" s="197"/>
      <c r="J63" s="198"/>
      <c r="K63" s="197"/>
      <c r="L63" s="197"/>
      <c r="M63" s="362">
        <f>+'[4]17. Return on Capital'!$E$175</f>
        <v>2.0799999999999999E-2</v>
      </c>
      <c r="N63" s="248"/>
      <c r="O63" s="364"/>
      <c r="P63" s="197"/>
      <c r="Q63" s="197"/>
      <c r="R63" s="197"/>
      <c r="S63" s="197"/>
      <c r="T63" s="197"/>
      <c r="U63" s="362">
        <f>+'[5]17. Return on Capital'!$E$175</f>
        <v>2.0799999999999999E-2</v>
      </c>
      <c r="V63" s="183"/>
      <c r="W63" s="365"/>
    </row>
    <row r="64" spans="2:23" x14ac:dyDescent="0.2">
      <c r="C64" s="5" t="s">
        <v>80</v>
      </c>
      <c r="E64" s="362">
        <f>'[3]17. Return on Capital'!$E$176</f>
        <v>9.1200000000000003E-2</v>
      </c>
      <c r="F64" s="248"/>
      <c r="G64" s="364"/>
      <c r="H64" s="197"/>
      <c r="I64" s="197"/>
      <c r="J64" s="198"/>
      <c r="K64" s="197"/>
      <c r="L64" s="197"/>
      <c r="M64" s="362">
        <f>+'[4]17. Return on Capital'!$E$176</f>
        <v>8.9300000000000004E-2</v>
      </c>
      <c r="N64" s="248"/>
      <c r="O64" s="364"/>
      <c r="P64" s="197"/>
      <c r="Q64" s="197"/>
      <c r="R64" s="197"/>
      <c r="S64" s="197"/>
      <c r="T64" s="197"/>
      <c r="U64" s="362">
        <f>+'[5]17. Return on Capital'!$E$176</f>
        <v>8.9300000000000004E-2</v>
      </c>
      <c r="V64" s="183"/>
      <c r="W64" s="365"/>
    </row>
    <row r="65" spans="1:24" x14ac:dyDescent="0.2">
      <c r="C65" s="5" t="s">
        <v>81</v>
      </c>
      <c r="E65" s="362"/>
      <c r="F65" s="248"/>
      <c r="G65" s="364"/>
      <c r="H65" s="197"/>
      <c r="I65" s="197"/>
      <c r="J65" s="198"/>
      <c r="K65" s="197"/>
      <c r="L65" s="197"/>
      <c r="M65" s="362"/>
      <c r="N65" s="248"/>
      <c r="O65" s="364"/>
      <c r="P65" s="197"/>
      <c r="Q65" s="197"/>
      <c r="R65" s="197"/>
      <c r="S65" s="197"/>
      <c r="T65" s="197"/>
      <c r="U65" s="362"/>
      <c r="V65" s="183"/>
      <c r="W65" s="365"/>
    </row>
    <row r="66" spans="1:24" x14ac:dyDescent="0.2">
      <c r="D66" s="26"/>
      <c r="E66" s="356"/>
      <c r="F66" s="248"/>
      <c r="G66" s="267"/>
      <c r="H66" s="198"/>
      <c r="I66" s="198"/>
      <c r="J66" s="198"/>
      <c r="K66" s="198"/>
      <c r="L66" s="198"/>
      <c r="M66" s="356"/>
      <c r="N66" s="248"/>
      <c r="O66" s="267"/>
      <c r="P66" s="198"/>
      <c r="Q66" s="198"/>
      <c r="R66" s="198"/>
      <c r="S66" s="198"/>
      <c r="T66" s="198"/>
      <c r="U66" s="356"/>
      <c r="V66" s="183"/>
      <c r="W66" s="349"/>
      <c r="X66" s="26"/>
    </row>
    <row r="67" spans="1:24" ht="38.25" x14ac:dyDescent="0.2">
      <c r="D67" s="386" t="s">
        <v>284</v>
      </c>
      <c r="E67" s="358">
        <f>'[7]App.2-EB_PP&amp;E Deferral Account'!$F$44</f>
        <v>-13322.688180660922</v>
      </c>
      <c r="F67" s="248"/>
      <c r="G67" s="357" t="s">
        <v>285</v>
      </c>
      <c r="H67" s="197"/>
      <c r="I67" s="237">
        <f>IF(ISBLANK(M67),"",IF(ISBLANK(E67),"",M67-E67))</f>
        <v>13322.688180660922</v>
      </c>
      <c r="J67" s="198"/>
      <c r="K67" s="197"/>
      <c r="L67" s="197"/>
      <c r="M67" s="358">
        <f>+'[4]26. 2013 Rev Deficiency'!$D$93</f>
        <v>0</v>
      </c>
      <c r="N67" s="248"/>
      <c r="O67" s="357" t="s">
        <v>285</v>
      </c>
      <c r="P67" s="197"/>
      <c r="Q67" s="237">
        <f>IF(ISBLANK(U67),"",IF(ISBLANK(M67),"",U67-M67))</f>
        <v>0</v>
      </c>
      <c r="R67" s="197"/>
      <c r="S67" s="197"/>
      <c r="T67" s="197"/>
      <c r="U67" s="358">
        <f>+'[5]26. 2013 Rev Deficiency'!$D$93</f>
        <v>0</v>
      </c>
      <c r="V67" s="183"/>
      <c r="W67" s="357" t="s">
        <v>285</v>
      </c>
    </row>
    <row r="68" spans="1:24" ht="10.5" customHeight="1" x14ac:dyDescent="0.2"/>
    <row r="69" spans="1:24" x14ac:dyDescent="0.2">
      <c r="A69" s="4" t="s">
        <v>42</v>
      </c>
      <c r="B69" s="4"/>
      <c r="C69" s="4"/>
      <c r="D69" s="4"/>
    </row>
    <row r="70" spans="1:24" ht="39" customHeight="1" x14ac:dyDescent="0.2">
      <c r="B70" s="352" t="s">
        <v>243</v>
      </c>
      <c r="C70" s="438" t="s">
        <v>248</v>
      </c>
      <c r="D70" s="438"/>
      <c r="E70" s="438"/>
      <c r="F70" s="438"/>
      <c r="G70" s="438"/>
      <c r="H70" s="438"/>
      <c r="I70" s="438"/>
      <c r="J70" s="438"/>
      <c r="K70" s="439"/>
      <c r="L70" s="439"/>
      <c r="M70" s="439"/>
      <c r="N70" s="439"/>
      <c r="O70" s="439"/>
      <c r="P70" s="439"/>
      <c r="Q70" s="439"/>
      <c r="R70" s="439"/>
      <c r="S70" s="439"/>
      <c r="T70" s="439"/>
      <c r="U70" s="439"/>
      <c r="V70" s="28"/>
    </row>
    <row r="71" spans="1:24" x14ac:dyDescent="0.2">
      <c r="B71" s="303" t="s">
        <v>2</v>
      </c>
      <c r="C71" s="451" t="s">
        <v>90</v>
      </c>
      <c r="D71" s="451"/>
      <c r="E71" s="451"/>
      <c r="F71" s="451"/>
      <c r="G71" s="451"/>
      <c r="H71" s="451"/>
      <c r="I71" s="451"/>
      <c r="J71" s="451"/>
      <c r="K71" s="451"/>
      <c r="L71" s="451"/>
      <c r="M71" s="451"/>
      <c r="N71" s="451"/>
      <c r="O71" s="451"/>
      <c r="P71" s="451"/>
      <c r="Q71" s="451"/>
      <c r="R71" s="451"/>
      <c r="S71" s="451"/>
      <c r="T71" s="451"/>
      <c r="U71" s="451"/>
      <c r="V71" s="43"/>
    </row>
    <row r="72" spans="1:24" ht="27" customHeight="1" x14ac:dyDescent="0.2">
      <c r="B72" s="303" t="s">
        <v>3</v>
      </c>
      <c r="C72" s="449" t="s">
        <v>245</v>
      </c>
      <c r="D72" s="449"/>
      <c r="E72" s="449"/>
      <c r="F72" s="449"/>
      <c r="G72" s="449"/>
      <c r="H72" s="449"/>
      <c r="I72" s="449"/>
      <c r="J72" s="449"/>
      <c r="K72" s="449"/>
      <c r="L72" s="449"/>
      <c r="M72" s="449"/>
      <c r="N72" s="449"/>
      <c r="O72" s="449"/>
      <c r="P72" s="449"/>
      <c r="Q72" s="449"/>
      <c r="R72" s="449"/>
      <c r="S72" s="449"/>
      <c r="T72" s="449"/>
      <c r="U72" s="449"/>
      <c r="V72" s="15"/>
    </row>
    <row r="73" spans="1:24" x14ac:dyDescent="0.2">
      <c r="B73" s="303" t="s">
        <v>98</v>
      </c>
      <c r="C73" s="450" t="s">
        <v>99</v>
      </c>
      <c r="D73" s="450"/>
      <c r="E73" s="450"/>
      <c r="F73" s="450"/>
      <c r="G73" s="450"/>
      <c r="H73" s="450"/>
      <c r="I73" s="450"/>
      <c r="J73" s="450"/>
      <c r="K73" s="450"/>
      <c r="L73" s="450"/>
      <c r="M73" s="450"/>
      <c r="N73" s="450"/>
      <c r="O73" s="450"/>
      <c r="P73" s="450"/>
      <c r="Q73" s="450"/>
      <c r="R73" s="450"/>
      <c r="S73" s="450"/>
      <c r="T73" s="450"/>
      <c r="U73" s="450"/>
      <c r="V73" s="15"/>
    </row>
    <row r="74" spans="1:24" x14ac:dyDescent="0.2">
      <c r="B74" s="303" t="s">
        <v>122</v>
      </c>
      <c r="C74" s="455" t="s">
        <v>124</v>
      </c>
      <c r="D74" s="455"/>
      <c r="E74" s="455"/>
      <c r="F74" s="455"/>
      <c r="G74" s="455"/>
      <c r="H74" s="455"/>
      <c r="I74" s="455"/>
      <c r="J74" s="455"/>
      <c r="K74" s="455"/>
      <c r="L74" s="455"/>
      <c r="M74" s="455"/>
      <c r="N74" s="455"/>
      <c r="O74" s="455"/>
      <c r="P74" s="455"/>
      <c r="Q74" s="455"/>
      <c r="R74" s="455"/>
      <c r="S74" s="455"/>
      <c r="T74" s="455"/>
      <c r="U74" s="455"/>
      <c r="V74" s="28"/>
    </row>
    <row r="75" spans="1:24" x14ac:dyDescent="0.2">
      <c r="B75" s="303" t="s">
        <v>123</v>
      </c>
      <c r="C75" s="450" t="s">
        <v>135</v>
      </c>
      <c r="D75" s="450"/>
      <c r="E75" s="450"/>
      <c r="F75" s="450"/>
      <c r="G75" s="450"/>
      <c r="H75" s="450"/>
      <c r="I75" s="450"/>
      <c r="J75" s="450"/>
      <c r="K75" s="450"/>
      <c r="L75" s="450"/>
      <c r="M75" s="450"/>
      <c r="N75" s="450"/>
      <c r="O75" s="450"/>
      <c r="P75" s="450"/>
      <c r="Q75" s="450"/>
      <c r="R75" s="450"/>
      <c r="S75" s="450"/>
      <c r="T75" s="450"/>
      <c r="U75" s="450"/>
      <c r="V75" s="15"/>
    </row>
    <row r="76" spans="1:24" ht="26.25" customHeight="1" x14ac:dyDescent="0.2">
      <c r="B76" s="304" t="s">
        <v>147</v>
      </c>
      <c r="C76" s="454" t="s">
        <v>229</v>
      </c>
      <c r="D76" s="454"/>
      <c r="E76" s="454"/>
      <c r="F76" s="454"/>
      <c r="G76" s="454"/>
      <c r="H76" s="454"/>
      <c r="I76" s="454"/>
      <c r="J76" s="454"/>
      <c r="K76" s="454"/>
      <c r="L76" s="454"/>
      <c r="M76" s="454"/>
      <c r="N76" s="454"/>
      <c r="O76" s="454"/>
      <c r="P76" s="454"/>
      <c r="Q76" s="454"/>
      <c r="R76" s="454"/>
      <c r="S76" s="454"/>
      <c r="T76" s="454"/>
      <c r="U76" s="454"/>
      <c r="V76" s="184"/>
    </row>
    <row r="77" spans="1:24" x14ac:dyDescent="0.2">
      <c r="B77" s="304" t="s">
        <v>238</v>
      </c>
      <c r="C77" s="438" t="s">
        <v>239</v>
      </c>
      <c r="D77" s="438"/>
      <c r="E77" s="438"/>
      <c r="F77" s="438"/>
      <c r="G77" s="438"/>
      <c r="H77" s="438"/>
      <c r="I77" s="438"/>
      <c r="J77" s="438"/>
      <c r="K77" s="438"/>
      <c r="L77" s="438"/>
      <c r="M77" s="438"/>
      <c r="N77" s="438"/>
      <c r="O77" s="438"/>
      <c r="P77" s="438"/>
      <c r="Q77" s="438"/>
      <c r="R77" s="438"/>
      <c r="S77" s="438"/>
      <c r="T77" s="438"/>
      <c r="U77" s="438"/>
      <c r="V77" s="184"/>
    </row>
    <row r="78" spans="1:24" x14ac:dyDescent="0.2">
      <c r="B78" s="304" t="s">
        <v>244</v>
      </c>
      <c r="C78" s="450" t="s">
        <v>92</v>
      </c>
      <c r="D78" s="450"/>
      <c r="E78" s="450"/>
      <c r="F78" s="450"/>
      <c r="G78" s="450"/>
      <c r="H78" s="450"/>
      <c r="I78" s="450"/>
      <c r="J78" s="450"/>
      <c r="K78" s="450"/>
      <c r="L78" s="450"/>
      <c r="M78" s="450"/>
      <c r="N78" s="450"/>
      <c r="O78" s="450"/>
      <c r="P78" s="450"/>
      <c r="Q78" s="450"/>
      <c r="R78" s="450"/>
      <c r="S78" s="450"/>
      <c r="T78" s="450"/>
      <c r="U78" s="450"/>
      <c r="V78" s="184"/>
    </row>
    <row r="79" spans="1:24" x14ac:dyDescent="0.2">
      <c r="B79" s="304" t="s">
        <v>246</v>
      </c>
      <c r="C79" s="432" t="s">
        <v>247</v>
      </c>
      <c r="D79" s="432"/>
      <c r="E79" s="432"/>
      <c r="F79" s="432"/>
      <c r="G79" s="432"/>
      <c r="H79" s="432"/>
      <c r="I79" s="432"/>
      <c r="J79" s="432"/>
      <c r="K79" s="432"/>
      <c r="L79" s="432"/>
      <c r="M79" s="432"/>
      <c r="N79" s="432"/>
      <c r="O79" s="432"/>
      <c r="P79" s="432"/>
      <c r="Q79" s="432"/>
      <c r="R79" s="432"/>
      <c r="S79" s="432"/>
      <c r="T79" s="432"/>
      <c r="U79" s="432"/>
      <c r="V79" s="184"/>
    </row>
    <row r="80" spans="1:24" x14ac:dyDescent="0.2">
      <c r="B80" s="353"/>
      <c r="C80" s="432"/>
      <c r="D80" s="432"/>
      <c r="E80" s="432"/>
      <c r="F80" s="432"/>
      <c r="G80" s="432"/>
      <c r="H80" s="432"/>
      <c r="I80" s="432"/>
      <c r="J80" s="432"/>
      <c r="K80" s="432"/>
      <c r="L80" s="432"/>
      <c r="M80" s="432"/>
      <c r="N80" s="432"/>
      <c r="O80" s="432"/>
      <c r="P80" s="432"/>
      <c r="Q80" s="432"/>
      <c r="R80" s="432"/>
      <c r="S80" s="432"/>
      <c r="T80" s="432"/>
      <c r="U80" s="432"/>
      <c r="V80" s="184"/>
    </row>
    <row r="81" spans="2:22" ht="27.75" customHeight="1" x14ac:dyDescent="0.2">
      <c r="B81" s="304" t="s">
        <v>250</v>
      </c>
      <c r="C81" s="433" t="s">
        <v>289</v>
      </c>
      <c r="D81" s="434"/>
      <c r="E81" s="434"/>
      <c r="F81" s="434"/>
      <c r="G81" s="434"/>
      <c r="H81" s="434"/>
      <c r="I81" s="434"/>
      <c r="J81" s="434"/>
      <c r="K81" s="434"/>
      <c r="L81" s="434"/>
      <c r="M81" s="434"/>
      <c r="N81" s="434"/>
      <c r="O81" s="434"/>
      <c r="P81" s="434"/>
      <c r="Q81" s="434"/>
      <c r="R81" s="434"/>
      <c r="S81" s="434"/>
      <c r="T81" s="434"/>
      <c r="U81" s="434"/>
      <c r="V81" s="184"/>
    </row>
    <row r="82" spans="2:22" ht="27.75" customHeight="1" x14ac:dyDescent="0.2">
      <c r="B82" s="304" t="s">
        <v>285</v>
      </c>
      <c r="C82" s="433" t="s">
        <v>290</v>
      </c>
      <c r="D82" s="434"/>
      <c r="E82" s="434"/>
      <c r="F82" s="434"/>
      <c r="G82" s="434"/>
      <c r="H82" s="434"/>
      <c r="I82" s="434"/>
      <c r="J82" s="434"/>
      <c r="K82" s="434"/>
      <c r="L82" s="434"/>
      <c r="M82" s="434"/>
      <c r="N82" s="434"/>
      <c r="O82" s="434"/>
      <c r="P82" s="434"/>
      <c r="Q82" s="434"/>
      <c r="R82" s="434"/>
      <c r="S82" s="434"/>
      <c r="T82" s="434"/>
      <c r="U82" s="434"/>
      <c r="V82" s="184"/>
    </row>
    <row r="83" spans="2:22" x14ac:dyDescent="0.2">
      <c r="B83" s="401" t="s">
        <v>295</v>
      </c>
      <c r="C83" s="452" t="s">
        <v>305</v>
      </c>
      <c r="D83" s="453"/>
      <c r="E83" s="453"/>
      <c r="F83" s="453"/>
      <c r="G83" s="453"/>
      <c r="H83" s="453"/>
      <c r="I83" s="453"/>
      <c r="J83" s="453"/>
      <c r="K83" s="453"/>
      <c r="L83" s="453"/>
      <c r="M83" s="453"/>
      <c r="N83" s="453"/>
      <c r="O83" s="453"/>
      <c r="P83" s="453"/>
      <c r="Q83" s="453"/>
      <c r="R83" s="453"/>
      <c r="S83" s="453"/>
      <c r="T83" s="453"/>
      <c r="U83" s="453"/>
      <c r="V83" s="184"/>
    </row>
    <row r="84" spans="2:22" x14ac:dyDescent="0.2">
      <c r="B84" s="401" t="s">
        <v>296</v>
      </c>
      <c r="C84" s="452" t="s">
        <v>298</v>
      </c>
      <c r="D84" s="453"/>
      <c r="E84" s="453"/>
      <c r="F84" s="453"/>
      <c r="G84" s="453"/>
      <c r="H84" s="453"/>
      <c r="I84" s="453"/>
      <c r="J84" s="453"/>
      <c r="K84" s="453"/>
      <c r="L84" s="453"/>
      <c r="M84" s="453"/>
      <c r="N84" s="453"/>
      <c r="O84" s="453"/>
      <c r="P84" s="453"/>
      <c r="Q84" s="453"/>
      <c r="R84" s="453"/>
      <c r="S84" s="453"/>
      <c r="T84" s="453"/>
      <c r="U84" s="453"/>
      <c r="V84" s="184"/>
    </row>
    <row r="85" spans="2:22" x14ac:dyDescent="0.2">
      <c r="B85" s="401" t="s">
        <v>250</v>
      </c>
      <c r="C85" s="452" t="s">
        <v>301</v>
      </c>
      <c r="D85" s="453"/>
      <c r="E85" s="453"/>
      <c r="F85" s="453"/>
      <c r="G85" s="453"/>
      <c r="H85" s="453"/>
      <c r="I85" s="453"/>
      <c r="J85" s="453"/>
      <c r="K85" s="453"/>
      <c r="L85" s="453"/>
      <c r="M85" s="453"/>
      <c r="N85" s="453"/>
      <c r="O85" s="453"/>
      <c r="P85" s="453"/>
      <c r="Q85" s="453"/>
      <c r="R85" s="453"/>
      <c r="S85" s="453"/>
      <c r="T85" s="453"/>
      <c r="U85" s="453"/>
      <c r="V85" s="184"/>
    </row>
    <row r="86" spans="2:22" x14ac:dyDescent="0.2">
      <c r="B86" s="401" t="s">
        <v>297</v>
      </c>
      <c r="C86" s="452" t="s">
        <v>299</v>
      </c>
      <c r="D86" s="453"/>
      <c r="E86" s="453"/>
      <c r="F86" s="453"/>
      <c r="G86" s="453"/>
      <c r="H86" s="453"/>
      <c r="I86" s="453"/>
      <c r="J86" s="453"/>
      <c r="K86" s="453"/>
      <c r="L86" s="453"/>
      <c r="M86" s="453"/>
      <c r="N86" s="453"/>
      <c r="O86" s="453"/>
      <c r="P86" s="453"/>
      <c r="Q86" s="453"/>
      <c r="R86" s="453"/>
      <c r="S86" s="453"/>
      <c r="T86" s="453"/>
      <c r="U86" s="453"/>
      <c r="V86" s="184"/>
    </row>
    <row r="87" spans="2:22" x14ac:dyDescent="0.2">
      <c r="B87" s="401" t="s">
        <v>300</v>
      </c>
      <c r="C87" s="452" t="s">
        <v>302</v>
      </c>
      <c r="D87" s="453"/>
      <c r="E87" s="453"/>
      <c r="F87" s="453"/>
      <c r="G87" s="453"/>
      <c r="H87" s="453"/>
      <c r="I87" s="453"/>
      <c r="J87" s="453"/>
      <c r="K87" s="453"/>
      <c r="L87" s="453"/>
      <c r="M87" s="453"/>
      <c r="N87" s="453"/>
      <c r="O87" s="453"/>
      <c r="P87" s="453"/>
      <c r="Q87" s="453"/>
      <c r="R87" s="453"/>
      <c r="S87" s="453"/>
      <c r="T87" s="453"/>
      <c r="U87" s="453"/>
      <c r="V87" s="184"/>
    </row>
    <row r="88" spans="2:22" x14ac:dyDescent="0.2">
      <c r="B88" s="401" t="s">
        <v>303</v>
      </c>
      <c r="C88" s="452" t="s">
        <v>304</v>
      </c>
      <c r="D88" s="453"/>
      <c r="E88" s="453"/>
      <c r="F88" s="453"/>
      <c r="G88" s="453"/>
      <c r="H88" s="453"/>
      <c r="I88" s="453"/>
      <c r="J88" s="453"/>
      <c r="K88" s="453"/>
      <c r="L88" s="453"/>
      <c r="M88" s="453"/>
      <c r="N88" s="453"/>
      <c r="O88" s="453"/>
      <c r="P88" s="453"/>
      <c r="Q88" s="453"/>
      <c r="R88" s="453"/>
      <c r="S88" s="453"/>
      <c r="T88" s="453"/>
      <c r="U88" s="453"/>
      <c r="V88" s="184"/>
    </row>
    <row r="89" spans="2:22" x14ac:dyDescent="0.2">
      <c r="C89" s="447"/>
      <c r="D89" s="447"/>
      <c r="E89" s="448"/>
      <c r="F89" s="448"/>
      <c r="G89" s="448"/>
      <c r="H89" s="448"/>
      <c r="I89" s="448"/>
      <c r="J89" s="448"/>
      <c r="K89" s="448"/>
      <c r="L89" s="448"/>
      <c r="M89" s="448"/>
      <c r="N89" s="448"/>
      <c r="O89" s="448"/>
      <c r="P89" s="448"/>
      <c r="Q89" s="448"/>
      <c r="R89" s="448"/>
      <c r="S89" s="448"/>
      <c r="T89" s="448"/>
      <c r="U89" s="448"/>
      <c r="V89" s="28"/>
    </row>
    <row r="90" spans="2:22" x14ac:dyDescent="0.2">
      <c r="C90" s="448"/>
      <c r="D90" s="448"/>
      <c r="E90" s="448"/>
      <c r="F90" s="448"/>
      <c r="G90" s="448"/>
      <c r="H90" s="448"/>
      <c r="I90" s="448"/>
      <c r="J90" s="448"/>
      <c r="K90" s="448"/>
      <c r="L90" s="448"/>
      <c r="M90" s="448"/>
      <c r="N90" s="448"/>
      <c r="O90" s="448"/>
      <c r="P90" s="448"/>
      <c r="Q90" s="448"/>
      <c r="R90" s="448"/>
      <c r="S90" s="448"/>
      <c r="T90" s="448"/>
      <c r="U90" s="448"/>
      <c r="V90" s="28"/>
    </row>
  </sheetData>
  <sheetProtection password="82A3" sheet="1" objects="1" scenarios="1" formatColumns="0" formatRows="0"/>
  <mergeCells count="32">
    <mergeCell ref="C89:U90"/>
    <mergeCell ref="C72:U72"/>
    <mergeCell ref="C73:U73"/>
    <mergeCell ref="C71:U71"/>
    <mergeCell ref="C88:U88"/>
    <mergeCell ref="C76:U76"/>
    <mergeCell ref="C82:U82"/>
    <mergeCell ref="C74:U74"/>
    <mergeCell ref="C77:U77"/>
    <mergeCell ref="C78:U78"/>
    <mergeCell ref="C83:U83"/>
    <mergeCell ref="C84:U84"/>
    <mergeCell ref="C85:U85"/>
    <mergeCell ref="C86:U86"/>
    <mergeCell ref="C87:U87"/>
    <mergeCell ref="C75:U75"/>
    <mergeCell ref="C79:U80"/>
    <mergeCell ref="C81:U81"/>
    <mergeCell ref="C1:M1"/>
    <mergeCell ref="E8:U8"/>
    <mergeCell ref="Y20:Y21"/>
    <mergeCell ref="C70:U70"/>
    <mergeCell ref="C4:K4"/>
    <mergeCell ref="C2:K2"/>
    <mergeCell ref="C3:K3"/>
    <mergeCell ref="O12:O13"/>
    <mergeCell ref="G12:G13"/>
    <mergeCell ref="Q12:Q13"/>
    <mergeCell ref="E12:E13"/>
    <mergeCell ref="I12:I13"/>
    <mergeCell ref="U12:U13"/>
    <mergeCell ref="M12:M13"/>
  </mergeCells>
  <phoneticPr fontId="2"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disablePrompts="1"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0"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zoomScaleNormal="100" zoomScaleSheetLayoutView="100" workbookViewId="0">
      <selection activeCell="S26" activeCellId="1" sqref="K26 S26"/>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58"/>
      <c r="D1" s="458"/>
      <c r="E1" s="458"/>
      <c r="F1" s="458"/>
      <c r="G1" s="458"/>
      <c r="H1" s="458"/>
      <c r="I1" s="458"/>
      <c r="J1" s="458"/>
      <c r="K1" s="458"/>
      <c r="L1" s="141"/>
      <c r="W1" s="147"/>
    </row>
    <row r="2" spans="2:28" s="2" customFormat="1" ht="36.75" customHeight="1" x14ac:dyDescent="0.25">
      <c r="C2" s="440"/>
      <c r="D2" s="440"/>
      <c r="E2" s="440"/>
      <c r="F2" s="440"/>
      <c r="G2" s="440"/>
      <c r="H2" s="440"/>
      <c r="I2" s="440"/>
      <c r="J2" s="440"/>
      <c r="K2" s="440"/>
      <c r="L2" s="440"/>
      <c r="M2" s="440"/>
      <c r="N2" s="440"/>
      <c r="O2" s="440"/>
      <c r="P2" s="440"/>
      <c r="Q2" s="440"/>
      <c r="R2" s="440"/>
      <c r="S2" s="440"/>
      <c r="T2" s="440"/>
      <c r="U2" s="440"/>
      <c r="V2" s="440"/>
      <c r="W2" s="440"/>
    </row>
    <row r="3" spans="2:28" s="2" customFormat="1" ht="36.75" customHeight="1" x14ac:dyDescent="0.25">
      <c r="C3" s="440"/>
      <c r="D3" s="440"/>
      <c r="E3" s="440"/>
      <c r="F3" s="440"/>
      <c r="G3" s="440"/>
      <c r="H3" s="36"/>
      <c r="I3" s="33"/>
      <c r="J3" s="33"/>
      <c r="K3" s="33"/>
      <c r="L3" s="33"/>
    </row>
    <row r="4" spans="2:28" s="2" customFormat="1" ht="36.75" customHeight="1" x14ac:dyDescent="0.25">
      <c r="C4" s="440"/>
      <c r="D4" s="440"/>
      <c r="E4" s="440"/>
      <c r="F4" s="440"/>
      <c r="G4" s="440"/>
      <c r="H4" s="36"/>
      <c r="I4" s="33"/>
      <c r="J4" s="33"/>
      <c r="K4" s="33"/>
      <c r="L4" s="33"/>
    </row>
    <row r="5" spans="2:28" s="2" customFormat="1" ht="15.75" x14ac:dyDescent="0.25">
      <c r="E5" s="3"/>
      <c r="F5" s="3"/>
    </row>
    <row r="6" spans="2:28" s="2" customFormat="1" ht="18" x14ac:dyDescent="0.25">
      <c r="B6" s="384" t="s">
        <v>253</v>
      </c>
    </row>
    <row r="9" spans="2:28" ht="15.75" x14ac:dyDescent="0.25">
      <c r="G9" s="58"/>
      <c r="H9" s="58"/>
      <c r="I9" s="58"/>
      <c r="J9" s="58"/>
      <c r="K9" s="58"/>
      <c r="L9" s="58"/>
      <c r="M9" s="58"/>
      <c r="N9" s="58"/>
      <c r="O9" s="58"/>
      <c r="P9" s="58"/>
      <c r="Q9" s="58"/>
      <c r="R9" s="58"/>
      <c r="S9" s="58"/>
      <c r="T9" s="58"/>
      <c r="U9" s="58"/>
      <c r="V9" s="58"/>
      <c r="W9" s="58"/>
    </row>
    <row r="10" spans="2:28" ht="18" x14ac:dyDescent="0.25">
      <c r="D10" s="381" t="s">
        <v>7</v>
      </c>
      <c r="F10" s="127"/>
      <c r="G10" s="127"/>
      <c r="H10" s="127"/>
      <c r="I10" s="127"/>
      <c r="J10" s="127"/>
      <c r="K10" s="127"/>
      <c r="L10" s="127"/>
      <c r="M10" s="127"/>
      <c r="N10" s="127"/>
      <c r="O10" s="127"/>
      <c r="P10" s="127"/>
      <c r="Q10" s="127"/>
      <c r="R10" s="127"/>
      <c r="S10" s="127"/>
      <c r="T10" s="127"/>
      <c r="U10" s="127"/>
      <c r="V10" s="127"/>
      <c r="W10" s="127"/>
    </row>
    <row r="11" spans="2:28" ht="38.25" x14ac:dyDescent="0.2">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Supplementary Interrogatory Responses</v>
      </c>
      <c r="P11" s="305"/>
      <c r="Q11" s="305"/>
      <c r="R11" s="305"/>
      <c r="S11" s="69" t="str">
        <f>IF(ISBLANK('3. Data_Input_Sheet'!Q12),"",'3. Data_Input_Sheet'!Q12)</f>
        <v>Adjustments</v>
      </c>
      <c r="T11" s="305"/>
      <c r="U11" s="305"/>
      <c r="V11" s="305"/>
      <c r="W11" s="300"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25591525.415969871</v>
      </c>
      <c r="H13" s="100"/>
      <c r="I13" s="365"/>
      <c r="J13" s="180"/>
      <c r="K13" s="100">
        <f>'3. Data_Input_Sheet'!I16</f>
        <v>448096.74176515639</v>
      </c>
      <c r="L13" s="100"/>
      <c r="M13" s="365"/>
      <c r="N13" s="180"/>
      <c r="O13" s="100">
        <f>G13+K13</f>
        <v>26039622.157735027</v>
      </c>
      <c r="P13" s="180"/>
      <c r="Q13" s="365"/>
      <c r="R13" s="180"/>
      <c r="S13" s="100">
        <f>'3. Data_Input_Sheet'!Q16</f>
        <v>0</v>
      </c>
      <c r="T13" s="180"/>
      <c r="U13" s="365"/>
      <c r="V13" s="180"/>
      <c r="W13" s="100">
        <f>G13+K13+S13</f>
        <v>26039622.157735027</v>
      </c>
      <c r="Z13" s="53"/>
      <c r="AA13" s="53"/>
      <c r="AB13" s="53"/>
    </row>
    <row r="14" spans="2:28" x14ac:dyDescent="0.2">
      <c r="B14" s="4">
        <v>2</v>
      </c>
      <c r="D14" s="5" t="s">
        <v>103</v>
      </c>
      <c r="E14" s="18" t="s">
        <v>98</v>
      </c>
      <c r="F14" s="34"/>
      <c r="G14" s="102">
        <f>'3. Data_Input_Sheet'!E17</f>
        <v>-12457078.343421549</v>
      </c>
      <c r="H14" s="100"/>
      <c r="I14" s="365"/>
      <c r="J14" s="180"/>
      <c r="K14" s="102">
        <f>'3. Data_Input_Sheet'!I17</f>
        <v>-516124.35962347686</v>
      </c>
      <c r="L14" s="100"/>
      <c r="M14" s="365"/>
      <c r="N14" s="180"/>
      <c r="O14" s="102">
        <f>G14+K14</f>
        <v>-12973202.703045025</v>
      </c>
      <c r="P14" s="180"/>
      <c r="Q14" s="365"/>
      <c r="R14" s="180"/>
      <c r="S14" s="102">
        <f>'3. Data_Input_Sheet'!Q17</f>
        <v>0</v>
      </c>
      <c r="T14" s="180"/>
      <c r="U14" s="365"/>
      <c r="V14" s="180"/>
      <c r="W14" s="102">
        <f>G14+K14+S14</f>
        <v>-12973202.703045025</v>
      </c>
    </row>
    <row r="15" spans="2:28" x14ac:dyDescent="0.2">
      <c r="B15" s="4">
        <v>3</v>
      </c>
      <c r="D15" s="60" t="s">
        <v>104</v>
      </c>
      <c r="E15" s="18" t="s">
        <v>98</v>
      </c>
      <c r="F15" s="34"/>
      <c r="G15" s="47">
        <f>SUM(G13:G14)</f>
        <v>13134447.072548322</v>
      </c>
      <c r="H15" s="47"/>
      <c r="I15" s="128"/>
      <c r="J15" s="128"/>
      <c r="K15" s="47">
        <f>SUM(K13:K14)</f>
        <v>-68027.617858320475</v>
      </c>
      <c r="L15" s="47"/>
      <c r="M15" s="128"/>
      <c r="N15" s="128"/>
      <c r="O15" s="47">
        <f>SUM(O13:O14)</f>
        <v>13066419.454690002</v>
      </c>
      <c r="P15" s="128"/>
      <c r="Q15" s="128"/>
      <c r="R15" s="128"/>
      <c r="S15" s="47">
        <f>SUM(S13:S14)</f>
        <v>0</v>
      </c>
      <c r="T15" s="128"/>
      <c r="U15" s="128"/>
      <c r="V15" s="128"/>
      <c r="W15" s="47">
        <f>SUM(W13:W14)</f>
        <v>13066419.454690002</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8" t="s">
        <v>2</v>
      </c>
      <c r="F17" s="34"/>
      <c r="G17" s="54">
        <f>G30</f>
        <v>2906527.6574072046</v>
      </c>
      <c r="H17" s="47"/>
      <c r="I17" s="128"/>
      <c r="J17" s="128"/>
      <c r="K17" s="54">
        <f>K30</f>
        <v>12401.770098467823</v>
      </c>
      <c r="L17" s="47"/>
      <c r="M17" s="128"/>
      <c r="N17" s="128"/>
      <c r="O17" s="54">
        <f>O30</f>
        <v>2918929.4275056724</v>
      </c>
      <c r="P17" s="128"/>
      <c r="Q17" s="128"/>
      <c r="R17" s="128"/>
      <c r="S17" s="54">
        <f>S30</f>
        <v>-8613.1974396356381</v>
      </c>
      <c r="T17" s="128"/>
      <c r="U17" s="128"/>
      <c r="V17" s="128"/>
      <c r="W17" s="54">
        <f>W30</f>
        <v>2910316.2300660368</v>
      </c>
    </row>
    <row r="18" spans="2:26" x14ac:dyDescent="0.2">
      <c r="B18" s="4"/>
      <c r="D18" s="462" t="s">
        <v>1</v>
      </c>
      <c r="E18" s="37"/>
      <c r="F18" s="70"/>
      <c r="G18" s="460">
        <f>G17+G15</f>
        <v>16040974.729955528</v>
      </c>
      <c r="H18" s="49"/>
      <c r="I18" s="128"/>
      <c r="J18" s="128"/>
      <c r="K18" s="460">
        <f>K17+K15</f>
        <v>-55625.847759852652</v>
      </c>
      <c r="L18" s="49"/>
      <c r="M18" s="128"/>
      <c r="N18" s="128"/>
      <c r="O18" s="460">
        <f>O17+O15</f>
        <v>15985348.882195674</v>
      </c>
      <c r="P18" s="128"/>
      <c r="Q18" s="128"/>
      <c r="R18" s="128"/>
      <c r="S18" s="460">
        <f>S17+S15</f>
        <v>-8613.1974396356381</v>
      </c>
      <c r="T18" s="128"/>
      <c r="U18" s="128"/>
      <c r="V18" s="128"/>
      <c r="W18" s="460">
        <f>W15+W17</f>
        <v>15976735.684756039</v>
      </c>
    </row>
    <row r="19" spans="2:26" ht="13.5" thickBot="1" x14ac:dyDescent="0.25">
      <c r="B19" s="4">
        <v>5</v>
      </c>
      <c r="D19" s="463"/>
      <c r="E19" s="37"/>
      <c r="F19" s="70"/>
      <c r="G19" s="461"/>
      <c r="H19" s="49"/>
      <c r="I19" s="101"/>
      <c r="J19" s="101"/>
      <c r="K19" s="461"/>
      <c r="L19" s="49"/>
      <c r="M19" s="101"/>
      <c r="N19" s="101"/>
      <c r="O19" s="461"/>
      <c r="P19" s="101"/>
      <c r="Q19" s="101"/>
      <c r="R19" s="101"/>
      <c r="S19" s="461"/>
      <c r="T19" s="101"/>
      <c r="U19" s="101"/>
      <c r="V19" s="101"/>
      <c r="W19" s="461"/>
    </row>
    <row r="20" spans="2:26" ht="56.25" customHeight="1" thickTop="1" x14ac:dyDescent="0.25">
      <c r="B20" s="4"/>
      <c r="D20" s="383" t="s">
        <v>280</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9" t="s">
        <v>2</v>
      </c>
      <c r="D22" s="464"/>
      <c r="E22" s="465"/>
      <c r="F22" s="465"/>
      <c r="G22" s="465"/>
      <c r="H22" s="465"/>
      <c r="I22" s="465"/>
      <c r="J22" s="465"/>
      <c r="K22" s="465"/>
      <c r="L22" s="465"/>
      <c r="M22" s="465"/>
      <c r="N22" s="465"/>
      <c r="O22" s="465"/>
      <c r="P22" s="465"/>
      <c r="Q22" s="465"/>
      <c r="R22" s="465"/>
      <c r="S22" s="465"/>
      <c r="T22" s="465"/>
      <c r="U22" s="465"/>
      <c r="V22" s="465"/>
      <c r="W22" s="465"/>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2546318.4325221376</v>
      </c>
      <c r="H24" s="100"/>
      <c r="I24" s="365"/>
      <c r="J24" s="180"/>
      <c r="K24" s="100">
        <f>'3. Data_Input_Sheet'!I19</f>
        <v>-38809.028758102097</v>
      </c>
      <c r="L24" s="100"/>
      <c r="M24" s="365"/>
      <c r="N24" s="180"/>
      <c r="O24" s="100">
        <f>G24+K24</f>
        <v>2507509.4037640356</v>
      </c>
      <c r="P24" s="180"/>
      <c r="Q24" s="365"/>
      <c r="R24" s="180"/>
      <c r="S24" s="100">
        <f>'3. Data_Input_Sheet'!Q19</f>
        <v>-157124.40376403555</v>
      </c>
      <c r="T24" s="180"/>
      <c r="U24" s="365"/>
      <c r="V24" s="180"/>
      <c r="W24" s="124">
        <f>G24+K24+S24</f>
        <v>2350385</v>
      </c>
      <c r="X24" s="34"/>
    </row>
    <row r="25" spans="2:26" x14ac:dyDescent="0.2">
      <c r="B25" s="66">
        <v>7</v>
      </c>
      <c r="C25" s="34"/>
      <c r="D25" s="125" t="s">
        <v>5</v>
      </c>
      <c r="E25" s="34"/>
      <c r="F25" s="34"/>
      <c r="G25" s="102">
        <f>'3. Data_Input_Sheet'!E20</f>
        <v>19811586.624456361</v>
      </c>
      <c r="H25" s="100"/>
      <c r="I25" s="365"/>
      <c r="J25" s="180"/>
      <c r="K25" s="102">
        <f>'3. Data_Input_Sheet'!I20</f>
        <v>134207.26028477401</v>
      </c>
      <c r="L25" s="100"/>
      <c r="M25" s="365"/>
      <c r="N25" s="180"/>
      <c r="O25" s="102">
        <f>G25+K25</f>
        <v>19945793.884741135</v>
      </c>
      <c r="P25" s="180"/>
      <c r="Q25" s="365"/>
      <c r="R25" s="180"/>
      <c r="S25" s="102">
        <f>'3. Data_Input_Sheet'!Q20</f>
        <v>90869.03884376213</v>
      </c>
      <c r="T25" s="180"/>
      <c r="U25" s="365"/>
      <c r="V25" s="180"/>
      <c r="W25" s="132">
        <f>G25+K25+S25</f>
        <v>20036662.923584897</v>
      </c>
      <c r="X25" s="34"/>
    </row>
    <row r="26" spans="2:26" x14ac:dyDescent="0.2">
      <c r="B26" s="66">
        <v>8</v>
      </c>
      <c r="C26" s="34"/>
      <c r="D26" s="65" t="s">
        <v>10</v>
      </c>
      <c r="E26" s="34"/>
      <c r="F26" s="34"/>
      <c r="G26" s="47">
        <f>SUM(G24:G25)</f>
        <v>22357905.056978498</v>
      </c>
      <c r="H26" s="47"/>
      <c r="I26" s="128"/>
      <c r="J26" s="156"/>
      <c r="K26" s="47">
        <f>K24+K25</f>
        <v>95398.231526671909</v>
      </c>
      <c r="L26" s="47"/>
      <c r="M26" s="128"/>
      <c r="N26" s="128"/>
      <c r="O26" s="47">
        <f>SUM(O24:O25)</f>
        <v>22453303.28850517</v>
      </c>
      <c r="P26" s="128"/>
      <c r="Q26" s="128"/>
      <c r="R26" s="128"/>
      <c r="S26" s="47">
        <f>S24+S25</f>
        <v>-66255.364920273423</v>
      </c>
      <c r="T26" s="128"/>
      <c r="U26" s="128"/>
      <c r="V26" s="128"/>
      <c r="W26" s="68">
        <f>SUM(W24:W25)</f>
        <v>22387047.923584897</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0.13</v>
      </c>
      <c r="H28" s="80"/>
      <c r="I28" s="365"/>
      <c r="J28" s="180"/>
      <c r="K28" s="88">
        <f>O28-G28</f>
        <v>0</v>
      </c>
      <c r="L28" s="88"/>
      <c r="M28" s="365"/>
      <c r="N28" s="88"/>
      <c r="O28" s="80">
        <f>'3. Data_Input_Sheet'!M21</f>
        <v>0.13</v>
      </c>
      <c r="P28" s="88"/>
      <c r="Q28" s="365"/>
      <c r="R28" s="88"/>
      <c r="S28" s="88">
        <f>W28-O28</f>
        <v>0</v>
      </c>
      <c r="T28" s="88"/>
      <c r="U28" s="365"/>
      <c r="V28" s="88"/>
      <c r="W28" s="134">
        <f>'3. Data_Input_Sheet'!U21</f>
        <v>0.13</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2906527.6574072046</v>
      </c>
      <c r="H30" s="102"/>
      <c r="I30" s="102"/>
      <c r="J30" s="102"/>
      <c r="K30" s="102">
        <f>O30-G30</f>
        <v>12401.770098467823</v>
      </c>
      <c r="L30" s="102"/>
      <c r="M30" s="102"/>
      <c r="N30" s="102"/>
      <c r="O30" s="102">
        <f>O26*O28</f>
        <v>2918929.4275056724</v>
      </c>
      <c r="P30" s="102"/>
      <c r="Q30" s="102"/>
      <c r="R30" s="102"/>
      <c r="S30" s="102">
        <f>W30-O30</f>
        <v>-8613.1974396356381</v>
      </c>
      <c r="T30" s="102"/>
      <c r="U30" s="102"/>
      <c r="V30" s="102"/>
      <c r="W30" s="132">
        <f>W26*W28</f>
        <v>2910316.2300660368</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59" t="s">
        <v>38</v>
      </c>
      <c r="C33" s="459"/>
      <c r="D33" s="459"/>
      <c r="E33" s="459"/>
      <c r="F33" s="459"/>
      <c r="G33" s="459"/>
      <c r="H33" s="459"/>
      <c r="I33" s="459"/>
      <c r="J33" s="459"/>
      <c r="K33" s="459"/>
      <c r="L33" s="459"/>
      <c r="M33" s="459"/>
      <c r="N33" s="459"/>
      <c r="O33" s="459"/>
      <c r="P33" s="459"/>
      <c r="Q33" s="459"/>
      <c r="R33" s="459"/>
      <c r="S33" s="459"/>
      <c r="T33" s="459"/>
      <c r="U33" s="459"/>
      <c r="V33" s="459"/>
      <c r="W33" s="459"/>
    </row>
    <row r="34" spans="2:23" x14ac:dyDescent="0.2">
      <c r="B34" s="137" t="s">
        <v>3</v>
      </c>
      <c r="D34" s="456" t="s">
        <v>286</v>
      </c>
      <c r="E34" s="455"/>
      <c r="F34" s="455"/>
      <c r="G34" s="455"/>
      <c r="H34" s="455"/>
      <c r="I34" s="455"/>
      <c r="J34" s="455"/>
      <c r="K34" s="455"/>
      <c r="L34" s="455"/>
      <c r="M34" s="455"/>
      <c r="N34" s="455"/>
      <c r="O34" s="455"/>
      <c r="P34" s="455"/>
      <c r="Q34" s="455"/>
      <c r="R34" s="455"/>
      <c r="S34" s="455"/>
      <c r="T34" s="455"/>
      <c r="U34" s="455"/>
      <c r="V34" s="455"/>
      <c r="W34" s="455"/>
    </row>
    <row r="35" spans="2:23" x14ac:dyDescent="0.2">
      <c r="B35" s="138" t="s">
        <v>98</v>
      </c>
      <c r="C35" s="26"/>
      <c r="D35" s="439" t="s">
        <v>133</v>
      </c>
      <c r="E35" s="439"/>
      <c r="F35" s="439"/>
      <c r="G35" s="439"/>
      <c r="H35" s="439"/>
      <c r="I35" s="439"/>
      <c r="J35" s="439"/>
      <c r="K35" s="439"/>
      <c r="L35" s="439"/>
      <c r="M35" s="439"/>
      <c r="N35" s="439"/>
      <c r="O35" s="439"/>
      <c r="P35" s="439"/>
      <c r="Q35" s="439"/>
      <c r="R35" s="439"/>
      <c r="S35" s="439"/>
      <c r="T35" s="439"/>
      <c r="U35" s="439"/>
      <c r="V35" s="439"/>
      <c r="W35" s="439"/>
    </row>
    <row r="36" spans="2:23" x14ac:dyDescent="0.2">
      <c r="B36" s="365"/>
      <c r="D36" s="457"/>
      <c r="E36" s="457"/>
      <c r="F36" s="457"/>
      <c r="G36" s="457"/>
      <c r="H36" s="457"/>
      <c r="I36" s="457"/>
      <c r="J36" s="457"/>
      <c r="K36" s="457"/>
      <c r="L36" s="457"/>
      <c r="M36" s="457"/>
      <c r="N36" s="457"/>
      <c r="O36" s="457"/>
      <c r="P36" s="457"/>
      <c r="Q36" s="457"/>
      <c r="R36" s="457"/>
      <c r="S36" s="457"/>
      <c r="T36" s="457"/>
      <c r="U36" s="457"/>
      <c r="V36" s="457"/>
      <c r="W36" s="457"/>
    </row>
    <row r="37" spans="2:23" x14ac:dyDescent="0.2">
      <c r="B37" s="365"/>
      <c r="D37" s="457"/>
      <c r="E37" s="457"/>
      <c r="F37" s="457"/>
      <c r="G37" s="457"/>
      <c r="H37" s="457"/>
      <c r="I37" s="457"/>
      <c r="J37" s="457"/>
      <c r="K37" s="457"/>
      <c r="L37" s="457"/>
      <c r="M37" s="457"/>
      <c r="N37" s="457"/>
      <c r="O37" s="457"/>
      <c r="P37" s="457"/>
      <c r="Q37" s="457"/>
      <c r="R37" s="457"/>
      <c r="S37" s="457"/>
      <c r="T37" s="457"/>
      <c r="U37" s="457"/>
      <c r="V37" s="457"/>
      <c r="W37" s="457"/>
    </row>
    <row r="38" spans="2:23" x14ac:dyDescent="0.2">
      <c r="B38" s="365"/>
      <c r="D38" s="457"/>
      <c r="E38" s="457"/>
      <c r="F38" s="457"/>
      <c r="G38" s="457"/>
      <c r="H38" s="457"/>
      <c r="I38" s="457"/>
      <c r="J38" s="457"/>
      <c r="K38" s="457"/>
      <c r="L38" s="457"/>
      <c r="M38" s="457"/>
      <c r="N38" s="457"/>
      <c r="O38" s="457"/>
      <c r="P38" s="457"/>
      <c r="Q38" s="457"/>
      <c r="R38" s="457"/>
      <c r="S38" s="457"/>
      <c r="T38" s="457"/>
      <c r="U38" s="457"/>
      <c r="V38" s="457"/>
      <c r="W38" s="457"/>
    </row>
    <row r="39" spans="2:23" x14ac:dyDescent="0.2">
      <c r="B39" s="365"/>
      <c r="D39" s="457"/>
      <c r="E39" s="457"/>
      <c r="F39" s="457"/>
      <c r="G39" s="457"/>
      <c r="H39" s="457"/>
      <c r="I39" s="457"/>
      <c r="J39" s="457"/>
      <c r="K39" s="457"/>
      <c r="L39" s="457"/>
      <c r="M39" s="457"/>
      <c r="N39" s="457"/>
      <c r="O39" s="457"/>
      <c r="P39" s="457"/>
      <c r="Q39" s="457"/>
      <c r="R39" s="457"/>
      <c r="S39" s="457"/>
      <c r="T39" s="457"/>
      <c r="U39" s="457"/>
      <c r="V39" s="457"/>
      <c r="W39" s="457"/>
    </row>
    <row r="40" spans="2:23" x14ac:dyDescent="0.2">
      <c r="B40" s="365"/>
      <c r="D40" s="457"/>
      <c r="E40" s="457"/>
      <c r="F40" s="457"/>
      <c r="G40" s="457"/>
      <c r="H40" s="457"/>
      <c r="I40" s="457"/>
      <c r="J40" s="457"/>
      <c r="K40" s="457"/>
      <c r="L40" s="457"/>
      <c r="M40" s="457"/>
      <c r="N40" s="457"/>
      <c r="O40" s="457"/>
      <c r="P40" s="457"/>
      <c r="Q40" s="457"/>
      <c r="R40" s="457"/>
      <c r="S40" s="457"/>
      <c r="T40" s="457"/>
      <c r="U40" s="457"/>
      <c r="V40" s="457"/>
      <c r="W40" s="457"/>
    </row>
    <row r="41" spans="2:23" x14ac:dyDescent="0.2">
      <c r="B41" s="365"/>
      <c r="D41" s="457"/>
      <c r="E41" s="457"/>
      <c r="F41" s="457"/>
      <c r="G41" s="457"/>
      <c r="H41" s="457"/>
      <c r="I41" s="457"/>
      <c r="J41" s="457"/>
      <c r="K41" s="457"/>
      <c r="L41" s="457"/>
      <c r="M41" s="457"/>
      <c r="N41" s="457"/>
      <c r="O41" s="457"/>
      <c r="P41" s="457"/>
      <c r="Q41" s="457"/>
      <c r="R41" s="457"/>
      <c r="S41" s="457"/>
      <c r="T41" s="457"/>
      <c r="U41" s="457"/>
      <c r="V41" s="457"/>
      <c r="W41" s="457"/>
    </row>
    <row r="42" spans="2:23" x14ac:dyDescent="0.2">
      <c r="B42" s="365"/>
      <c r="D42" s="457"/>
      <c r="E42" s="457"/>
      <c r="F42" s="457"/>
      <c r="G42" s="457"/>
      <c r="H42" s="457"/>
      <c r="I42" s="457"/>
      <c r="J42" s="457"/>
      <c r="K42" s="457"/>
      <c r="L42" s="457"/>
      <c r="M42" s="457"/>
      <c r="N42" s="457"/>
      <c r="O42" s="457"/>
      <c r="P42" s="457"/>
      <c r="Q42" s="457"/>
      <c r="R42" s="457"/>
      <c r="S42" s="457"/>
      <c r="T42" s="457"/>
      <c r="U42" s="457"/>
      <c r="V42" s="457"/>
      <c r="W42" s="457"/>
    </row>
  </sheetData>
  <sheetProtection password="82A3" sheet="1" objects="1" scenarios="1" formatColumns="0" formatRows="0"/>
  <mergeCells count="21">
    <mergeCell ref="C3:G3"/>
    <mergeCell ref="C4:G4"/>
    <mergeCell ref="C1:K1"/>
    <mergeCell ref="C2:W2"/>
    <mergeCell ref="B33:W33"/>
    <mergeCell ref="G18:G19"/>
    <mergeCell ref="K18:K19"/>
    <mergeCell ref="W18:W19"/>
    <mergeCell ref="D18:D19"/>
    <mergeCell ref="D22:W22"/>
    <mergeCell ref="O18:O19"/>
    <mergeCell ref="S18:S19"/>
    <mergeCell ref="D34:W34"/>
    <mergeCell ref="D35:W35"/>
    <mergeCell ref="D36:W36"/>
    <mergeCell ref="D41:W41"/>
    <mergeCell ref="D42:W42"/>
    <mergeCell ref="D37:W37"/>
    <mergeCell ref="D38:W38"/>
    <mergeCell ref="D39:W39"/>
    <mergeCell ref="D40:W40"/>
  </mergeCells>
  <phoneticPr fontId="2"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9"/>
  <sheetViews>
    <sheetView showGridLines="0" view="pageBreakPreview" topLeftCell="A27" zoomScaleNormal="100" zoomScaleSheetLayoutView="100" workbookViewId="0">
      <selection activeCell="D46" sqref="D46:D51"/>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58"/>
      <c r="D1" s="458"/>
      <c r="E1" s="458"/>
      <c r="F1" s="458"/>
      <c r="G1" s="458"/>
      <c r="H1" s="458"/>
      <c r="I1" s="458"/>
      <c r="J1" s="458"/>
      <c r="K1" s="458"/>
      <c r="L1" s="458"/>
      <c r="M1" s="141"/>
      <c r="N1" s="141"/>
      <c r="O1" s="141"/>
      <c r="P1" s="141"/>
      <c r="Q1" s="141"/>
      <c r="R1" s="141"/>
      <c r="S1" s="141"/>
      <c r="T1" s="141"/>
      <c r="U1" s="141"/>
      <c r="V1" s="147"/>
    </row>
    <row r="2" spans="2:23" s="2" customFormat="1" ht="18" x14ac:dyDescent="0.25">
      <c r="C2" s="440"/>
      <c r="D2" s="440"/>
      <c r="E2" s="440"/>
      <c r="F2" s="440"/>
      <c r="G2" s="440"/>
      <c r="H2" s="440"/>
      <c r="I2" s="440"/>
      <c r="J2" s="440"/>
      <c r="K2" s="440"/>
      <c r="L2" s="440"/>
      <c r="M2" s="440"/>
      <c r="N2" s="440"/>
      <c r="O2" s="440"/>
      <c r="P2" s="440"/>
      <c r="Q2" s="440"/>
      <c r="R2" s="440"/>
      <c r="S2" s="440"/>
      <c r="T2" s="440"/>
      <c r="U2" s="440"/>
      <c r="V2" s="440"/>
    </row>
    <row r="3" spans="2:23" s="2" customFormat="1" ht="18" x14ac:dyDescent="0.25">
      <c r="C3" s="440"/>
      <c r="D3" s="440"/>
      <c r="E3" s="440"/>
      <c r="F3" s="440"/>
      <c r="G3" s="440"/>
      <c r="H3" s="440"/>
      <c r="I3" s="36"/>
      <c r="J3" s="33"/>
      <c r="K3" s="33"/>
      <c r="L3" s="33"/>
      <c r="M3" s="33"/>
      <c r="N3" s="33"/>
      <c r="O3" s="33"/>
      <c r="P3" s="33"/>
      <c r="Q3" s="33"/>
      <c r="R3" s="33"/>
      <c r="S3" s="33"/>
      <c r="T3" s="33"/>
      <c r="U3" s="33"/>
    </row>
    <row r="4" spans="2:23" s="2" customFormat="1" ht="18" x14ac:dyDescent="0.25">
      <c r="C4" s="440"/>
      <c r="D4" s="440"/>
      <c r="E4" s="440"/>
      <c r="F4" s="440"/>
      <c r="G4" s="440"/>
      <c r="H4" s="440"/>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475"/>
      <c r="G8" s="475"/>
      <c r="H8" s="475"/>
      <c r="I8" s="475"/>
      <c r="J8" s="475"/>
      <c r="K8" s="475"/>
      <c r="L8" s="475"/>
      <c r="M8" s="475"/>
      <c r="N8" s="475"/>
      <c r="O8" s="475"/>
      <c r="P8" s="475"/>
      <c r="Q8" s="475"/>
      <c r="R8" s="475"/>
      <c r="S8" s="475"/>
      <c r="T8" s="475"/>
      <c r="U8" s="475"/>
      <c r="V8" s="475"/>
      <c r="W8" s="58"/>
    </row>
    <row r="11" spans="2:23" ht="33.75" customHeight="1" x14ac:dyDescent="0.2">
      <c r="B11" s="382" t="s">
        <v>47</v>
      </c>
    </row>
    <row r="13" spans="2:23" ht="38.25" x14ac:dyDescent="0.2">
      <c r="B13" s="41" t="s">
        <v>37</v>
      </c>
      <c r="D13" s="42" t="s">
        <v>41</v>
      </c>
      <c r="E13" s="119"/>
      <c r="F13" s="300" t="s">
        <v>156</v>
      </c>
      <c r="G13" s="145"/>
      <c r="H13" s="26"/>
      <c r="I13" s="26"/>
      <c r="J13" s="300" t="str">
        <f>IF(N13="","","Adjustments")</f>
        <v>Adjustments</v>
      </c>
      <c r="K13" s="145"/>
      <c r="L13" s="26"/>
      <c r="M13" s="26"/>
      <c r="N13" s="300" t="str">
        <f>IF(ISBLANK('3. Data_Input_Sheet'!M12),"",'3. Data_Input_Sheet'!M12)</f>
        <v>Supplementary Interrogatory Responses</v>
      </c>
      <c r="O13" s="26"/>
      <c r="P13" s="26"/>
      <c r="Q13" s="26"/>
      <c r="R13" s="300" t="str">
        <f>IF(N13="","","Adjustments")</f>
        <v>Adjustments</v>
      </c>
      <c r="S13" s="26"/>
      <c r="T13" s="26"/>
      <c r="U13" s="26"/>
      <c r="V13" s="300" t="str">
        <f>'3. Data_Input_Sheet'!U12</f>
        <v>Per Board Decision</v>
      </c>
    </row>
    <row r="15" spans="2:23" x14ac:dyDescent="0.2">
      <c r="D15" s="27" t="s">
        <v>24</v>
      </c>
    </row>
    <row r="16" spans="2:23" ht="25.5" x14ac:dyDescent="0.2">
      <c r="B16" s="171">
        <v>1</v>
      </c>
      <c r="D16" s="28" t="s">
        <v>129</v>
      </c>
      <c r="E16" s="120"/>
      <c r="F16" s="233">
        <f>'3. Data_Input_Sheet'!E26</f>
        <v>3801841.7471484803</v>
      </c>
      <c r="G16" s="233"/>
      <c r="H16" s="364"/>
      <c r="I16" s="240"/>
      <c r="J16" s="233">
        <f>N16-F16</f>
        <v>18388.13530632481</v>
      </c>
      <c r="K16" s="233"/>
      <c r="L16" s="364"/>
      <c r="M16" s="240"/>
      <c r="N16" s="233">
        <f>'3. Data_Input_Sheet'!M26</f>
        <v>3820229.8824548051</v>
      </c>
      <c r="O16" s="240"/>
      <c r="P16" s="364"/>
      <c r="Q16" s="240"/>
      <c r="R16" s="233">
        <f>V16-N16</f>
        <v>-157669.28614399629</v>
      </c>
      <c r="S16" s="240"/>
      <c r="T16" s="364"/>
      <c r="U16" s="240"/>
      <c r="V16" s="233">
        <f>IF(ISBLANK('3. Data_Input_Sheet'!U26),'5. Utility Income'!N16,'3. Data_Input_Sheet'!U26)</f>
        <v>3662560.5963108088</v>
      </c>
    </row>
    <row r="17" spans="2:26" x14ac:dyDescent="0.2">
      <c r="B17" s="171">
        <v>2</v>
      </c>
      <c r="D17" s="5" t="s">
        <v>64</v>
      </c>
      <c r="E17" s="18" t="s">
        <v>2</v>
      </c>
      <c r="F17" s="249">
        <f>F50</f>
        <v>263604</v>
      </c>
      <c r="G17" s="250"/>
      <c r="H17" s="364"/>
      <c r="I17" s="240"/>
      <c r="J17" s="249">
        <f>N17-F17</f>
        <v>28196</v>
      </c>
      <c r="K17" s="250"/>
      <c r="L17" s="364"/>
      <c r="M17" s="240"/>
      <c r="N17" s="249">
        <f>N50</f>
        <v>291800</v>
      </c>
      <c r="O17" s="240"/>
      <c r="P17" s="364"/>
      <c r="Q17" s="240"/>
      <c r="R17" s="249">
        <f>V17-N17</f>
        <v>0</v>
      </c>
      <c r="S17" s="240"/>
      <c r="T17" s="364"/>
      <c r="U17" s="240"/>
      <c r="V17" s="249">
        <f>V50</f>
        <v>291800</v>
      </c>
    </row>
    <row r="18" spans="2:26" x14ac:dyDescent="0.2">
      <c r="B18" s="171"/>
      <c r="F18" s="473">
        <f>SUM(F16:F17)</f>
        <v>4065445.7471484803</v>
      </c>
      <c r="G18" s="48"/>
      <c r="H18" s="268"/>
      <c r="I18" s="268"/>
      <c r="J18" s="473">
        <f>SUM(J16:J17)</f>
        <v>46584.13530632481</v>
      </c>
      <c r="K18" s="48"/>
      <c r="L18" s="268"/>
      <c r="M18" s="269"/>
      <c r="N18" s="473">
        <f>SUM(N16:N17)</f>
        <v>4112029.8824548051</v>
      </c>
      <c r="O18" s="269"/>
      <c r="P18" s="268"/>
      <c r="Q18" s="269"/>
      <c r="R18" s="473">
        <f>SUM(R16:R17)</f>
        <v>-157669.28614399629</v>
      </c>
      <c r="S18" s="269"/>
      <c r="T18" s="268"/>
      <c r="U18" s="269"/>
      <c r="V18" s="473">
        <f>SUM(V16:V17)</f>
        <v>3954360.5963108088</v>
      </c>
    </row>
    <row r="19" spans="2:26" x14ac:dyDescent="0.2">
      <c r="B19" s="171">
        <v>3</v>
      </c>
      <c r="D19" s="5" t="s">
        <v>114</v>
      </c>
      <c r="F19" s="474"/>
      <c r="G19" s="48"/>
      <c r="H19" s="268"/>
      <c r="I19" s="268"/>
      <c r="J19" s="474"/>
      <c r="K19" s="48"/>
      <c r="L19" s="268"/>
      <c r="M19" s="269"/>
      <c r="N19" s="474"/>
      <c r="O19" s="269"/>
      <c r="P19" s="268"/>
      <c r="Q19" s="269"/>
      <c r="R19" s="474"/>
      <c r="S19" s="269"/>
      <c r="T19" s="268"/>
      <c r="U19" s="269"/>
      <c r="V19" s="474"/>
    </row>
    <row r="20" spans="2:26" x14ac:dyDescent="0.2">
      <c r="B20" s="171"/>
      <c r="F20" s="253"/>
      <c r="G20" s="253"/>
      <c r="H20" s="252"/>
      <c r="I20" s="252"/>
      <c r="J20" s="253"/>
      <c r="K20" s="253"/>
      <c r="L20" s="252"/>
      <c r="M20" s="235"/>
      <c r="N20" s="253"/>
      <c r="O20" s="235"/>
      <c r="P20" s="252"/>
      <c r="Q20" s="235"/>
      <c r="R20" s="253"/>
      <c r="S20" s="235"/>
      <c r="T20" s="252"/>
      <c r="U20" s="235"/>
      <c r="V20" s="253"/>
    </row>
    <row r="21" spans="2:26" x14ac:dyDescent="0.2">
      <c r="B21" s="171"/>
      <c r="D21" s="27" t="s">
        <v>25</v>
      </c>
      <c r="F21" s="253"/>
      <c r="G21" s="253"/>
      <c r="H21" s="252"/>
      <c r="I21" s="252"/>
      <c r="J21" s="253"/>
      <c r="K21" s="253"/>
      <c r="L21" s="252"/>
      <c r="M21" s="235"/>
      <c r="N21" s="253"/>
      <c r="O21" s="235"/>
      <c r="P21" s="252"/>
      <c r="Q21" s="235"/>
      <c r="R21" s="253"/>
      <c r="S21" s="235"/>
      <c r="T21" s="252"/>
      <c r="U21" s="235"/>
      <c r="V21" s="253"/>
    </row>
    <row r="22" spans="2:26" x14ac:dyDescent="0.2">
      <c r="B22" s="171">
        <v>4</v>
      </c>
      <c r="D22" s="5" t="s">
        <v>39</v>
      </c>
      <c r="F22" s="233">
        <f>'3. Data_Input_Sheet'!E36</f>
        <v>2515933.4325221376</v>
      </c>
      <c r="G22" s="233"/>
      <c r="H22" s="364"/>
      <c r="I22" s="240"/>
      <c r="J22" s="233">
        <f>'3. Data_Input_Sheet'!I36</f>
        <v>-38809.028758102097</v>
      </c>
      <c r="K22" s="233"/>
      <c r="L22" s="364"/>
      <c r="M22" s="240"/>
      <c r="N22" s="233">
        <f>'3. Data_Input_Sheet'!M36</f>
        <v>2477124.4037640356</v>
      </c>
      <c r="O22" s="240"/>
      <c r="P22" s="364"/>
      <c r="Q22" s="240"/>
      <c r="R22" s="233">
        <f>'3. Data_Input_Sheet'!Q36</f>
        <v>-157123.99999999977</v>
      </c>
      <c r="S22" s="240"/>
      <c r="T22" s="364"/>
      <c r="U22" s="240"/>
      <c r="V22" s="233">
        <f>'3. Data_Input_Sheet'!U36</f>
        <v>2320000.4037640356</v>
      </c>
    </row>
    <row r="23" spans="2:26" x14ac:dyDescent="0.2">
      <c r="B23" s="171">
        <v>5</v>
      </c>
      <c r="D23" s="5" t="s">
        <v>26</v>
      </c>
      <c r="F23" s="233">
        <f>'3. Data_Input_Sheet'!E37</f>
        <v>623869.0316326418</v>
      </c>
      <c r="G23" s="233"/>
      <c r="H23" s="364"/>
      <c r="I23" s="240"/>
      <c r="J23" s="233">
        <f>'3. Data_Input_Sheet'!I37</f>
        <v>71217.596984779229</v>
      </c>
      <c r="K23" s="233"/>
      <c r="L23" s="364"/>
      <c r="M23" s="240"/>
      <c r="N23" s="233">
        <f>'3. Data_Input_Sheet'!M37</f>
        <v>695086.62861742103</v>
      </c>
      <c r="O23" s="240"/>
      <c r="P23" s="364"/>
      <c r="Q23" s="240"/>
      <c r="R23" s="233">
        <f>'3. Data_Input_Sheet'!Q37</f>
        <v>0</v>
      </c>
      <c r="S23" s="240"/>
      <c r="T23" s="364"/>
      <c r="U23" s="240"/>
      <c r="V23" s="233">
        <f>'3. Data_Input_Sheet'!U37</f>
        <v>695086.62861742103</v>
      </c>
    </row>
    <row r="24" spans="2:26" x14ac:dyDescent="0.2">
      <c r="B24" s="171">
        <v>6</v>
      </c>
      <c r="C24" s="15"/>
      <c r="D24" s="15" t="s">
        <v>44</v>
      </c>
      <c r="E24" s="15"/>
      <c r="F24" s="233">
        <f>'3. Data_Input_Sheet'!E38</f>
        <v>30385</v>
      </c>
      <c r="G24" s="233"/>
      <c r="H24" s="364"/>
      <c r="I24" s="240"/>
      <c r="J24" s="233">
        <f>'3. Data_Input_Sheet'!I38</f>
        <v>0</v>
      </c>
      <c r="K24" s="233"/>
      <c r="L24" s="364"/>
      <c r="M24" s="240"/>
      <c r="N24" s="233">
        <f>'3. Data_Input_Sheet'!M38</f>
        <v>30385</v>
      </c>
      <c r="O24" s="240"/>
      <c r="P24" s="364"/>
      <c r="Q24" s="240"/>
      <c r="R24" s="233">
        <f>'3. Data_Input_Sheet'!Q38</f>
        <v>0</v>
      </c>
      <c r="S24" s="240"/>
      <c r="T24" s="364"/>
      <c r="U24" s="240"/>
      <c r="V24" s="233">
        <f>'3. Data_Input_Sheet'!U38</f>
        <v>30385</v>
      </c>
      <c r="W24" s="15"/>
      <c r="X24" s="15"/>
      <c r="Y24" s="15"/>
      <c r="Z24" s="15"/>
    </row>
    <row r="25" spans="2:26" x14ac:dyDescent="0.2">
      <c r="B25" s="171">
        <v>7</v>
      </c>
      <c r="C25" s="15"/>
      <c r="D25" s="15" t="s">
        <v>43</v>
      </c>
      <c r="E25" s="15"/>
      <c r="F25" s="251">
        <f>'6. Taxes_PILs'!G25</f>
        <v>0</v>
      </c>
      <c r="G25" s="251"/>
      <c r="H25" s="364"/>
      <c r="I25" s="240"/>
      <c r="J25" s="251">
        <f>N25-F25</f>
        <v>0</v>
      </c>
      <c r="K25" s="251"/>
      <c r="L25" s="364"/>
      <c r="M25" s="240"/>
      <c r="N25" s="251">
        <f>'6. Taxes_PILs'!K25</f>
        <v>0</v>
      </c>
      <c r="O25" s="240"/>
      <c r="P25" s="396"/>
      <c r="Q25" s="240"/>
      <c r="R25" s="251">
        <f>V25-N25</f>
        <v>0</v>
      </c>
      <c r="S25" s="240"/>
      <c r="T25" s="364"/>
      <c r="U25" s="240"/>
      <c r="V25" s="251">
        <f>'6. Taxes_PILs'!O25</f>
        <v>0</v>
      </c>
      <c r="W25" s="15"/>
      <c r="X25" s="15"/>
      <c r="Y25" s="15"/>
      <c r="Z25" s="15"/>
    </row>
    <row r="26" spans="2:26" x14ac:dyDescent="0.2">
      <c r="B26" s="171">
        <v>8</v>
      </c>
      <c r="D26" s="5" t="s">
        <v>94</v>
      </c>
      <c r="F26" s="249">
        <f>'3. Data_Input_Sheet'!E40</f>
        <v>0</v>
      </c>
      <c r="G26" s="250"/>
      <c r="H26" s="364"/>
      <c r="I26" s="240"/>
      <c r="J26" s="249">
        <f>'3. Data_Input_Sheet'!I40</f>
        <v>0</v>
      </c>
      <c r="K26" s="250"/>
      <c r="L26" s="364"/>
      <c r="M26" s="240"/>
      <c r="N26" s="249" t="str">
        <f>'3. Data_Input_Sheet'!M40</f>
        <v/>
      </c>
      <c r="O26" s="240"/>
      <c r="P26" s="364"/>
      <c r="Q26" s="240"/>
      <c r="R26" s="249">
        <f>'3. Data_Input_Sheet'!Q40</f>
        <v>0</v>
      </c>
      <c r="S26" s="240"/>
      <c r="T26" s="364"/>
      <c r="U26" s="240"/>
      <c r="V26" s="249" t="str">
        <f>'3. Data_Input_Sheet'!U40</f>
        <v/>
      </c>
    </row>
    <row r="27" spans="2:26" x14ac:dyDescent="0.2">
      <c r="B27" s="171"/>
      <c r="D27" s="25"/>
      <c r="F27" s="460">
        <f>SUM(F22:F26)</f>
        <v>3170187.4641547794</v>
      </c>
      <c r="G27" s="49"/>
      <c r="H27" s="268"/>
      <c r="I27" s="268"/>
      <c r="J27" s="460">
        <f>SUM(J22:J26)</f>
        <v>32408.568226677133</v>
      </c>
      <c r="K27" s="49"/>
      <c r="L27" s="268"/>
      <c r="M27" s="268"/>
      <c r="N27" s="460">
        <f>SUM(N22:N26)</f>
        <v>3202596.0323814563</v>
      </c>
      <c r="O27" s="268"/>
      <c r="P27" s="268"/>
      <c r="Q27" s="268"/>
      <c r="R27" s="460">
        <f>SUM(R22:R26)</f>
        <v>-157123.99999999977</v>
      </c>
      <c r="S27" s="268"/>
      <c r="T27" s="268"/>
      <c r="U27" s="268"/>
      <c r="V27" s="460">
        <f>SUM(V22:V26)</f>
        <v>3045472.0323814563</v>
      </c>
    </row>
    <row r="28" spans="2:26" x14ac:dyDescent="0.2">
      <c r="B28" s="171">
        <v>9</v>
      </c>
      <c r="D28" s="121" t="s">
        <v>157</v>
      </c>
      <c r="F28" s="472"/>
      <c r="G28" s="49"/>
      <c r="H28" s="268"/>
      <c r="I28" s="268"/>
      <c r="J28" s="472"/>
      <c r="K28" s="49"/>
      <c r="L28" s="268"/>
      <c r="M28" s="268"/>
      <c r="N28" s="472"/>
      <c r="O28" s="268"/>
      <c r="P28" s="268"/>
      <c r="Q28" s="268"/>
      <c r="R28" s="472"/>
      <c r="S28" s="268"/>
      <c r="T28" s="268"/>
      <c r="U28" s="268"/>
      <c r="V28" s="472"/>
    </row>
    <row r="29" spans="2:26" x14ac:dyDescent="0.2">
      <c r="B29" s="171"/>
      <c r="F29" s="254"/>
      <c r="G29" s="254"/>
      <c r="H29" s="252"/>
      <c r="I29" s="252"/>
      <c r="J29" s="254"/>
      <c r="K29" s="254"/>
      <c r="L29" s="252"/>
      <c r="M29" s="252"/>
      <c r="N29" s="254"/>
      <c r="O29" s="252"/>
      <c r="P29" s="252"/>
      <c r="Q29" s="252"/>
      <c r="R29" s="254"/>
      <c r="S29" s="252"/>
      <c r="T29" s="252"/>
      <c r="U29" s="252"/>
      <c r="V29" s="254"/>
    </row>
    <row r="30" spans="2:26" x14ac:dyDescent="0.2">
      <c r="B30" s="171">
        <v>10</v>
      </c>
      <c r="D30" s="25" t="s">
        <v>95</v>
      </c>
      <c r="F30" s="255">
        <f>'7. Cost_of_Capital'!P19</f>
        <v>322428.15530134091</v>
      </c>
      <c r="G30" s="254"/>
      <c r="H30" s="252"/>
      <c r="I30" s="252"/>
      <c r="J30" s="255">
        <f>N30-F30</f>
        <v>13846.20000683656</v>
      </c>
      <c r="K30" s="254"/>
      <c r="L30" s="252"/>
      <c r="M30" s="252"/>
      <c r="N30" s="255">
        <f>'7. Cost_of_Capital'!P35</f>
        <v>336274.35530817747</v>
      </c>
      <c r="O30" s="252"/>
      <c r="P30" s="252"/>
      <c r="Q30" s="252"/>
      <c r="R30" s="255">
        <f>V30-N30</f>
        <v>-181.19075395236723</v>
      </c>
      <c r="S30" s="252"/>
      <c r="T30" s="252"/>
      <c r="U30" s="252"/>
      <c r="V30" s="255">
        <f>'7. Cost_of_Capital'!P51</f>
        <v>336093.16455422511</v>
      </c>
    </row>
    <row r="31" spans="2:26" x14ac:dyDescent="0.2">
      <c r="B31" s="171"/>
      <c r="F31" s="254"/>
      <c r="G31" s="254"/>
      <c r="H31" s="252"/>
      <c r="I31" s="252"/>
      <c r="J31" s="254"/>
      <c r="K31" s="254"/>
      <c r="L31" s="252"/>
      <c r="M31" s="252"/>
      <c r="N31" s="254"/>
      <c r="O31" s="252"/>
      <c r="P31" s="252"/>
      <c r="Q31" s="252"/>
      <c r="R31" s="254"/>
      <c r="S31" s="252"/>
      <c r="T31" s="252"/>
      <c r="U31" s="252"/>
      <c r="V31" s="254"/>
    </row>
    <row r="32" spans="2:26" x14ac:dyDescent="0.2">
      <c r="B32" s="171">
        <v>11</v>
      </c>
      <c r="D32" s="121" t="s">
        <v>158</v>
      </c>
      <c r="F32" s="254">
        <f>F27+F30</f>
        <v>3492615.6194561203</v>
      </c>
      <c r="G32" s="254"/>
      <c r="H32" s="252"/>
      <c r="I32" s="252"/>
      <c r="J32" s="254">
        <f>J30+J27</f>
        <v>46254.768233513692</v>
      </c>
      <c r="K32" s="254"/>
      <c r="L32" s="252"/>
      <c r="M32" s="252"/>
      <c r="N32" s="254">
        <f>N30+N27</f>
        <v>3538870.3876896338</v>
      </c>
      <c r="O32" s="252"/>
      <c r="P32" s="252"/>
      <c r="Q32" s="252"/>
      <c r="R32" s="254">
        <f>R30+R27</f>
        <v>-157305.19075395213</v>
      </c>
      <c r="S32" s="252"/>
      <c r="T32" s="252"/>
      <c r="U32" s="252"/>
      <c r="V32" s="254">
        <f>V27+V30</f>
        <v>3381565.1969356816</v>
      </c>
    </row>
    <row r="33" spans="2:24" x14ac:dyDescent="0.2">
      <c r="B33" s="171"/>
      <c r="F33" s="389"/>
      <c r="G33" s="48"/>
      <c r="H33" s="268"/>
      <c r="I33" s="268"/>
      <c r="J33" s="389"/>
      <c r="K33" s="48"/>
      <c r="L33" s="268"/>
      <c r="M33" s="268"/>
      <c r="N33" s="389"/>
      <c r="O33" s="268"/>
      <c r="P33" s="268"/>
      <c r="Q33" s="268"/>
      <c r="R33" s="389"/>
      <c r="S33" s="268"/>
      <c r="T33" s="268"/>
      <c r="U33" s="268"/>
      <c r="V33" s="389"/>
    </row>
    <row r="34" spans="2:24" ht="63.75" x14ac:dyDescent="0.2">
      <c r="B34" s="171">
        <v>12</v>
      </c>
      <c r="D34" s="393" t="s">
        <v>282</v>
      </c>
      <c r="F34" s="395">
        <f>'3. Data_Input_Sheet'!E67</f>
        <v>-13322.688180660922</v>
      </c>
      <c r="G34" s="251"/>
      <c r="H34" s="252"/>
      <c r="I34" s="252"/>
      <c r="J34" s="395">
        <f>N34-F34</f>
        <v>13322.688180660922</v>
      </c>
      <c r="K34" s="251"/>
      <c r="L34" s="252"/>
      <c r="M34" s="252"/>
      <c r="N34" s="395">
        <f>'3. Data_Input_Sheet'!M67</f>
        <v>0</v>
      </c>
      <c r="O34" s="252"/>
      <c r="P34" s="252"/>
      <c r="Q34" s="252"/>
      <c r="R34" s="395">
        <f>V34-N34</f>
        <v>0</v>
      </c>
      <c r="S34" s="252"/>
      <c r="T34" s="252"/>
      <c r="U34" s="252"/>
      <c r="V34" s="395">
        <f>'3. Data_Input_Sheet'!U67</f>
        <v>0</v>
      </c>
    </row>
    <row r="35" spans="2:24" x14ac:dyDescent="0.2">
      <c r="B35" s="171"/>
      <c r="F35" s="392"/>
      <c r="G35" s="392"/>
      <c r="H35" s="268"/>
      <c r="I35" s="268"/>
      <c r="J35" s="392"/>
      <c r="K35" s="392"/>
      <c r="L35" s="268"/>
      <c r="M35" s="268"/>
      <c r="N35" s="392"/>
      <c r="O35" s="268"/>
      <c r="P35" s="268"/>
      <c r="Q35" s="268"/>
      <c r="R35" s="392"/>
      <c r="S35" s="268"/>
      <c r="T35" s="268"/>
      <c r="U35" s="268"/>
      <c r="V35" s="392"/>
    </row>
    <row r="36" spans="2:24" ht="26.25" thickBot="1" x14ac:dyDescent="0.25">
      <c r="B36" s="171">
        <v>13</v>
      </c>
      <c r="D36" s="56" t="s">
        <v>97</v>
      </c>
      <c r="E36" s="120"/>
      <c r="F36" s="390">
        <f>F18-(F32+F34)</f>
        <v>586152.81587302079</v>
      </c>
      <c r="G36" s="48"/>
      <c r="H36" s="122"/>
      <c r="I36" s="122"/>
      <c r="J36" s="390">
        <f>J18-(J32+J34)</f>
        <v>-12993.321107849806</v>
      </c>
      <c r="K36" s="48"/>
      <c r="L36" s="123"/>
      <c r="M36" s="123"/>
      <c r="N36" s="390">
        <f>N18-(N32+N34)</f>
        <v>573159.49476517132</v>
      </c>
      <c r="O36" s="123"/>
      <c r="P36" s="123"/>
      <c r="Q36" s="123"/>
      <c r="R36" s="390">
        <f>R18-(R32+R34)</f>
        <v>-364.09539004415274</v>
      </c>
      <c r="S36" s="123"/>
      <c r="T36" s="123"/>
      <c r="U36" s="123"/>
      <c r="V36" s="390">
        <f>V18-(V32+V34)</f>
        <v>572795.39937512716</v>
      </c>
      <c r="X36" s="22"/>
    </row>
    <row r="37" spans="2:24" ht="13.5" thickTop="1" x14ac:dyDescent="0.2">
      <c r="B37" s="171"/>
      <c r="F37" s="468">
        <f>'6. Taxes_PILs'!G31</f>
        <v>978.05772424412316</v>
      </c>
      <c r="G37" s="49"/>
      <c r="H37" s="268"/>
      <c r="I37" s="268"/>
      <c r="J37" s="468">
        <f>N37-F37</f>
        <v>1184.7749688976719</v>
      </c>
      <c r="K37" s="49"/>
      <c r="L37" s="268"/>
      <c r="M37" s="268"/>
      <c r="N37" s="468">
        <f>'6. Taxes_PILs'!K31</f>
        <v>2162.8326931417951</v>
      </c>
      <c r="O37" s="268"/>
      <c r="P37" s="268"/>
      <c r="Q37" s="268"/>
      <c r="R37" s="468">
        <f>V37-N37</f>
        <v>-56.434956605793104</v>
      </c>
      <c r="S37" s="268"/>
      <c r="T37" s="268"/>
      <c r="U37" s="268"/>
      <c r="V37" s="468">
        <f>IF('6. Taxes_PILs'!O31=0,N37,'6. Taxes_PILs'!O31)</f>
        <v>2106.397736536002</v>
      </c>
    </row>
    <row r="38" spans="2:24" x14ac:dyDescent="0.2">
      <c r="B38" s="171">
        <v>14</v>
      </c>
      <c r="D38" s="25" t="s">
        <v>108</v>
      </c>
      <c r="F38" s="469"/>
      <c r="G38" s="49"/>
      <c r="H38" s="268"/>
      <c r="I38" s="268"/>
      <c r="J38" s="469"/>
      <c r="K38" s="49"/>
      <c r="L38" s="268"/>
      <c r="M38" s="268"/>
      <c r="N38" s="469"/>
      <c r="O38" s="268"/>
      <c r="P38" s="268"/>
      <c r="Q38" s="268"/>
      <c r="R38" s="469"/>
      <c r="S38" s="268"/>
      <c r="T38" s="268"/>
      <c r="U38" s="268"/>
      <c r="V38" s="469"/>
    </row>
    <row r="39" spans="2:24" x14ac:dyDescent="0.2">
      <c r="B39" s="171"/>
      <c r="F39" s="470">
        <f>F36-F37</f>
        <v>585174.75814877672</v>
      </c>
      <c r="G39" s="149"/>
      <c r="H39" s="268"/>
      <c r="I39" s="268"/>
      <c r="J39" s="470">
        <f>J36-J37</f>
        <v>-14178.096076747479</v>
      </c>
      <c r="K39" s="149"/>
      <c r="L39" s="268"/>
      <c r="M39" s="268"/>
      <c r="N39" s="470">
        <f>N36-N37</f>
        <v>570996.66207202955</v>
      </c>
      <c r="O39" s="268"/>
      <c r="P39" s="268"/>
      <c r="Q39" s="268"/>
      <c r="R39" s="470">
        <f>R36-R37</f>
        <v>-307.66043343835963</v>
      </c>
      <c r="S39" s="268"/>
      <c r="T39" s="268"/>
      <c r="U39" s="268"/>
      <c r="V39" s="470">
        <f>V36-V37</f>
        <v>570689.00163859117</v>
      </c>
    </row>
    <row r="40" spans="2:24" ht="13.5" thickBot="1" x14ac:dyDescent="0.25">
      <c r="B40" s="171">
        <v>15</v>
      </c>
      <c r="D40" s="16" t="s">
        <v>105</v>
      </c>
      <c r="F40" s="471"/>
      <c r="G40" s="149"/>
      <c r="H40" s="122"/>
      <c r="I40" s="122"/>
      <c r="J40" s="471"/>
      <c r="K40" s="149"/>
      <c r="L40" s="122"/>
      <c r="M40" s="122"/>
      <c r="N40" s="471"/>
      <c r="O40" s="122"/>
      <c r="P40" s="122"/>
      <c r="Q40" s="122"/>
      <c r="R40" s="471"/>
      <c r="S40" s="122"/>
      <c r="T40" s="122"/>
      <c r="U40" s="122"/>
      <c r="V40" s="471"/>
    </row>
    <row r="41" spans="2:24" ht="13.5" thickTop="1" x14ac:dyDescent="0.2"/>
    <row r="42" spans="2:24" ht="7.5" customHeight="1" x14ac:dyDescent="0.2"/>
    <row r="44" spans="2:24" x14ac:dyDescent="0.2">
      <c r="B44" s="478" t="s">
        <v>38</v>
      </c>
      <c r="C44" s="478"/>
      <c r="D44" s="478"/>
      <c r="E44" s="478"/>
      <c r="F44" s="478"/>
      <c r="G44" s="478"/>
      <c r="H44" s="478"/>
      <c r="I44" s="478"/>
      <c r="J44" s="478"/>
      <c r="K44" s="478"/>
      <c r="L44" s="478"/>
      <c r="M44" s="478"/>
      <c r="N44" s="478"/>
      <c r="O44" s="478"/>
      <c r="P44" s="478"/>
      <c r="Q44" s="478"/>
      <c r="R44" s="478"/>
      <c r="S44" s="478"/>
      <c r="T44" s="478"/>
      <c r="U44" s="478"/>
      <c r="V44" s="478"/>
    </row>
    <row r="45" spans="2:24" x14ac:dyDescent="0.2">
      <c r="D45" s="82"/>
      <c r="E45" s="34"/>
      <c r="F45" s="34"/>
      <c r="G45" s="34"/>
      <c r="H45" s="34"/>
      <c r="I45" s="34"/>
      <c r="J45" s="34"/>
      <c r="K45" s="34"/>
      <c r="L45" s="34"/>
      <c r="M45" s="34"/>
      <c r="N45" s="34"/>
      <c r="O45" s="34"/>
      <c r="P45" s="34"/>
      <c r="Q45" s="34"/>
      <c r="R45" s="34"/>
      <c r="S45" s="34"/>
      <c r="T45" s="34"/>
      <c r="U45" s="34"/>
      <c r="V45" s="34"/>
    </row>
    <row r="46" spans="2:24" x14ac:dyDescent="0.2">
      <c r="B46" s="18" t="s">
        <v>2</v>
      </c>
      <c r="D46" s="78" t="s">
        <v>53</v>
      </c>
      <c r="E46" s="34"/>
      <c r="F46" s="100">
        <f>'3. Data_Input_Sheet'!E28</f>
        <v>108600</v>
      </c>
      <c r="G46" s="100"/>
      <c r="H46" s="366"/>
      <c r="I46" s="186"/>
      <c r="J46" s="100">
        <f>'3. Data_Input_Sheet'!I28</f>
        <v>0</v>
      </c>
      <c r="K46" s="100"/>
      <c r="L46" s="366"/>
      <c r="M46" s="34"/>
      <c r="N46" s="100">
        <f>'3. Data_Input_Sheet'!M28</f>
        <v>108600</v>
      </c>
      <c r="O46" s="100"/>
      <c r="P46" s="366"/>
      <c r="Q46" s="34"/>
      <c r="R46" s="100">
        <f>'3. Data_Input_Sheet'!Q28</f>
        <v>0</v>
      </c>
      <c r="S46" s="100"/>
      <c r="T46" s="366"/>
      <c r="U46" s="34"/>
      <c r="V46" s="100">
        <f>IF(ISBLANK('3. Data_Input_Sheet'!U28),N46,'3. Data_Input_Sheet'!U28)</f>
        <v>108600</v>
      </c>
    </row>
    <row r="47" spans="2:24" x14ac:dyDescent="0.2">
      <c r="D47" s="78" t="s">
        <v>54</v>
      </c>
      <c r="E47" s="34"/>
      <c r="F47" s="100">
        <f>'3. Data_Input_Sheet'!E29</f>
        <v>23400</v>
      </c>
      <c r="G47" s="100"/>
      <c r="H47" s="366"/>
      <c r="I47" s="186"/>
      <c r="J47" s="100">
        <f>'3. Data_Input_Sheet'!I29</f>
        <v>0</v>
      </c>
      <c r="K47" s="100"/>
      <c r="L47" s="366"/>
      <c r="M47" s="34"/>
      <c r="N47" s="100">
        <f>'3. Data_Input_Sheet'!M29</f>
        <v>23400</v>
      </c>
      <c r="O47" s="100"/>
      <c r="P47" s="366"/>
      <c r="Q47" s="34"/>
      <c r="R47" s="100">
        <f>'3. Data_Input_Sheet'!Q29</f>
        <v>0</v>
      </c>
      <c r="S47" s="100"/>
      <c r="T47" s="366"/>
      <c r="U47" s="34"/>
      <c r="V47" s="100">
        <f>IF(ISBLANK('3. Data_Input_Sheet'!U29),N47,'3. Data_Input_Sheet'!U29)</f>
        <v>23400</v>
      </c>
    </row>
    <row r="48" spans="2:24" x14ac:dyDescent="0.2">
      <c r="D48" s="78" t="s">
        <v>55</v>
      </c>
      <c r="E48" s="34"/>
      <c r="F48" s="100">
        <f>'3. Data_Input_Sheet'!E30</f>
        <v>131604</v>
      </c>
      <c r="G48" s="100"/>
      <c r="H48" s="366"/>
      <c r="I48" s="186"/>
      <c r="J48" s="100">
        <f>'3. Data_Input_Sheet'!I30</f>
        <v>22596</v>
      </c>
      <c r="K48" s="100"/>
      <c r="L48" s="366"/>
      <c r="M48" s="34"/>
      <c r="N48" s="100">
        <f>'3. Data_Input_Sheet'!M30</f>
        <v>154200</v>
      </c>
      <c r="O48" s="100"/>
      <c r="P48" s="366"/>
      <c r="Q48" s="34"/>
      <c r="R48" s="100">
        <f>'3. Data_Input_Sheet'!Q30</f>
        <v>0</v>
      </c>
      <c r="S48" s="100"/>
      <c r="T48" s="366"/>
      <c r="U48" s="34"/>
      <c r="V48" s="100">
        <f>IF(ISBLANK('3. Data_Input_Sheet'!U30),N48,'3. Data_Input_Sheet'!U30)</f>
        <v>154200</v>
      </c>
    </row>
    <row r="49" spans="2:22" x14ac:dyDescent="0.2">
      <c r="D49" s="78" t="s">
        <v>56</v>
      </c>
      <c r="E49" s="34"/>
      <c r="F49" s="100">
        <f>'3. Data_Input_Sheet'!E31</f>
        <v>0</v>
      </c>
      <c r="G49" s="100"/>
      <c r="H49" s="366"/>
      <c r="I49" s="186"/>
      <c r="J49" s="100">
        <f>'3. Data_Input_Sheet'!I31</f>
        <v>5600</v>
      </c>
      <c r="K49" s="100"/>
      <c r="L49" s="366"/>
      <c r="M49" s="34"/>
      <c r="N49" s="100">
        <f>'3. Data_Input_Sheet'!M31</f>
        <v>5600</v>
      </c>
      <c r="O49" s="100"/>
      <c r="P49" s="366"/>
      <c r="Q49" s="34"/>
      <c r="R49" s="100">
        <f>'3. Data_Input_Sheet'!Q31</f>
        <v>0</v>
      </c>
      <c r="S49" s="100"/>
      <c r="T49" s="366"/>
      <c r="U49" s="34"/>
      <c r="V49" s="100">
        <f>IF(ISBLANK('3. Data_Input_Sheet'!U31),N49,'3. Data_Input_Sheet'!U31)</f>
        <v>5600</v>
      </c>
    </row>
    <row r="50" spans="2:22" x14ac:dyDescent="0.2">
      <c r="D50" s="78"/>
      <c r="E50" s="34"/>
      <c r="F50" s="466">
        <f>SUM(F46:F49)</f>
        <v>263604</v>
      </c>
      <c r="G50" s="159"/>
      <c r="H50" s="34"/>
      <c r="I50" s="34"/>
      <c r="J50" s="466">
        <f>SUM(J46:J49)</f>
        <v>28196</v>
      </c>
      <c r="K50" s="34"/>
      <c r="L50" s="34"/>
      <c r="M50" s="34"/>
      <c r="N50" s="466">
        <f>SUM(N46:N49)</f>
        <v>291800</v>
      </c>
      <c r="O50" s="34"/>
      <c r="P50" s="34"/>
      <c r="Q50" s="34"/>
      <c r="R50" s="466">
        <f>SUM(R46:R49)</f>
        <v>0</v>
      </c>
      <c r="S50" s="34"/>
      <c r="T50" s="34"/>
      <c r="U50" s="34"/>
      <c r="V50" s="466">
        <f>SUM(V46:V49)</f>
        <v>291800</v>
      </c>
    </row>
    <row r="51" spans="2:22" ht="13.5" thickBot="1" x14ac:dyDescent="0.25">
      <c r="D51" s="314" t="s">
        <v>57</v>
      </c>
      <c r="E51" s="34"/>
      <c r="F51" s="467"/>
      <c r="G51" s="159"/>
      <c r="H51" s="34"/>
      <c r="I51" s="34"/>
      <c r="J51" s="467"/>
      <c r="K51" s="34"/>
      <c r="L51" s="34"/>
      <c r="M51" s="34"/>
      <c r="N51" s="467"/>
      <c r="O51" s="34"/>
      <c r="P51" s="34"/>
      <c r="Q51" s="34"/>
      <c r="R51" s="467"/>
      <c r="S51" s="34"/>
      <c r="T51" s="34"/>
      <c r="U51" s="34"/>
      <c r="V51" s="467"/>
    </row>
    <row r="52" spans="2:22" ht="13.5" thickTop="1" x14ac:dyDescent="0.2">
      <c r="D52" s="34"/>
      <c r="E52" s="34"/>
      <c r="F52" s="34"/>
      <c r="G52" s="34"/>
      <c r="H52" s="34"/>
      <c r="I52" s="34"/>
      <c r="J52" s="34"/>
      <c r="K52" s="34"/>
      <c r="L52" s="34"/>
      <c r="M52" s="34"/>
      <c r="N52" s="34"/>
      <c r="O52" s="34"/>
      <c r="P52" s="34"/>
      <c r="Q52" s="34"/>
      <c r="R52" s="34"/>
      <c r="S52" s="34"/>
      <c r="T52" s="34"/>
      <c r="U52" s="34"/>
      <c r="V52" s="34"/>
    </row>
    <row r="53" spans="2:22" x14ac:dyDescent="0.2">
      <c r="D53" s="34"/>
      <c r="E53" s="34"/>
      <c r="F53" s="34"/>
      <c r="G53" s="34"/>
      <c r="H53" s="34"/>
      <c r="I53" s="34"/>
      <c r="J53" s="34"/>
      <c r="K53" s="34"/>
      <c r="L53" s="34"/>
      <c r="M53" s="34"/>
      <c r="N53" s="34"/>
      <c r="O53" s="34"/>
      <c r="P53" s="34"/>
      <c r="Q53" s="34"/>
      <c r="R53" s="34"/>
      <c r="S53" s="34"/>
      <c r="T53" s="34"/>
      <c r="U53" s="34"/>
      <c r="V53" s="34"/>
    </row>
    <row r="54" spans="2:22" x14ac:dyDescent="0.2">
      <c r="B54" s="367"/>
      <c r="D54" s="476"/>
      <c r="E54" s="476"/>
      <c r="F54" s="476"/>
      <c r="G54" s="476"/>
      <c r="H54" s="476"/>
      <c r="I54" s="476"/>
      <c r="J54" s="476"/>
      <c r="K54" s="476"/>
      <c r="L54" s="476"/>
      <c r="M54" s="476"/>
      <c r="N54" s="476"/>
      <c r="O54" s="476"/>
      <c r="P54" s="476"/>
      <c r="Q54" s="476"/>
      <c r="R54" s="476"/>
      <c r="S54" s="476"/>
      <c r="T54" s="476"/>
      <c r="U54" s="476"/>
      <c r="V54" s="476"/>
    </row>
    <row r="55" spans="2:22" x14ac:dyDescent="0.2">
      <c r="B55" s="367"/>
      <c r="D55" s="476"/>
      <c r="E55" s="476"/>
      <c r="F55" s="476"/>
      <c r="G55" s="476"/>
      <c r="H55" s="476"/>
      <c r="I55" s="476"/>
      <c r="J55" s="476"/>
      <c r="K55" s="476"/>
      <c r="L55" s="476"/>
      <c r="M55" s="476"/>
      <c r="N55" s="476"/>
      <c r="O55" s="476"/>
      <c r="P55" s="476"/>
      <c r="Q55" s="476"/>
      <c r="R55" s="476"/>
      <c r="S55" s="476"/>
      <c r="T55" s="476"/>
      <c r="U55" s="476"/>
      <c r="V55" s="476"/>
    </row>
    <row r="56" spans="2:22" x14ac:dyDescent="0.2">
      <c r="B56" s="367"/>
      <c r="D56" s="477"/>
      <c r="E56" s="476"/>
      <c r="F56" s="476"/>
      <c r="G56" s="476"/>
      <c r="H56" s="476"/>
      <c r="I56" s="476"/>
      <c r="J56" s="476"/>
      <c r="K56" s="476"/>
      <c r="L56" s="476"/>
      <c r="M56" s="476"/>
      <c r="N56" s="476"/>
      <c r="O56" s="476"/>
      <c r="P56" s="476"/>
      <c r="Q56" s="476"/>
      <c r="R56" s="476"/>
      <c r="S56" s="476"/>
      <c r="T56" s="476"/>
      <c r="U56" s="476"/>
      <c r="V56" s="476"/>
    </row>
    <row r="57" spans="2:22" x14ac:dyDescent="0.2">
      <c r="B57" s="367"/>
      <c r="D57" s="476"/>
      <c r="E57" s="476"/>
      <c r="F57" s="476"/>
      <c r="G57" s="476"/>
      <c r="H57" s="476"/>
      <c r="I57" s="476"/>
      <c r="J57" s="476"/>
      <c r="K57" s="476"/>
      <c r="L57" s="476"/>
      <c r="M57" s="476"/>
      <c r="N57" s="476"/>
      <c r="O57" s="476"/>
      <c r="P57" s="476"/>
      <c r="Q57" s="476"/>
      <c r="R57" s="476"/>
      <c r="S57" s="476"/>
      <c r="T57" s="476"/>
      <c r="U57" s="476"/>
      <c r="V57" s="476"/>
    </row>
    <row r="58" spans="2:22" x14ac:dyDescent="0.2">
      <c r="B58" s="367"/>
      <c r="D58" s="476"/>
      <c r="E58" s="476"/>
      <c r="F58" s="476"/>
      <c r="G58" s="476"/>
      <c r="H58" s="476"/>
      <c r="I58" s="476"/>
      <c r="J58" s="476"/>
      <c r="K58" s="476"/>
      <c r="L58" s="476"/>
      <c r="M58" s="476"/>
      <c r="N58" s="476"/>
      <c r="O58" s="476"/>
      <c r="P58" s="476"/>
      <c r="Q58" s="476"/>
      <c r="R58" s="476"/>
      <c r="S58" s="476"/>
      <c r="T58" s="476"/>
      <c r="U58" s="476"/>
      <c r="V58" s="476"/>
    </row>
    <row r="59" spans="2:22" x14ac:dyDescent="0.2">
      <c r="B59" s="367"/>
      <c r="D59" s="476"/>
      <c r="E59" s="476"/>
      <c r="F59" s="476"/>
      <c r="G59" s="476"/>
      <c r="H59" s="476"/>
      <c r="I59" s="476"/>
      <c r="J59" s="476"/>
      <c r="K59" s="476"/>
      <c r="L59" s="476"/>
      <c r="M59" s="476"/>
      <c r="N59" s="476"/>
      <c r="O59" s="476"/>
      <c r="P59" s="476"/>
      <c r="Q59" s="476"/>
      <c r="R59" s="476"/>
      <c r="S59" s="476"/>
      <c r="T59" s="476"/>
      <c r="U59" s="476"/>
      <c r="V59" s="476"/>
    </row>
  </sheetData>
  <sheetProtection password="82A3" sheet="1" objects="1" scenarios="1" formatColumns="0" formatRows="0"/>
  <mergeCells count="37">
    <mergeCell ref="D59:V59"/>
    <mergeCell ref="D57:V57"/>
    <mergeCell ref="D58:V58"/>
    <mergeCell ref="D54:V54"/>
    <mergeCell ref="F27:F28"/>
    <mergeCell ref="D56:V56"/>
    <mergeCell ref="D55:V55"/>
    <mergeCell ref="F50:F51"/>
    <mergeCell ref="V50:V51"/>
    <mergeCell ref="B44:V44"/>
    <mergeCell ref="N39:N40"/>
    <mergeCell ref="V27:V28"/>
    <mergeCell ref="N27:N28"/>
    <mergeCell ref="N37:N38"/>
    <mergeCell ref="R27:R28"/>
    <mergeCell ref="R37:R38"/>
    <mergeCell ref="C1:L1"/>
    <mergeCell ref="C3:H3"/>
    <mergeCell ref="C4:H4"/>
    <mergeCell ref="C2:V2"/>
    <mergeCell ref="V18:V19"/>
    <mergeCell ref="N18:N19"/>
    <mergeCell ref="R18:R19"/>
    <mergeCell ref="F8:V8"/>
    <mergeCell ref="F18:F19"/>
    <mergeCell ref="J18:J19"/>
    <mergeCell ref="J27:J28"/>
    <mergeCell ref="V37:V38"/>
    <mergeCell ref="F37:F38"/>
    <mergeCell ref="V39:V40"/>
    <mergeCell ref="F39:F40"/>
    <mergeCell ref="R39:R40"/>
    <mergeCell ref="J50:J51"/>
    <mergeCell ref="N50:N51"/>
    <mergeCell ref="R50:R51"/>
    <mergeCell ref="J37:J38"/>
    <mergeCell ref="J39:J40"/>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57"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view="pageBreakPreview" topLeftCell="A10" zoomScaleNormal="100" zoomScaleSheetLayoutView="100" workbookViewId="0">
      <selection activeCell="G30" sqref="G30"/>
    </sheetView>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35"/>
      <c r="E1" s="435"/>
      <c r="F1" s="435"/>
      <c r="G1" s="435"/>
      <c r="H1" s="435"/>
      <c r="I1" s="435"/>
      <c r="J1" s="435"/>
      <c r="K1" s="435"/>
      <c r="L1" s="435"/>
      <c r="M1" s="435"/>
      <c r="N1" s="1"/>
      <c r="O1" s="147"/>
      <c r="P1" s="147"/>
    </row>
    <row r="2" spans="2:16" s="2" customFormat="1" ht="18" x14ac:dyDescent="0.25">
      <c r="C2" s="440"/>
      <c r="D2" s="440"/>
      <c r="E2" s="440"/>
      <c r="F2" s="440"/>
      <c r="G2" s="440"/>
      <c r="H2" s="440"/>
      <c r="I2" s="440"/>
      <c r="J2" s="440"/>
      <c r="K2" s="440"/>
      <c r="L2" s="440"/>
      <c r="M2" s="440"/>
      <c r="N2" s="440"/>
      <c r="O2" s="440"/>
      <c r="P2" s="36"/>
    </row>
    <row r="3" spans="2:16" s="2" customFormat="1" ht="18" x14ac:dyDescent="0.25">
      <c r="C3" s="440"/>
      <c r="D3" s="440"/>
      <c r="E3" s="440"/>
      <c r="F3" s="440"/>
      <c r="G3" s="440"/>
      <c r="H3" s="36"/>
      <c r="I3" s="36"/>
      <c r="J3" s="36"/>
      <c r="K3" s="36"/>
      <c r="L3" s="33"/>
      <c r="M3" s="33"/>
      <c r="N3" s="33"/>
      <c r="O3" s="33"/>
      <c r="P3" s="33"/>
    </row>
    <row r="4" spans="2:16" s="2" customFormat="1" ht="18" x14ac:dyDescent="0.25">
      <c r="C4" s="440"/>
      <c r="D4" s="440"/>
      <c r="E4" s="440"/>
      <c r="F4" s="440"/>
      <c r="G4" s="440"/>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481" t="s">
        <v>6</v>
      </c>
      <c r="C9" s="481"/>
      <c r="D9" s="481"/>
      <c r="E9" s="481"/>
      <c r="F9" s="481"/>
      <c r="G9" s="481"/>
      <c r="H9" s="481"/>
      <c r="I9" s="481"/>
      <c r="J9" s="481"/>
      <c r="K9" s="481"/>
      <c r="L9" s="481"/>
      <c r="M9" s="481"/>
      <c r="P9" s="59"/>
    </row>
    <row r="10" spans="2:16" ht="15.75" x14ac:dyDescent="0.25">
      <c r="P10" s="59"/>
    </row>
    <row r="11" spans="2:16" ht="15.75" x14ac:dyDescent="0.25">
      <c r="P11" s="59"/>
    </row>
    <row r="12" spans="2:16" ht="38.25" x14ac:dyDescent="0.2">
      <c r="B12" s="391" t="s">
        <v>37</v>
      </c>
      <c r="D12" s="42" t="s">
        <v>59</v>
      </c>
      <c r="E12" s="44"/>
      <c r="F12" s="44"/>
      <c r="G12" s="307" t="s">
        <v>4</v>
      </c>
      <c r="H12" s="308"/>
      <c r="I12" s="308"/>
      <c r="J12" s="308"/>
      <c r="K12" s="309" t="str">
        <f>IF(ISBLANK('3. Data_Input_Sheet'!M12),"",'3. Data_Input_Sheet'!M12)</f>
        <v>Supplementary Interrogatory Responses</v>
      </c>
      <c r="L12" s="308"/>
      <c r="M12" s="308"/>
      <c r="N12" s="308"/>
      <c r="O12" s="309" t="str">
        <f>'3. Data_Input_Sheet'!U12</f>
        <v>Per Board Decision</v>
      </c>
      <c r="P12" s="145"/>
    </row>
    <row r="13" spans="2:16" x14ac:dyDescent="0.2">
      <c r="B13" s="302"/>
      <c r="F13" s="34"/>
      <c r="L13" s="34"/>
      <c r="M13" s="34"/>
      <c r="N13" s="34"/>
    </row>
    <row r="14" spans="2:16" x14ac:dyDescent="0.2">
      <c r="B14" s="302"/>
      <c r="D14" s="23" t="s">
        <v>28</v>
      </c>
      <c r="E14" s="98"/>
      <c r="F14" s="99"/>
      <c r="G14" s="98"/>
      <c r="H14" s="98"/>
      <c r="I14" s="98"/>
      <c r="J14" s="98"/>
      <c r="K14" s="98"/>
      <c r="L14" s="99"/>
      <c r="M14" s="99"/>
      <c r="N14" s="99"/>
      <c r="O14" s="98"/>
      <c r="P14" s="98"/>
    </row>
    <row r="15" spans="2:16" x14ac:dyDescent="0.2">
      <c r="B15" s="302"/>
      <c r="F15" s="34"/>
      <c r="L15" s="34"/>
      <c r="M15" s="34"/>
      <c r="N15" s="34"/>
    </row>
    <row r="16" spans="2:16" x14ac:dyDescent="0.2">
      <c r="B16" s="352">
        <v>1</v>
      </c>
      <c r="D16" s="451" t="s">
        <v>145</v>
      </c>
      <c r="E16" s="451"/>
      <c r="F16" s="34"/>
      <c r="G16" s="250">
        <f>'7. Cost_of_Capital'!P22</f>
        <v>585174.75814877776</v>
      </c>
      <c r="H16" s="250"/>
      <c r="I16" s="250"/>
      <c r="J16" s="250"/>
      <c r="K16" s="250">
        <f>'7. Cost_of_Capital'!P38</f>
        <v>570996.66207202955</v>
      </c>
      <c r="L16" s="256"/>
      <c r="M16" s="256"/>
      <c r="N16" s="256"/>
      <c r="O16" s="250">
        <f>'7. Cost_of_Capital'!P54</f>
        <v>570688.99865948583</v>
      </c>
      <c r="P16" s="100"/>
    </row>
    <row r="17" spans="2:21" x14ac:dyDescent="0.2">
      <c r="B17" s="352"/>
      <c r="F17" s="34"/>
      <c r="G17" s="257"/>
      <c r="H17" s="257"/>
      <c r="I17" s="257"/>
      <c r="J17" s="257"/>
      <c r="K17" s="257"/>
      <c r="L17" s="256"/>
      <c r="M17" s="256"/>
      <c r="N17" s="256"/>
      <c r="O17" s="257"/>
      <c r="P17" s="53"/>
    </row>
    <row r="18" spans="2:21" ht="24.75" customHeight="1" x14ac:dyDescent="0.2">
      <c r="B18" s="352">
        <v>2</v>
      </c>
      <c r="D18" s="482" t="s">
        <v>29</v>
      </c>
      <c r="E18" s="482"/>
      <c r="F18" s="34"/>
      <c r="G18" s="249">
        <f>'3. Data_Input_Sheet'!E44</f>
        <v>-579842.76603918872</v>
      </c>
      <c r="H18" s="250"/>
      <c r="I18" s="364"/>
      <c r="J18" s="250"/>
      <c r="K18" s="249">
        <f>'3. Data_Input_Sheet'!M44</f>
        <v>-559205.73545457912</v>
      </c>
      <c r="L18" s="240"/>
      <c r="M18" s="364"/>
      <c r="N18" s="240"/>
      <c r="O18" s="249">
        <f>IF(ISBLANK('3. Data_Input_Sheet'!U44),G18,'3. Data_Input_Sheet'!U44)</f>
        <v>-559205.73545457912</v>
      </c>
      <c r="P18" s="100"/>
      <c r="Q18" s="364"/>
    </row>
    <row r="19" spans="2:21" x14ac:dyDescent="0.2">
      <c r="B19" s="352"/>
      <c r="F19" s="34"/>
      <c r="G19" s="257"/>
      <c r="H19" s="257"/>
      <c r="I19" s="257"/>
      <c r="J19" s="257"/>
      <c r="K19" s="257"/>
      <c r="L19" s="256"/>
      <c r="M19" s="256"/>
      <c r="N19" s="256"/>
      <c r="O19" s="257"/>
      <c r="P19" s="53"/>
    </row>
    <row r="20" spans="2:21" ht="13.5" thickBot="1" x14ac:dyDescent="0.25">
      <c r="B20" s="352">
        <v>3</v>
      </c>
      <c r="D20" s="451" t="s">
        <v>30</v>
      </c>
      <c r="E20" s="451"/>
      <c r="F20" s="34"/>
      <c r="G20" s="258">
        <f>G16+G18</f>
        <v>5331.9921095890459</v>
      </c>
      <c r="H20" s="259"/>
      <c r="I20" s="259"/>
      <c r="J20" s="259"/>
      <c r="K20" s="258">
        <f>K16+K18</f>
        <v>11790.92661745043</v>
      </c>
      <c r="L20" s="256"/>
      <c r="M20" s="256"/>
      <c r="N20" s="256"/>
      <c r="O20" s="258">
        <f>O16+O18</f>
        <v>11483.263204906718</v>
      </c>
      <c r="P20" s="161"/>
    </row>
    <row r="21" spans="2:21" ht="13.5" thickTop="1" x14ac:dyDescent="0.2">
      <c r="B21" s="352"/>
      <c r="F21" s="34"/>
      <c r="G21" s="257"/>
      <c r="H21" s="257"/>
      <c r="I21" s="257"/>
      <c r="J21" s="257"/>
      <c r="K21" s="257"/>
      <c r="L21" s="256"/>
      <c r="M21" s="256"/>
      <c r="N21" s="256"/>
      <c r="O21" s="257"/>
      <c r="P21" s="53"/>
    </row>
    <row r="22" spans="2:21" x14ac:dyDescent="0.2">
      <c r="B22" s="352"/>
      <c r="D22" s="27" t="s">
        <v>31</v>
      </c>
      <c r="E22" s="103"/>
      <c r="F22" s="104"/>
      <c r="G22" s="260"/>
      <c r="H22" s="260"/>
      <c r="I22" s="260"/>
      <c r="J22" s="260"/>
      <c r="K22" s="260"/>
      <c r="L22" s="261"/>
      <c r="M22" s="261"/>
      <c r="N22" s="261"/>
      <c r="O22" s="260"/>
      <c r="P22" s="105"/>
    </row>
    <row r="23" spans="2:21" x14ac:dyDescent="0.2">
      <c r="B23" s="352"/>
      <c r="C23" s="15"/>
      <c r="D23" s="15"/>
      <c r="E23" s="15"/>
      <c r="F23" s="89"/>
      <c r="G23" s="262"/>
      <c r="H23" s="262"/>
      <c r="I23" s="262"/>
      <c r="J23" s="262"/>
      <c r="K23" s="262"/>
      <c r="L23" s="256"/>
      <c r="M23" s="256"/>
      <c r="N23" s="256"/>
      <c r="O23" s="262"/>
      <c r="P23" s="106"/>
      <c r="Q23" s="15"/>
      <c r="R23" s="15"/>
      <c r="S23" s="15"/>
      <c r="T23" s="15"/>
      <c r="U23" s="15"/>
    </row>
    <row r="24" spans="2:21" x14ac:dyDescent="0.2">
      <c r="B24" s="352">
        <v>4</v>
      </c>
      <c r="C24" s="15"/>
      <c r="D24" s="15" t="s">
        <v>27</v>
      </c>
      <c r="E24" s="15"/>
      <c r="F24" s="89"/>
      <c r="G24" s="250">
        <f>'3. Data_Input_Sheet'!E46</f>
        <v>826.45877698628408</v>
      </c>
      <c r="H24" s="250"/>
      <c r="I24" s="364"/>
      <c r="J24" s="250"/>
      <c r="K24" s="250">
        <f>IF(ISBLANK('3. Data_Input_Sheet'!M46),'6. Taxes_PILs'!G24,'3. Data_Input_Sheet'!M46)</f>
        <v>1827.5936257048168</v>
      </c>
      <c r="L24" s="240"/>
      <c r="M24" s="364"/>
      <c r="N24" s="240"/>
      <c r="O24" s="250">
        <f>IF(ISBLANK('3. Data_Input_Sheet'!U46),'6. Taxes_PILs'!K24,'3. Data_Input_Sheet'!U46)</f>
        <v>1779.9060873729218</v>
      </c>
      <c r="P24" s="107"/>
      <c r="Q24" s="364"/>
      <c r="R24" s="15"/>
      <c r="S24" s="15"/>
      <c r="T24" s="15"/>
      <c r="U24" s="15"/>
    </row>
    <row r="25" spans="2:21" ht="3" customHeight="1" x14ac:dyDescent="0.2">
      <c r="B25" s="397">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
      <c r="B26" s="352"/>
      <c r="F26" s="34"/>
      <c r="G26" s="460">
        <f>SUM(G24:G25)</f>
        <v>826.45877698628408</v>
      </c>
      <c r="H26" s="49"/>
      <c r="I26" s="49"/>
      <c r="J26" s="49"/>
      <c r="K26" s="460">
        <f>SUM(K24:K25)</f>
        <v>1827.5936257048168</v>
      </c>
      <c r="L26" s="108"/>
      <c r="M26" s="108"/>
      <c r="N26" s="163"/>
      <c r="O26" s="460">
        <f>SUM(O24:O25)</f>
        <v>1779.9060873729218</v>
      </c>
      <c r="P26" s="49"/>
    </row>
    <row r="27" spans="2:21" ht="13.5" thickBot="1" x14ac:dyDescent="0.25">
      <c r="B27" s="352">
        <v>6</v>
      </c>
      <c r="D27" s="5" t="s">
        <v>32</v>
      </c>
      <c r="F27" s="34"/>
      <c r="G27" s="461"/>
      <c r="H27" s="49"/>
      <c r="I27" s="49"/>
      <c r="J27" s="49"/>
      <c r="K27" s="461"/>
      <c r="L27" s="108"/>
      <c r="M27" s="108"/>
      <c r="N27" s="163"/>
      <c r="O27" s="461"/>
      <c r="P27" s="49"/>
    </row>
    <row r="28" spans="2:21" ht="13.5" thickTop="1" x14ac:dyDescent="0.2">
      <c r="B28" s="352"/>
      <c r="F28" s="34"/>
      <c r="G28" s="265"/>
      <c r="H28" s="265"/>
      <c r="I28" s="265"/>
      <c r="J28" s="265"/>
      <c r="K28" s="265"/>
      <c r="L28" s="256"/>
      <c r="M28" s="256"/>
      <c r="N28" s="242"/>
      <c r="O28" s="265"/>
      <c r="P28" s="109"/>
    </row>
    <row r="29" spans="2:21" x14ac:dyDescent="0.2">
      <c r="B29" s="352">
        <v>7</v>
      </c>
      <c r="D29" s="5" t="s">
        <v>96</v>
      </c>
      <c r="F29" s="34"/>
      <c r="G29" s="255">
        <f>(G24/(1-G41))-G24</f>
        <v>151.59894725783909</v>
      </c>
      <c r="H29" s="254"/>
      <c r="I29" s="254"/>
      <c r="J29" s="254"/>
      <c r="K29" s="255">
        <f>(K24/(1-K41))-K24</f>
        <v>335.2390674369783</v>
      </c>
      <c r="L29" s="263"/>
      <c r="M29" s="263"/>
      <c r="N29" s="264"/>
      <c r="O29" s="255">
        <f>(O24/(1-O41))-O24</f>
        <v>326.49164916308018</v>
      </c>
      <c r="P29" s="49"/>
    </row>
    <row r="30" spans="2:21" x14ac:dyDescent="0.2">
      <c r="B30" s="352"/>
      <c r="F30" s="34"/>
      <c r="G30" s="254"/>
      <c r="H30" s="254"/>
      <c r="I30" s="254"/>
      <c r="J30" s="254"/>
      <c r="K30" s="254"/>
      <c r="L30" s="263"/>
      <c r="M30" s="263"/>
      <c r="N30" s="264"/>
      <c r="O30" s="254"/>
      <c r="P30" s="49"/>
    </row>
    <row r="31" spans="2:21" ht="13.5" thickBot="1" x14ac:dyDescent="0.25">
      <c r="B31" s="352">
        <v>8</v>
      </c>
      <c r="D31" s="5" t="s">
        <v>106</v>
      </c>
      <c r="F31" s="34"/>
      <c r="G31" s="266">
        <f>G24+G29</f>
        <v>978.05772424412316</v>
      </c>
      <c r="H31" s="254"/>
      <c r="I31" s="254"/>
      <c r="J31" s="254"/>
      <c r="K31" s="266">
        <f>K24+K29</f>
        <v>2162.8326931417951</v>
      </c>
      <c r="L31" s="263"/>
      <c r="M31" s="263"/>
      <c r="N31" s="264"/>
      <c r="O31" s="266">
        <f>O24+O29</f>
        <v>2106.397736536002</v>
      </c>
      <c r="P31" s="49"/>
    </row>
    <row r="32" spans="2:21" ht="13.5" thickTop="1" x14ac:dyDescent="0.2">
      <c r="B32" s="352"/>
      <c r="F32" s="34"/>
      <c r="G32" s="254"/>
      <c r="H32" s="254"/>
      <c r="I32" s="254"/>
      <c r="J32" s="254"/>
      <c r="K32" s="254"/>
      <c r="L32" s="263"/>
      <c r="M32" s="263"/>
      <c r="N32" s="264"/>
      <c r="O32" s="254"/>
      <c r="P32" s="49"/>
    </row>
    <row r="33" spans="2:17" ht="25.5" customHeight="1" thickBot="1" x14ac:dyDescent="0.25">
      <c r="B33" s="352">
        <v>9</v>
      </c>
      <c r="D33" s="455" t="s">
        <v>107</v>
      </c>
      <c r="E33" s="455"/>
      <c r="F33" s="34"/>
      <c r="G33" s="142">
        <f>G26+G29</f>
        <v>978.05772424412316</v>
      </c>
      <c r="H33" s="49"/>
      <c r="I33" s="49"/>
      <c r="J33" s="49"/>
      <c r="K33" s="142">
        <f>K29+K26</f>
        <v>2162.8326931417951</v>
      </c>
      <c r="L33" s="108"/>
      <c r="M33" s="108"/>
      <c r="N33" s="163"/>
      <c r="O33" s="142">
        <f>O29+O26</f>
        <v>2106.397736536002</v>
      </c>
      <c r="P33" s="49"/>
    </row>
    <row r="34" spans="2:17" ht="12.75" customHeight="1" thickTop="1" x14ac:dyDescent="0.2">
      <c r="B34" s="352"/>
      <c r="D34" s="28"/>
      <c r="E34" s="28"/>
      <c r="F34" s="34"/>
      <c r="G34" s="254"/>
      <c r="H34" s="254"/>
      <c r="I34" s="254"/>
      <c r="J34" s="254"/>
      <c r="K34" s="254"/>
      <c r="L34" s="263"/>
      <c r="M34" s="263"/>
      <c r="N34" s="264"/>
      <c r="O34" s="254"/>
      <c r="P34" s="49"/>
    </row>
    <row r="35" spans="2:17" ht="14.25" customHeight="1" x14ac:dyDescent="0.2">
      <c r="B35" s="352">
        <v>10</v>
      </c>
      <c r="D35" s="28" t="s">
        <v>131</v>
      </c>
      <c r="E35" s="28"/>
      <c r="F35" s="34"/>
      <c r="G35" s="254">
        <f>'3. Data_Input_Sheet'!E51</f>
        <v>0</v>
      </c>
      <c r="H35" s="254"/>
      <c r="I35" s="364"/>
      <c r="J35" s="254"/>
      <c r="K35" s="254">
        <f>IF(ISBLANK('3. Data_Input_Sheet'!M51),G35,'3. Data_Input_Sheet'!M51)</f>
        <v>0</v>
      </c>
      <c r="L35" s="240"/>
      <c r="M35" s="364"/>
      <c r="N35" s="267"/>
      <c r="O35" s="254">
        <f>IF(ISBLANK('3. Data_Input_Sheet'!U51),K35,'3. Data_Input_Sheet'!U51)</f>
        <v>0</v>
      </c>
      <c r="P35" s="49"/>
      <c r="Q35" s="364"/>
    </row>
    <row r="36" spans="2:17" x14ac:dyDescent="0.2">
      <c r="B36" s="352"/>
      <c r="F36" s="34"/>
      <c r="L36" s="30"/>
      <c r="M36" s="34"/>
      <c r="N36" s="30"/>
    </row>
    <row r="37" spans="2:17" x14ac:dyDescent="0.2">
      <c r="B37" s="352"/>
      <c r="D37" s="27" t="s">
        <v>33</v>
      </c>
      <c r="E37" s="110"/>
      <c r="F37" s="111"/>
      <c r="G37" s="110"/>
      <c r="H37" s="110"/>
      <c r="I37" s="110"/>
      <c r="J37" s="110"/>
      <c r="L37" s="164"/>
      <c r="M37" s="111"/>
      <c r="N37" s="164"/>
    </row>
    <row r="38" spans="2:17" x14ac:dyDescent="0.2">
      <c r="B38" s="352"/>
      <c r="F38" s="34"/>
      <c r="G38" s="112"/>
      <c r="H38" s="112"/>
      <c r="I38" s="112"/>
      <c r="J38" s="112"/>
      <c r="K38" s="114"/>
      <c r="L38" s="165"/>
      <c r="M38" s="113"/>
      <c r="N38" s="165"/>
      <c r="O38" s="114"/>
      <c r="P38" s="114"/>
    </row>
    <row r="39" spans="2:17" x14ac:dyDescent="0.2">
      <c r="B39" s="352">
        <v>11</v>
      </c>
      <c r="D39" s="5" t="s">
        <v>136</v>
      </c>
      <c r="F39" s="34"/>
      <c r="G39" s="80">
        <f>'3. Data_Input_Sheet'!E49</f>
        <v>0.11</v>
      </c>
      <c r="H39" s="80"/>
      <c r="I39" s="364"/>
      <c r="J39" s="80"/>
      <c r="K39" s="115">
        <f>IF(ISBLANK('3. Data_Input_Sheet'!M49),G39,'3. Data_Input_Sheet'!M49)</f>
        <v>0.11</v>
      </c>
      <c r="L39" s="180"/>
      <c r="M39" s="364"/>
      <c r="N39" s="180"/>
      <c r="O39" s="115">
        <f>IF(ISBLANK('3. Data_Input_Sheet'!U49),K39,'3. Data_Input_Sheet'!U49)</f>
        <v>0.11</v>
      </c>
      <c r="P39" s="115"/>
      <c r="Q39" s="364"/>
    </row>
    <row r="40" spans="2:17" x14ac:dyDescent="0.2">
      <c r="B40" s="352">
        <v>12</v>
      </c>
      <c r="D40" s="5" t="s">
        <v>137</v>
      </c>
      <c r="F40" s="34"/>
      <c r="G40" s="81">
        <f>'3. Data_Input_Sheet'!E50</f>
        <v>4.4999999999999998E-2</v>
      </c>
      <c r="H40" s="80"/>
      <c r="I40" s="364"/>
      <c r="J40" s="80"/>
      <c r="K40" s="93">
        <f>IF(ISBLANK('3. Data_Input_Sheet'!M50),G40,'3. Data_Input_Sheet'!M50)</f>
        <v>4.4999999999999998E-2</v>
      </c>
      <c r="L40" s="180"/>
      <c r="M40" s="364"/>
      <c r="N40" s="180"/>
      <c r="O40" s="93">
        <f>IF(ISBLANK('3. Data_Input_Sheet'!U50),K40,'3. Data_Input_Sheet'!U50)</f>
        <v>4.4999999999999998E-2</v>
      </c>
      <c r="P40" s="92"/>
      <c r="Q40" s="364"/>
    </row>
    <row r="41" spans="2:17" ht="13.5" thickBot="1" x14ac:dyDescent="0.25">
      <c r="B41" s="352">
        <v>13</v>
      </c>
      <c r="D41" s="5" t="s">
        <v>138</v>
      </c>
      <c r="F41" s="34"/>
      <c r="G41" s="116">
        <f>G39+G40</f>
        <v>0.155</v>
      </c>
      <c r="H41" s="162"/>
      <c r="I41" s="162"/>
      <c r="J41" s="162"/>
      <c r="K41" s="118">
        <f>K39+K40</f>
        <v>0.155</v>
      </c>
      <c r="L41" s="117"/>
      <c r="M41" s="117"/>
      <c r="N41" s="117"/>
      <c r="O41" s="118">
        <f>O39+O40</f>
        <v>0.155</v>
      </c>
      <c r="P41" s="91"/>
    </row>
    <row r="42" spans="2:17" ht="13.5" thickTop="1" x14ac:dyDescent="0.2">
      <c r="F42" s="34"/>
      <c r="L42" s="34"/>
      <c r="M42" s="34"/>
      <c r="N42" s="34"/>
    </row>
    <row r="43" spans="2:17" x14ac:dyDescent="0.2">
      <c r="L43" s="34"/>
      <c r="M43" s="34"/>
      <c r="N43" s="34"/>
    </row>
    <row r="44" spans="2:17" x14ac:dyDescent="0.2">
      <c r="B44" s="480" t="s">
        <v>38</v>
      </c>
      <c r="C44" s="480"/>
      <c r="D44" s="480"/>
      <c r="E44" s="480"/>
      <c r="F44" s="480"/>
      <c r="G44" s="480"/>
      <c r="H44" s="480"/>
      <c r="I44" s="480"/>
      <c r="J44" s="480"/>
      <c r="K44" s="480"/>
      <c r="L44" s="480"/>
      <c r="M44" s="480"/>
      <c r="N44" s="480"/>
      <c r="O44" s="480"/>
      <c r="P44" s="157"/>
    </row>
    <row r="45" spans="2:17" ht="12.75" customHeight="1" x14ac:dyDescent="0.2">
      <c r="B45" s="324"/>
      <c r="C45" s="325"/>
      <c r="D45" s="479" t="s">
        <v>148</v>
      </c>
      <c r="E45" s="479"/>
      <c r="F45" s="479"/>
      <c r="G45" s="479"/>
      <c r="H45" s="479"/>
      <c r="I45" s="479"/>
      <c r="J45" s="479"/>
      <c r="K45" s="479"/>
      <c r="L45" s="479"/>
      <c r="M45" s="479"/>
      <c r="N45" s="479"/>
      <c r="O45" s="479"/>
      <c r="P45" s="177"/>
    </row>
    <row r="46" spans="2:17" x14ac:dyDescent="0.2">
      <c r="B46" s="369"/>
      <c r="D46" s="457"/>
      <c r="E46" s="457"/>
      <c r="F46" s="457"/>
      <c r="G46" s="457"/>
      <c r="H46" s="457"/>
      <c r="I46" s="457"/>
      <c r="J46" s="457"/>
      <c r="K46" s="457"/>
      <c r="L46" s="457"/>
      <c r="M46" s="457"/>
      <c r="N46" s="457"/>
      <c r="O46" s="457"/>
      <c r="P46" s="177"/>
    </row>
    <row r="47" spans="2:17" x14ac:dyDescent="0.2">
      <c r="B47" s="369"/>
      <c r="D47" s="368"/>
      <c r="E47" s="368"/>
      <c r="F47" s="368"/>
      <c r="G47" s="368"/>
      <c r="H47" s="368"/>
      <c r="I47" s="368"/>
      <c r="J47" s="368"/>
      <c r="K47" s="368"/>
      <c r="L47" s="368"/>
      <c r="M47" s="368"/>
      <c r="N47" s="368"/>
      <c r="O47" s="368"/>
      <c r="P47" s="177"/>
    </row>
    <row r="48" spans="2:17" x14ac:dyDescent="0.2">
      <c r="B48" s="369"/>
      <c r="D48" s="368"/>
      <c r="E48" s="368"/>
      <c r="F48" s="368"/>
      <c r="G48" s="368"/>
      <c r="H48" s="368"/>
      <c r="I48" s="368"/>
      <c r="J48" s="368"/>
      <c r="K48" s="368"/>
      <c r="L48" s="368"/>
      <c r="M48" s="368"/>
      <c r="N48" s="368"/>
      <c r="O48" s="368"/>
      <c r="P48" s="177"/>
    </row>
    <row r="49" spans="2:16" x14ac:dyDescent="0.2">
      <c r="B49" s="369"/>
      <c r="D49" s="368"/>
      <c r="E49" s="368"/>
      <c r="F49" s="368"/>
      <c r="G49" s="368"/>
      <c r="H49" s="368"/>
      <c r="I49" s="368"/>
      <c r="J49" s="368"/>
      <c r="K49" s="368"/>
      <c r="L49" s="368"/>
      <c r="M49" s="368"/>
      <c r="N49" s="368"/>
      <c r="O49" s="368"/>
      <c r="P49" s="177"/>
    </row>
    <row r="50" spans="2:16" x14ac:dyDescent="0.2">
      <c r="B50" s="369"/>
      <c r="D50" s="457"/>
      <c r="E50" s="457"/>
      <c r="F50" s="457"/>
      <c r="G50" s="457"/>
      <c r="H50" s="457"/>
      <c r="I50" s="457"/>
      <c r="J50" s="457"/>
      <c r="K50" s="457"/>
      <c r="L50" s="457"/>
      <c r="M50" s="457"/>
      <c r="N50" s="457"/>
      <c r="O50" s="457"/>
      <c r="P50" s="177"/>
    </row>
    <row r="51" spans="2:16" x14ac:dyDescent="0.2">
      <c r="B51" s="369"/>
      <c r="D51" s="457"/>
      <c r="E51" s="457"/>
      <c r="F51" s="457"/>
      <c r="G51" s="457"/>
      <c r="H51" s="457"/>
      <c r="I51" s="457"/>
      <c r="J51" s="457"/>
      <c r="K51" s="457"/>
      <c r="L51" s="457"/>
      <c r="M51" s="457"/>
      <c r="N51" s="457"/>
      <c r="O51" s="457"/>
      <c r="P51" s="177"/>
    </row>
    <row r="52" spans="2:16" x14ac:dyDescent="0.2">
      <c r="B52" s="369"/>
      <c r="D52" s="457"/>
      <c r="E52" s="457"/>
      <c r="F52" s="457"/>
      <c r="G52" s="457"/>
      <c r="H52" s="457"/>
      <c r="I52" s="457"/>
      <c r="J52" s="457"/>
      <c r="K52" s="457"/>
      <c r="L52" s="457"/>
      <c r="M52" s="457"/>
      <c r="N52" s="457"/>
      <c r="O52" s="457"/>
      <c r="P52" s="177"/>
    </row>
    <row r="53" spans="2:16" x14ac:dyDescent="0.2">
      <c r="B53" s="369"/>
      <c r="D53" s="457"/>
      <c r="E53" s="457"/>
      <c r="F53" s="457"/>
      <c r="G53" s="457"/>
      <c r="H53" s="457"/>
      <c r="I53" s="457"/>
      <c r="J53" s="457"/>
      <c r="K53" s="457"/>
      <c r="L53" s="457"/>
      <c r="M53" s="457"/>
      <c r="N53" s="457"/>
      <c r="O53" s="457"/>
      <c r="P53" s="177"/>
    </row>
  </sheetData>
  <sheetProtection password="82A3" sheet="1" objects="1" scenarios="1" formatColumns="0" formatRows="0"/>
  <mergeCells count="19">
    <mergeCell ref="D1:M1"/>
    <mergeCell ref="C3:G3"/>
    <mergeCell ref="C4:G4"/>
    <mergeCell ref="C2:O2"/>
    <mergeCell ref="B44:O44"/>
    <mergeCell ref="B9:M9"/>
    <mergeCell ref="G26:G27"/>
    <mergeCell ref="O26:O27"/>
    <mergeCell ref="D16:E16"/>
    <mergeCell ref="D18:E18"/>
    <mergeCell ref="D20:E20"/>
    <mergeCell ref="D33:E33"/>
    <mergeCell ref="K26:K27"/>
    <mergeCell ref="D45:O45"/>
    <mergeCell ref="D52:O52"/>
    <mergeCell ref="D53:O53"/>
    <mergeCell ref="D46:O46"/>
    <mergeCell ref="D50:O50"/>
    <mergeCell ref="D51:O51"/>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zoomScaleNormal="100" zoomScaleSheetLayoutView="100" workbookViewId="0">
      <selection sqref="A1:XFD1048576"/>
    </sheetView>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487"/>
      <c r="D1" s="487"/>
      <c r="E1" s="487"/>
      <c r="F1" s="487"/>
      <c r="G1" s="487"/>
      <c r="H1" s="487"/>
      <c r="I1" s="487"/>
      <c r="J1" s="487"/>
      <c r="K1" s="487"/>
      <c r="L1" s="487"/>
      <c r="M1" s="487"/>
      <c r="N1" s="487"/>
      <c r="O1" s="154"/>
      <c r="P1" s="147"/>
    </row>
    <row r="2" spans="1:18" s="2" customFormat="1" ht="36.75" customHeight="1" x14ac:dyDescent="0.25">
      <c r="C2" s="488"/>
      <c r="D2" s="488"/>
      <c r="E2" s="488"/>
      <c r="F2" s="488"/>
      <c r="G2" s="488"/>
      <c r="H2" s="488"/>
      <c r="I2" s="488"/>
      <c r="J2" s="488"/>
      <c r="K2" s="488"/>
      <c r="L2" s="488"/>
      <c r="M2" s="488"/>
      <c r="N2" s="488"/>
      <c r="O2" s="488"/>
      <c r="P2" s="488"/>
      <c r="Q2" s="488"/>
      <c r="R2" s="488"/>
    </row>
    <row r="3" spans="1:18" s="2" customFormat="1" ht="36.75" customHeight="1" x14ac:dyDescent="0.25">
      <c r="C3" s="488"/>
      <c r="D3" s="488"/>
      <c r="E3" s="488"/>
      <c r="F3" s="488"/>
      <c r="G3" s="488"/>
      <c r="H3" s="488"/>
      <c r="I3" s="488"/>
      <c r="J3" s="488"/>
      <c r="K3" s="488"/>
      <c r="L3" s="488"/>
      <c r="M3" s="488"/>
      <c r="N3" s="488"/>
      <c r="O3" s="155"/>
    </row>
    <row r="4" spans="1:18" s="2" customFormat="1" ht="36.75" customHeight="1" x14ac:dyDescent="0.25">
      <c r="C4" s="488"/>
      <c r="D4" s="488"/>
      <c r="E4" s="488"/>
      <c r="F4" s="488"/>
      <c r="G4" s="488"/>
      <c r="H4" s="488"/>
      <c r="I4" s="488"/>
      <c r="J4" s="488"/>
      <c r="K4" s="38"/>
      <c r="L4" s="38"/>
      <c r="M4" s="38"/>
      <c r="N4" s="38"/>
      <c r="O4" s="38"/>
    </row>
    <row r="5" spans="1:18" s="2" customFormat="1" ht="36.75" customHeight="1" x14ac:dyDescent="0.2">
      <c r="B5" s="489" t="s">
        <v>50</v>
      </c>
      <c r="C5" s="489"/>
      <c r="D5" s="489"/>
      <c r="E5" s="489"/>
      <c r="F5" s="489"/>
      <c r="G5" s="489"/>
      <c r="H5" s="489"/>
      <c r="I5" s="489"/>
      <c r="J5" s="489"/>
      <c r="K5" s="489"/>
      <c r="L5" s="489"/>
      <c r="M5" s="489"/>
      <c r="N5" s="489"/>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490" t="s">
        <v>46</v>
      </c>
      <c r="G11" s="490"/>
      <c r="H11" s="490"/>
      <c r="I11" s="490"/>
      <c r="J11" s="490"/>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485" t="s">
        <v>155</v>
      </c>
      <c r="G13" s="485"/>
      <c r="H13" s="485"/>
      <c r="I13" s="485"/>
      <c r="J13" s="485"/>
      <c r="K13" s="76"/>
      <c r="L13" s="34"/>
      <c r="M13" s="34"/>
      <c r="N13" s="34"/>
      <c r="O13" s="34"/>
      <c r="P13" s="34"/>
      <c r="Q13" s="34"/>
    </row>
    <row r="14" spans="1:18" x14ac:dyDescent="0.2">
      <c r="A14" s="4"/>
      <c r="B14" s="66"/>
      <c r="C14" s="77"/>
      <c r="D14" s="483"/>
      <c r="E14" s="483"/>
      <c r="F14" s="483"/>
      <c r="G14" s="483"/>
      <c r="H14" s="483"/>
      <c r="I14" s="483"/>
      <c r="J14" s="483"/>
      <c r="K14" s="483"/>
      <c r="L14" s="483"/>
      <c r="M14" s="483"/>
      <c r="N14" s="483"/>
      <c r="O14" s="483"/>
      <c r="P14" s="483"/>
      <c r="Q14" s="34"/>
    </row>
    <row r="15" spans="1:18" x14ac:dyDescent="0.2">
      <c r="A15" s="4"/>
      <c r="B15" s="66"/>
      <c r="C15" s="34"/>
      <c r="D15" s="34"/>
      <c r="E15" s="34"/>
      <c r="F15" s="170" t="s">
        <v>20</v>
      </c>
      <c r="G15" s="170"/>
      <c r="H15" s="170"/>
      <c r="I15" s="170"/>
      <c r="J15" s="170" t="s">
        <v>8</v>
      </c>
      <c r="K15" s="76"/>
      <c r="L15" s="170" t="s">
        <v>20</v>
      </c>
      <c r="M15" s="170"/>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6"/>
      <c r="I17" s="186"/>
      <c r="J17" s="47">
        <f>$J$26*F17</f>
        <v>8982945.8487750962</v>
      </c>
      <c r="K17" s="34"/>
      <c r="L17" s="80">
        <f>'3. Data_Input_Sheet'!E62</f>
        <v>3.4407650845202857E-2</v>
      </c>
      <c r="M17" s="80"/>
      <c r="N17" s="366"/>
      <c r="O17" s="186"/>
      <c r="P17" s="47">
        <f>L17*J17</f>
        <v>309082.06432601792</v>
      </c>
      <c r="Q17" s="34"/>
    </row>
    <row r="18" spans="1:18" x14ac:dyDescent="0.2">
      <c r="A18" s="4"/>
      <c r="B18" s="66">
        <v>2</v>
      </c>
      <c r="C18" s="34"/>
      <c r="D18" s="78" t="s">
        <v>13</v>
      </c>
      <c r="E18" s="34"/>
      <c r="F18" s="81">
        <f>'3. Data_Input_Sheet'!E56</f>
        <v>0.04</v>
      </c>
      <c r="G18" s="80"/>
      <c r="H18" s="366"/>
      <c r="I18" s="186"/>
      <c r="J18" s="54">
        <f>$J$26*F18</f>
        <v>641638.98919822113</v>
      </c>
      <c r="K18" s="34"/>
      <c r="L18" s="81">
        <f>'3. Data_Input_Sheet'!E63</f>
        <v>2.0799999999999999E-2</v>
      </c>
      <c r="M18" s="80"/>
      <c r="N18" s="366"/>
      <c r="O18" s="186"/>
      <c r="P18" s="54">
        <f>L18*J18</f>
        <v>13346.090975322999</v>
      </c>
      <c r="Q18" s="34"/>
    </row>
    <row r="19" spans="1:18" ht="13.5" thickBot="1" x14ac:dyDescent="0.25">
      <c r="A19" s="4"/>
      <c r="B19" s="66">
        <v>3</v>
      </c>
      <c r="C19" s="34"/>
      <c r="D19" s="82" t="s">
        <v>14</v>
      </c>
      <c r="E19" s="34"/>
      <c r="F19" s="83">
        <f>SUM(F17:F18)</f>
        <v>0.60000000000000009</v>
      </c>
      <c r="G19" s="83"/>
      <c r="H19" s="84"/>
      <c r="I19" s="173"/>
      <c r="J19" s="85">
        <f>SUM(J17:J18)</f>
        <v>9624584.8379733171</v>
      </c>
      <c r="K19" s="34"/>
      <c r="L19" s="83">
        <f>IF(F19=0,0,SUMPRODUCT(F17:F18,L17:L18)/F19)</f>
        <v>3.350047412218933E-2</v>
      </c>
      <c r="M19" s="88"/>
      <c r="N19" s="34"/>
      <c r="O19" s="30"/>
      <c r="P19" s="85">
        <f>SUM(P17:P18)</f>
        <v>322428.15530134091</v>
      </c>
      <c r="Q19" s="34"/>
    </row>
    <row r="20" spans="1:18" ht="13.5" thickTop="1" x14ac:dyDescent="0.2">
      <c r="A20" s="4"/>
      <c r="B20" s="66"/>
      <c r="C20" s="34"/>
      <c r="D20" s="34"/>
      <c r="E20" s="34"/>
      <c r="F20" s="86"/>
      <c r="G20" s="86"/>
      <c r="H20" s="86"/>
      <c r="I20" s="172"/>
      <c r="J20" s="87"/>
      <c r="K20" s="34"/>
      <c r="L20" s="88"/>
      <c r="M20" s="88"/>
      <c r="N20" s="34"/>
      <c r="O20" s="30"/>
      <c r="P20" s="87"/>
      <c r="Q20" s="34"/>
    </row>
    <row r="21" spans="1:18" x14ac:dyDescent="0.2">
      <c r="A21" s="4"/>
      <c r="B21" s="66"/>
      <c r="C21" s="34"/>
      <c r="D21" s="79" t="s">
        <v>15</v>
      </c>
      <c r="E21" s="34"/>
      <c r="F21" s="86"/>
      <c r="G21" s="86"/>
      <c r="H21" s="86"/>
      <c r="I21" s="172"/>
      <c r="J21" s="87"/>
      <c r="K21" s="34"/>
      <c r="L21" s="88"/>
      <c r="M21" s="88"/>
      <c r="N21" s="34"/>
      <c r="O21" s="30"/>
      <c r="P21" s="87"/>
      <c r="Q21" s="34"/>
    </row>
    <row r="22" spans="1:18" x14ac:dyDescent="0.2">
      <c r="A22" s="4"/>
      <c r="B22" s="70">
        <v>4</v>
      </c>
      <c r="C22" s="89"/>
      <c r="D22" s="90" t="s">
        <v>16</v>
      </c>
      <c r="E22" s="89"/>
      <c r="F22" s="91">
        <f>'3. Data_Input_Sheet'!E57</f>
        <v>0.4</v>
      </c>
      <c r="G22" s="91"/>
      <c r="H22" s="366"/>
      <c r="I22" s="186"/>
      <c r="J22" s="48">
        <f>$J$26*F22</f>
        <v>6416389.8919822117</v>
      </c>
      <c r="K22" s="89"/>
      <c r="L22" s="92">
        <f>'3. Data_Input_Sheet'!E64</f>
        <v>9.1200000000000003E-2</v>
      </c>
      <c r="M22" s="92"/>
      <c r="N22" s="366"/>
      <c r="O22" s="186"/>
      <c r="P22" s="48">
        <f>L22*J22</f>
        <v>585174.75814877776</v>
      </c>
      <c r="Q22" s="89"/>
      <c r="R22" s="15"/>
    </row>
    <row r="23" spans="1:18" x14ac:dyDescent="0.2">
      <c r="A23" s="4"/>
      <c r="B23" s="70">
        <v>5</v>
      </c>
      <c r="C23" s="89"/>
      <c r="D23" s="90" t="s">
        <v>17</v>
      </c>
      <c r="E23" s="89"/>
      <c r="F23" s="93">
        <f>'3. Data_Input_Sheet'!E58</f>
        <v>0</v>
      </c>
      <c r="G23" s="92"/>
      <c r="H23" s="366"/>
      <c r="I23" s="186"/>
      <c r="J23" s="55">
        <f>$J$26*F23</f>
        <v>0</v>
      </c>
      <c r="K23" s="89"/>
      <c r="L23" s="93">
        <f>'3. Data_Input_Sheet'!E65</f>
        <v>0</v>
      </c>
      <c r="M23" s="92"/>
      <c r="N23" s="366"/>
      <c r="O23" s="186"/>
      <c r="P23" s="55">
        <f>L23*J23</f>
        <v>0</v>
      </c>
      <c r="Q23" s="89"/>
      <c r="R23" s="15"/>
    </row>
    <row r="24" spans="1:18" ht="13.5" thickBot="1" x14ac:dyDescent="0.25">
      <c r="A24" s="4"/>
      <c r="B24" s="66">
        <v>6</v>
      </c>
      <c r="C24" s="34"/>
      <c r="D24" s="82" t="s">
        <v>18</v>
      </c>
      <c r="E24" s="34"/>
      <c r="F24" s="83">
        <f>SUM(F22:F23)</f>
        <v>0.4</v>
      </c>
      <c r="G24" s="83"/>
      <c r="H24" s="84"/>
      <c r="I24" s="84"/>
      <c r="J24" s="85">
        <f>SUM(J22:J23)</f>
        <v>6416389.8919822117</v>
      </c>
      <c r="K24" s="34"/>
      <c r="L24" s="83">
        <f>IF(F24=0,0,SUMPRODUCT(F22:F23,L22:L23)/F24)</f>
        <v>9.1200000000000003E-2</v>
      </c>
      <c r="M24" s="88"/>
      <c r="N24" s="34"/>
      <c r="O24" s="34"/>
      <c r="P24" s="85">
        <f>SUM(P22:P23)</f>
        <v>585174.75814877776</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8">
        <f>SUM(F19,F24)</f>
        <v>1</v>
      </c>
      <c r="G26" s="94"/>
      <c r="H26" s="94"/>
      <c r="I26" s="94"/>
      <c r="J26" s="95">
        <f>'4. Rate_Base'!G18</f>
        <v>16040974.729955528</v>
      </c>
      <c r="K26" s="34"/>
      <c r="L26" s="96">
        <f>(L19*F19)+(L24*F24)</f>
        <v>5.6580284473313605E-2</v>
      </c>
      <c r="M26" s="88"/>
      <c r="N26" s="34"/>
      <c r="O26" s="34"/>
      <c r="P26" s="95">
        <f>P19+P24</f>
        <v>907602.91345011862</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485" t="str">
        <f>'1. Info'!AC1</f>
        <v>Supplementary Interrogatory Responses</v>
      </c>
      <c r="G29" s="485"/>
      <c r="H29" s="485"/>
      <c r="I29" s="485"/>
      <c r="J29" s="485"/>
      <c r="K29" s="34"/>
      <c r="L29" s="34"/>
      <c r="M29" s="34"/>
      <c r="N29" s="34"/>
      <c r="O29" s="34"/>
      <c r="P29" s="34"/>
      <c r="Q29" s="34"/>
    </row>
    <row r="30" spans="1:18" x14ac:dyDescent="0.2">
      <c r="A30" s="4"/>
      <c r="B30" s="66"/>
      <c r="C30" s="77"/>
      <c r="D30" s="484"/>
      <c r="E30" s="484"/>
      <c r="F30" s="484"/>
      <c r="G30" s="484"/>
      <c r="H30" s="484"/>
      <c r="I30" s="484"/>
      <c r="J30" s="484"/>
      <c r="K30" s="484"/>
      <c r="L30" s="484"/>
      <c r="M30" s="484"/>
      <c r="N30" s="484"/>
      <c r="O30" s="484"/>
      <c r="P30" s="484"/>
      <c r="Q30" s="34"/>
    </row>
    <row r="31" spans="1:18" x14ac:dyDescent="0.2">
      <c r="A31" s="4"/>
      <c r="B31" s="66"/>
      <c r="C31" s="34"/>
      <c r="D31" s="34"/>
      <c r="E31" s="34"/>
      <c r="F31" s="170" t="s">
        <v>20</v>
      </c>
      <c r="G31" s="170"/>
      <c r="H31" s="170"/>
      <c r="I31" s="170"/>
      <c r="J31" s="170" t="s">
        <v>8</v>
      </c>
      <c r="K31" s="76"/>
      <c r="L31" s="170" t="s">
        <v>20</v>
      </c>
      <c r="M31" s="170"/>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0.56000000000000005</v>
      </c>
      <c r="G33" s="80"/>
      <c r="H33" s="366"/>
      <c r="I33" s="186"/>
      <c r="J33" s="47">
        <f>$J$42*F33</f>
        <v>8951795.3740295786</v>
      </c>
      <c r="K33" s="34"/>
      <c r="L33" s="80">
        <f>'3. Data_Input_Sheet'!M62</f>
        <v>3.6079303820458784E-2</v>
      </c>
      <c r="M33" s="80"/>
      <c r="N33" s="366"/>
      <c r="O33" s="186"/>
      <c r="P33" s="47">
        <f>L33*J33</f>
        <v>322974.54503819067</v>
      </c>
      <c r="Q33" s="34"/>
    </row>
    <row r="34" spans="1:17" x14ac:dyDescent="0.2">
      <c r="A34" s="4"/>
      <c r="B34" s="66">
        <v>2</v>
      </c>
      <c r="C34" s="34"/>
      <c r="D34" s="78" t="s">
        <v>13</v>
      </c>
      <c r="E34" s="34"/>
      <c r="F34" s="81">
        <f>'3. Data_Input_Sheet'!M56</f>
        <v>0.04</v>
      </c>
      <c r="G34" s="80"/>
      <c r="H34" s="366"/>
      <c r="I34" s="186"/>
      <c r="J34" s="54">
        <f>$J$42*F34</f>
        <v>639413.95528782695</v>
      </c>
      <c r="K34" s="34"/>
      <c r="L34" s="81">
        <f>'3. Data_Input_Sheet'!M63</f>
        <v>2.0799999999999999E-2</v>
      </c>
      <c r="M34" s="80"/>
      <c r="N34" s="366"/>
      <c r="O34" s="186"/>
      <c r="P34" s="54">
        <f>L34*J34</f>
        <v>13299.8102699868</v>
      </c>
      <c r="Q34" s="34"/>
    </row>
    <row r="35" spans="1:17" ht="13.5" thickBot="1" x14ac:dyDescent="0.25">
      <c r="A35" s="4"/>
      <c r="B35" s="66">
        <v>3</v>
      </c>
      <c r="C35" s="34"/>
      <c r="D35" s="82" t="s">
        <v>14</v>
      </c>
      <c r="E35" s="34"/>
      <c r="F35" s="83">
        <f>SUM(F33:F34)</f>
        <v>0.60000000000000009</v>
      </c>
      <c r="G35" s="88"/>
      <c r="H35" s="86"/>
      <c r="I35" s="172"/>
      <c r="J35" s="85">
        <f>SUM(J33:J34)</f>
        <v>9591209.3293174058</v>
      </c>
      <c r="K35" s="34"/>
      <c r="L35" s="83">
        <f>IF(F35=0,0,SUMPRODUCT(F33:F34,L33:L34)/F35)</f>
        <v>3.506068356576153E-2</v>
      </c>
      <c r="M35" s="88"/>
      <c r="N35" s="34"/>
      <c r="O35" s="30"/>
      <c r="P35" s="85">
        <f>SUM(P33:P34)</f>
        <v>336274.35530817747</v>
      </c>
      <c r="Q35" s="34"/>
    </row>
    <row r="36" spans="1:17" ht="13.5" thickTop="1" x14ac:dyDescent="0.2">
      <c r="A36" s="4"/>
      <c r="B36" s="66"/>
      <c r="C36" s="34"/>
      <c r="D36" s="34"/>
      <c r="E36" s="34"/>
      <c r="F36" s="86"/>
      <c r="G36" s="86"/>
      <c r="H36" s="86"/>
      <c r="I36" s="172"/>
      <c r="J36" s="87"/>
      <c r="K36" s="34"/>
      <c r="L36" s="88"/>
      <c r="M36" s="88"/>
      <c r="N36" s="34"/>
      <c r="O36" s="30"/>
      <c r="P36" s="87"/>
      <c r="Q36" s="34"/>
    </row>
    <row r="37" spans="1:17" x14ac:dyDescent="0.2">
      <c r="A37" s="4"/>
      <c r="B37" s="66"/>
      <c r="C37" s="34"/>
      <c r="D37" s="79" t="s">
        <v>15</v>
      </c>
      <c r="E37" s="34"/>
      <c r="F37" s="86"/>
      <c r="G37" s="86"/>
      <c r="H37" s="86"/>
      <c r="I37" s="172"/>
      <c r="J37" s="87"/>
      <c r="K37" s="34"/>
      <c r="L37" s="88"/>
      <c r="M37" s="88"/>
      <c r="N37" s="34"/>
      <c r="O37" s="30"/>
      <c r="P37" s="87"/>
      <c r="Q37" s="34"/>
    </row>
    <row r="38" spans="1:17" x14ac:dyDescent="0.2">
      <c r="A38" s="4"/>
      <c r="B38" s="70">
        <v>4</v>
      </c>
      <c r="C38" s="89"/>
      <c r="D38" s="90" t="s">
        <v>16</v>
      </c>
      <c r="E38" s="89"/>
      <c r="F38" s="91">
        <f>'3. Data_Input_Sheet'!M57</f>
        <v>0.4</v>
      </c>
      <c r="G38" s="91"/>
      <c r="H38" s="366"/>
      <c r="I38" s="186"/>
      <c r="J38" s="48">
        <f>$J$42*F38</f>
        <v>6394139.5528782699</v>
      </c>
      <c r="K38" s="89"/>
      <c r="L38" s="92">
        <f>'3. Data_Input_Sheet'!M64</f>
        <v>8.9300000000000004E-2</v>
      </c>
      <c r="M38" s="92"/>
      <c r="N38" s="366"/>
      <c r="O38" s="186"/>
      <c r="P38" s="48">
        <f>L38*J38</f>
        <v>570996.66207202955</v>
      </c>
      <c r="Q38" s="34"/>
    </row>
    <row r="39" spans="1:17" x14ac:dyDescent="0.2">
      <c r="A39" s="4"/>
      <c r="B39" s="70">
        <v>5</v>
      </c>
      <c r="C39" s="89"/>
      <c r="D39" s="90" t="s">
        <v>17</v>
      </c>
      <c r="E39" s="89"/>
      <c r="F39" s="93">
        <f>'3. Data_Input_Sheet'!M58</f>
        <v>0</v>
      </c>
      <c r="G39" s="92"/>
      <c r="H39" s="366"/>
      <c r="I39" s="186"/>
      <c r="J39" s="55">
        <f>$J$42*F39</f>
        <v>0</v>
      </c>
      <c r="K39" s="89"/>
      <c r="L39" s="93">
        <f>'3. Data_Input_Sheet'!M65</f>
        <v>0</v>
      </c>
      <c r="M39" s="92"/>
      <c r="N39" s="366"/>
      <c r="O39" s="186"/>
      <c r="P39" s="55">
        <f>L39*J39</f>
        <v>0</v>
      </c>
      <c r="Q39" s="34"/>
    </row>
    <row r="40" spans="1:17" ht="13.5" thickBot="1" x14ac:dyDescent="0.25">
      <c r="A40" s="4"/>
      <c r="B40" s="66">
        <v>6</v>
      </c>
      <c r="C40" s="34"/>
      <c r="D40" s="82" t="s">
        <v>18</v>
      </c>
      <c r="E40" s="34"/>
      <c r="F40" s="83">
        <f>SUM(F38:F39)</f>
        <v>0.4</v>
      </c>
      <c r="G40" s="88"/>
      <c r="H40" s="86"/>
      <c r="I40" s="86"/>
      <c r="J40" s="85">
        <f>SUM(J38:J39)</f>
        <v>6394139.5528782699</v>
      </c>
      <c r="K40" s="34"/>
      <c r="L40" s="83">
        <f>IF(F40=0,0,SUMPRODUCT(F38:F39,L38:L39)/F40)</f>
        <v>8.9300000000000004E-2</v>
      </c>
      <c r="M40" s="88"/>
      <c r="N40" s="34"/>
      <c r="O40" s="34"/>
      <c r="P40" s="85">
        <f>SUM(P38:P39)</f>
        <v>570996.66207202955</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8">
        <f>F35+F40</f>
        <v>1</v>
      </c>
      <c r="G42" s="117"/>
      <c r="H42" s="117"/>
      <c r="I42" s="117"/>
      <c r="J42" s="95">
        <f>'4. Rate_Base'!O18</f>
        <v>15985348.882195674</v>
      </c>
      <c r="K42" s="34"/>
      <c r="L42" s="96">
        <f>(L35*F35)+(L40*F40)</f>
        <v>5.6756410139456925E-2</v>
      </c>
      <c r="M42" s="88"/>
      <c r="N42" s="34"/>
      <c r="O42" s="34"/>
      <c r="P42" s="95">
        <f>P35+P40</f>
        <v>907271.01738020708</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485" t="s">
        <v>154</v>
      </c>
      <c r="G45" s="485"/>
      <c r="H45" s="485"/>
      <c r="I45" s="485"/>
      <c r="J45" s="485"/>
      <c r="K45" s="34"/>
      <c r="L45" s="34"/>
      <c r="M45" s="34"/>
      <c r="N45" s="34"/>
      <c r="O45" s="34"/>
      <c r="P45" s="34"/>
      <c r="Q45" s="34"/>
    </row>
    <row r="46" spans="1:17" x14ac:dyDescent="0.2">
      <c r="A46" s="4"/>
      <c r="B46" s="66"/>
      <c r="C46" s="34"/>
      <c r="D46" s="484"/>
      <c r="E46" s="484"/>
      <c r="F46" s="484"/>
      <c r="G46" s="484"/>
      <c r="H46" s="484"/>
      <c r="I46" s="484"/>
      <c r="J46" s="484"/>
      <c r="K46" s="484"/>
      <c r="L46" s="484"/>
      <c r="M46" s="484"/>
      <c r="N46" s="484"/>
      <c r="O46" s="484"/>
      <c r="P46" s="484"/>
      <c r="Q46" s="34"/>
    </row>
    <row r="47" spans="1:17" x14ac:dyDescent="0.2">
      <c r="A47" s="4"/>
      <c r="B47" s="66"/>
      <c r="C47" s="34"/>
      <c r="D47" s="34"/>
      <c r="E47" s="34"/>
      <c r="F47" s="170" t="s">
        <v>20</v>
      </c>
      <c r="G47" s="170"/>
      <c r="H47" s="170"/>
      <c r="I47" s="170"/>
      <c r="J47" s="170" t="s">
        <v>8</v>
      </c>
      <c r="K47" s="76"/>
      <c r="L47" s="170" t="s">
        <v>20</v>
      </c>
      <c r="M47" s="170"/>
      <c r="N47" s="76"/>
      <c r="O47" s="76"/>
      <c r="P47" s="170"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0.56000000000000005</v>
      </c>
      <c r="G49" s="80"/>
      <c r="H49" s="366"/>
      <c r="I49" s="186"/>
      <c r="J49" s="47">
        <f>$J$58*F49</f>
        <v>8946971.9834633823</v>
      </c>
      <c r="K49" s="34"/>
      <c r="L49" s="80">
        <f>IF(ISBLANK('3. Data_Input_Sheet'!U62),L17,'3. Data_Input_Sheet'!U62)</f>
        <v>3.6079303820458784E-2</v>
      </c>
      <c r="M49" s="80"/>
      <c r="N49" s="366"/>
      <c r="O49" s="186"/>
      <c r="P49" s="47">
        <f>L49*J49</f>
        <v>322800.5204645081</v>
      </c>
      <c r="Q49" s="34"/>
    </row>
    <row r="50" spans="1:17" x14ac:dyDescent="0.2">
      <c r="A50" s="4"/>
      <c r="B50" s="66">
        <v>9</v>
      </c>
      <c r="C50" s="34"/>
      <c r="D50" s="78" t="s">
        <v>13</v>
      </c>
      <c r="E50" s="34"/>
      <c r="F50" s="81">
        <f>IF(ISBLANK('3. Data_Input_Sheet'!U56),F34,'3. Data_Input_Sheet'!U56)</f>
        <v>0.04</v>
      </c>
      <c r="G50" s="80"/>
      <c r="H50" s="366"/>
      <c r="I50" s="186"/>
      <c r="J50" s="54">
        <f>$J$58*F50</f>
        <v>639069.42739024153</v>
      </c>
      <c r="K50" s="34"/>
      <c r="L50" s="81">
        <f>IF(ISBLANK('3. Data_Input_Sheet'!U63),L18,'3. Data_Input_Sheet'!U63)</f>
        <v>2.0799999999999999E-2</v>
      </c>
      <c r="M50" s="80"/>
      <c r="N50" s="366"/>
      <c r="O50" s="186"/>
      <c r="P50" s="54">
        <f>L50*J50</f>
        <v>13292.644089717023</v>
      </c>
      <c r="Q50" s="34"/>
    </row>
    <row r="51" spans="1:17" ht="13.5" thickBot="1" x14ac:dyDescent="0.25">
      <c r="A51" s="4"/>
      <c r="B51" s="66">
        <v>10</v>
      </c>
      <c r="C51" s="34"/>
      <c r="D51" s="82" t="s">
        <v>14</v>
      </c>
      <c r="E51" s="34"/>
      <c r="F51" s="83">
        <f>SUM(F49:F50)</f>
        <v>0.60000000000000009</v>
      </c>
      <c r="G51" s="88"/>
      <c r="H51" s="86"/>
      <c r="I51" s="172"/>
      <c r="J51" s="85">
        <f>SUM(J49:J50)</f>
        <v>9586041.4108536243</v>
      </c>
      <c r="K51" s="34"/>
      <c r="L51" s="83">
        <f>IF(F51=0,0,SUMPRODUCT(F49:F50,L49:L50)/F51)</f>
        <v>3.506068356576153E-2</v>
      </c>
      <c r="M51" s="88"/>
      <c r="N51" s="34"/>
      <c r="O51" s="30"/>
      <c r="P51" s="85">
        <f>SUM(P49:P50)</f>
        <v>336093.16455422511</v>
      </c>
      <c r="Q51" s="34"/>
    </row>
    <row r="52" spans="1:17" ht="13.5" thickTop="1" x14ac:dyDescent="0.2">
      <c r="A52" s="4"/>
      <c r="B52" s="66"/>
      <c r="C52" s="34"/>
      <c r="D52" s="34"/>
      <c r="E52" s="34"/>
      <c r="F52" s="86"/>
      <c r="G52" s="86"/>
      <c r="H52" s="86"/>
      <c r="I52" s="172"/>
      <c r="J52" s="87"/>
      <c r="K52" s="34"/>
      <c r="L52" s="88"/>
      <c r="M52" s="88"/>
      <c r="N52" s="34"/>
      <c r="O52" s="30"/>
      <c r="P52" s="87"/>
      <c r="Q52" s="34"/>
    </row>
    <row r="53" spans="1:17" x14ac:dyDescent="0.2">
      <c r="A53" s="4"/>
      <c r="B53" s="66"/>
      <c r="C53" s="34"/>
      <c r="D53" s="79" t="s">
        <v>15</v>
      </c>
      <c r="E53" s="34"/>
      <c r="F53" s="86"/>
      <c r="G53" s="86"/>
      <c r="H53" s="86"/>
      <c r="I53" s="172"/>
      <c r="J53" s="87"/>
      <c r="K53" s="34"/>
      <c r="L53" s="88"/>
      <c r="M53" s="88"/>
      <c r="N53" s="34"/>
      <c r="O53" s="30"/>
      <c r="P53" s="87"/>
      <c r="Q53" s="34"/>
    </row>
    <row r="54" spans="1:17" x14ac:dyDescent="0.2">
      <c r="A54" s="4"/>
      <c r="B54" s="66">
        <v>11</v>
      </c>
      <c r="C54" s="34"/>
      <c r="D54" s="78" t="s">
        <v>16</v>
      </c>
      <c r="E54" s="34"/>
      <c r="F54" s="88">
        <f>IF(ISBLANK('3. Data_Input_Sheet'!U57),F38,'3. Data_Input_Sheet'!U57)</f>
        <v>0.4</v>
      </c>
      <c r="G54" s="86"/>
      <c r="H54" s="366"/>
      <c r="I54" s="186"/>
      <c r="J54" s="47">
        <f>$J$58*F54</f>
        <v>6390694.2739024162</v>
      </c>
      <c r="K54" s="34"/>
      <c r="L54" s="80">
        <f>IF(ISBLANK('3. Data_Input_Sheet'!U64),L22,'3. Data_Input_Sheet'!U64)</f>
        <v>8.9300000000000004E-2</v>
      </c>
      <c r="M54" s="80"/>
      <c r="N54" s="366"/>
      <c r="O54" s="186"/>
      <c r="P54" s="47">
        <f>L54*J54</f>
        <v>570688.99865948583</v>
      </c>
      <c r="Q54" s="34"/>
    </row>
    <row r="55" spans="1:17" x14ac:dyDescent="0.2">
      <c r="A55" s="4"/>
      <c r="B55" s="66">
        <v>12</v>
      </c>
      <c r="C55" s="34"/>
      <c r="D55" s="78" t="s">
        <v>17</v>
      </c>
      <c r="E55" s="34"/>
      <c r="F55" s="81">
        <f>IF(ISBLANK('3. Data_Input_Sheet'!U58),F39,'3. Data_Input_Sheet'!U58)</f>
        <v>0</v>
      </c>
      <c r="G55" s="172"/>
      <c r="H55" s="366"/>
      <c r="I55" s="186"/>
      <c r="J55" s="54">
        <f>$J$58*F55</f>
        <v>0</v>
      </c>
      <c r="K55" s="34"/>
      <c r="L55" s="81">
        <f>IF(ISBLANK('3. Data_Input_Sheet'!U65),L23,'3. Data_Input_Sheet'!U65)</f>
        <v>0</v>
      </c>
      <c r="M55" s="80"/>
      <c r="N55" s="366"/>
      <c r="O55" s="186"/>
      <c r="P55" s="54">
        <f>L55*J55</f>
        <v>0</v>
      </c>
      <c r="Q55" s="34"/>
    </row>
    <row r="56" spans="1:17" ht="13.5" thickBot="1" x14ac:dyDescent="0.25">
      <c r="A56" s="4"/>
      <c r="B56" s="66">
        <v>13</v>
      </c>
      <c r="C56" s="34"/>
      <c r="D56" s="82" t="s">
        <v>18</v>
      </c>
      <c r="E56" s="34"/>
      <c r="F56" s="83">
        <f>SUM(F54:F55)</f>
        <v>0.4</v>
      </c>
      <c r="G56" s="86"/>
      <c r="H56" s="86"/>
      <c r="I56" s="86"/>
      <c r="J56" s="85">
        <f>SUM(J54:J55)</f>
        <v>6390694.2739024162</v>
      </c>
      <c r="K56" s="34"/>
      <c r="L56" s="83">
        <f>IF(F56=0,0,SUMPRODUCT(F54:F55,L54:L55)/F56)</f>
        <v>8.9300000000000004E-2</v>
      </c>
      <c r="M56" s="88"/>
      <c r="N56" s="34"/>
      <c r="O56" s="34"/>
      <c r="P56" s="85">
        <f>SUM(P54:P55)</f>
        <v>570688.99865948583</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8">
        <f>F51+F56</f>
        <v>1</v>
      </c>
      <c r="G58" s="117"/>
      <c r="H58" s="117"/>
      <c r="I58" s="117"/>
      <c r="J58" s="95">
        <f>'4. Rate_Base'!W18</f>
        <v>15976735.684756039</v>
      </c>
      <c r="K58" s="34"/>
      <c r="L58" s="96">
        <f>(L51*F51)+(L56*F56)</f>
        <v>5.6756410139456925E-2</v>
      </c>
      <c r="M58" s="88"/>
      <c r="N58" s="34"/>
      <c r="O58" s="34"/>
      <c r="P58" s="95">
        <f>P51+P56</f>
        <v>906782.163213711</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478" t="s">
        <v>38</v>
      </c>
      <c r="C61" s="478"/>
      <c r="D61" s="478"/>
      <c r="E61" s="478"/>
      <c r="F61" s="478"/>
      <c r="G61" s="478"/>
      <c r="H61" s="478"/>
      <c r="I61" s="478"/>
      <c r="J61" s="478"/>
      <c r="K61" s="478"/>
      <c r="L61" s="478"/>
      <c r="M61" s="478"/>
      <c r="N61" s="478"/>
      <c r="O61" s="478"/>
      <c r="P61" s="478"/>
    </row>
    <row r="62" spans="1:17" ht="37.5" customHeight="1" x14ac:dyDescent="0.2">
      <c r="B62" s="11" t="s">
        <v>2</v>
      </c>
      <c r="D62" s="486" t="str">
        <f>'3. Data_Input_Sheet'!C72</f>
        <v>Data in column E is for Application as originally filed.  For updated revenue requirement as a result of interrogatory responses, technical or settlement conferences, etc., use colimn M and Adjustments in column I</v>
      </c>
      <c r="E62" s="486"/>
      <c r="F62" s="486"/>
      <c r="G62" s="486"/>
      <c r="H62" s="486"/>
      <c r="I62" s="486"/>
      <c r="J62" s="486"/>
      <c r="K62" s="486"/>
      <c r="L62" s="486"/>
      <c r="M62" s="486"/>
      <c r="N62" s="486"/>
      <c r="O62" s="486"/>
      <c r="P62" s="486"/>
    </row>
    <row r="63" spans="1:17" x14ac:dyDescent="0.2">
      <c r="B63" s="365"/>
      <c r="D63" s="457"/>
      <c r="E63" s="457"/>
      <c r="F63" s="457"/>
      <c r="G63" s="457"/>
      <c r="H63" s="457"/>
      <c r="I63" s="457"/>
      <c r="J63" s="457"/>
      <c r="K63" s="457"/>
      <c r="L63" s="457"/>
      <c r="M63" s="457"/>
      <c r="N63" s="457"/>
      <c r="O63" s="457"/>
      <c r="P63" s="457"/>
    </row>
    <row r="64" spans="1:17" x14ac:dyDescent="0.2">
      <c r="B64" s="365"/>
      <c r="D64" s="457"/>
      <c r="E64" s="457"/>
      <c r="F64" s="457"/>
      <c r="G64" s="457"/>
      <c r="H64" s="457"/>
      <c r="I64" s="457"/>
      <c r="J64" s="457"/>
      <c r="K64" s="457"/>
      <c r="L64" s="457"/>
      <c r="M64" s="457"/>
      <c r="N64" s="457"/>
      <c r="O64" s="457"/>
      <c r="P64" s="457"/>
    </row>
    <row r="65" spans="2:16" x14ac:dyDescent="0.2">
      <c r="B65" s="365"/>
      <c r="D65" s="457"/>
      <c r="E65" s="457"/>
      <c r="F65" s="457"/>
      <c r="G65" s="457"/>
      <c r="H65" s="457"/>
      <c r="I65" s="457"/>
      <c r="J65" s="457"/>
      <c r="K65" s="457"/>
      <c r="L65" s="457"/>
      <c r="M65" s="457"/>
      <c r="N65" s="457"/>
      <c r="O65" s="457"/>
      <c r="P65" s="457"/>
    </row>
    <row r="66" spans="2:16" x14ac:dyDescent="0.2">
      <c r="B66" s="365"/>
      <c r="D66" s="457"/>
      <c r="E66" s="457"/>
      <c r="F66" s="457"/>
      <c r="G66" s="457"/>
      <c r="H66" s="457"/>
      <c r="I66" s="457"/>
      <c r="J66" s="457"/>
      <c r="K66" s="457"/>
      <c r="L66" s="457"/>
      <c r="M66" s="457"/>
      <c r="N66" s="457"/>
      <c r="O66" s="457"/>
      <c r="P66" s="457"/>
    </row>
    <row r="67" spans="2:16" x14ac:dyDescent="0.2">
      <c r="B67" s="365"/>
      <c r="D67" s="457"/>
      <c r="E67" s="457"/>
      <c r="F67" s="457"/>
      <c r="G67" s="457"/>
      <c r="H67" s="457"/>
      <c r="I67" s="457"/>
      <c r="J67" s="457"/>
      <c r="K67" s="457"/>
      <c r="L67" s="457"/>
      <c r="M67" s="457"/>
      <c r="N67" s="457"/>
      <c r="O67" s="457"/>
      <c r="P67" s="457"/>
    </row>
    <row r="68" spans="2:16" x14ac:dyDescent="0.2">
      <c r="B68" s="365"/>
      <c r="D68" s="457"/>
      <c r="E68" s="457"/>
      <c r="F68" s="457"/>
      <c r="G68" s="457"/>
      <c r="H68" s="457"/>
      <c r="I68" s="457"/>
      <c r="J68" s="457"/>
      <c r="K68" s="457"/>
      <c r="L68" s="457"/>
      <c r="M68" s="457"/>
      <c r="N68" s="457"/>
      <c r="O68" s="457"/>
      <c r="P68" s="457"/>
    </row>
  </sheetData>
  <sheetProtection password="82A3" sheet="1" objects="1" scenarios="1" formatColumns="0" formatRows="0"/>
  <mergeCells count="20">
    <mergeCell ref="C1:N1"/>
    <mergeCell ref="C3:N3"/>
    <mergeCell ref="C4:J4"/>
    <mergeCell ref="C2:R2"/>
    <mergeCell ref="F13:J13"/>
    <mergeCell ref="B5:N5"/>
    <mergeCell ref="F11:J11"/>
    <mergeCell ref="D68:P68"/>
    <mergeCell ref="D66:P66"/>
    <mergeCell ref="D62:P62"/>
    <mergeCell ref="D63:P63"/>
    <mergeCell ref="D64:P64"/>
    <mergeCell ref="D65:P65"/>
    <mergeCell ref="D14:P14"/>
    <mergeCell ref="D30:P30"/>
    <mergeCell ref="F45:J45"/>
    <mergeCell ref="F29:J29"/>
    <mergeCell ref="D67:P67"/>
    <mergeCell ref="B61:P61"/>
    <mergeCell ref="D46:P46"/>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2"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1"/>
  <sheetViews>
    <sheetView showGridLines="0" view="pageBreakPreview" zoomScaleNormal="100" zoomScaleSheetLayoutView="100" workbookViewId="0">
      <selection sqref="A1:XFD1048576"/>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499"/>
      <c r="D1" s="499"/>
      <c r="E1" s="499"/>
      <c r="F1" s="499"/>
      <c r="G1" s="499"/>
      <c r="H1" s="499"/>
      <c r="I1" s="499"/>
      <c r="J1" s="499"/>
      <c r="K1" s="499"/>
      <c r="L1" s="499"/>
      <c r="M1" s="499"/>
      <c r="N1" s="499"/>
      <c r="O1" s="499"/>
      <c r="P1" s="147" t="str">
        <f>CONCATENATE('2. Table of Contents'!$F$6," ",'2. Table of Contents'!$G$6)</f>
        <v xml:space="preserve"> </v>
      </c>
    </row>
    <row r="2" spans="2:16" s="2" customFormat="1" ht="18" x14ac:dyDescent="0.25">
      <c r="C2" s="500"/>
      <c r="D2" s="500"/>
      <c r="E2" s="500"/>
      <c r="F2" s="500"/>
      <c r="G2" s="500"/>
      <c r="H2" s="500"/>
      <c r="I2" s="500"/>
      <c r="J2" s="500"/>
      <c r="K2" s="500"/>
      <c r="L2" s="500"/>
      <c r="M2" s="500"/>
      <c r="N2" s="500"/>
      <c r="O2" s="500"/>
    </row>
    <row r="3" spans="2:16" s="2" customFormat="1" ht="18" x14ac:dyDescent="0.25">
      <c r="C3" s="500"/>
      <c r="D3" s="500"/>
      <c r="E3" s="500"/>
      <c r="F3" s="500"/>
      <c r="G3" s="500"/>
      <c r="H3" s="500"/>
      <c r="I3" s="500"/>
      <c r="J3" s="500"/>
      <c r="K3" s="500"/>
      <c r="L3" s="500"/>
      <c r="M3" s="500"/>
      <c r="N3" s="500"/>
      <c r="O3" s="500"/>
    </row>
    <row r="4" spans="2:16" s="2" customFormat="1" ht="18" x14ac:dyDescent="0.25">
      <c r="C4" s="500"/>
      <c r="D4" s="500"/>
      <c r="E4" s="500"/>
      <c r="F4" s="500"/>
      <c r="G4" s="500"/>
      <c r="H4" s="500"/>
    </row>
    <row r="5" spans="2:16" s="2" customFormat="1" ht="15.75" x14ac:dyDescent="0.25">
      <c r="E5" s="3"/>
      <c r="F5" s="3"/>
    </row>
    <row r="6" spans="2:16" s="2" customFormat="1" ht="36.75" customHeight="1" x14ac:dyDescent="0.2"/>
    <row r="7" spans="2:16" ht="4.5" customHeight="1" x14ac:dyDescent="0.2"/>
    <row r="8" spans="2:16" ht="15.75" x14ac:dyDescent="0.25">
      <c r="E8" s="58"/>
      <c r="F8" s="475"/>
      <c r="G8" s="475"/>
      <c r="H8" s="475"/>
      <c r="I8" s="475"/>
      <c r="J8" s="475"/>
      <c r="K8" s="475"/>
      <c r="L8" s="475"/>
      <c r="M8" s="475"/>
      <c r="N8" s="475"/>
      <c r="O8" s="475"/>
      <c r="P8" s="475"/>
    </row>
    <row r="9" spans="2:16" ht="15.75" x14ac:dyDescent="0.25">
      <c r="E9" s="58"/>
      <c r="F9" s="59"/>
      <c r="G9" s="59"/>
      <c r="H9" s="59"/>
      <c r="I9" s="59"/>
      <c r="J9" s="59"/>
      <c r="K9" s="59"/>
      <c r="L9" s="59"/>
      <c r="M9" s="59"/>
      <c r="N9" s="59"/>
      <c r="O9" s="59"/>
      <c r="P9" s="59"/>
    </row>
    <row r="10" spans="2:16" ht="18" x14ac:dyDescent="0.25">
      <c r="B10" s="381" t="s">
        <v>252</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496" t="s">
        <v>155</v>
      </c>
      <c r="G13" s="496"/>
      <c r="H13" s="496"/>
      <c r="I13" s="310"/>
      <c r="J13" s="496" t="str">
        <f>IF(ISBLANK('3. Data_Input_Sheet'!M12),"",'3. Data_Input_Sheet'!M12)</f>
        <v>Supplementary Interrogatory Responses</v>
      </c>
      <c r="K13" s="496"/>
      <c r="L13" s="496"/>
      <c r="M13" s="310"/>
      <c r="N13" s="496" t="str">
        <f>'3. Data_Input_Sheet'!U12</f>
        <v>Per Board Decision</v>
      </c>
      <c r="O13" s="496"/>
      <c r="P13" s="496"/>
    </row>
    <row r="14" spans="2:16" ht="6" customHeight="1" x14ac:dyDescent="0.25">
      <c r="D14" s="59"/>
      <c r="E14" s="59"/>
      <c r="F14" s="310"/>
      <c r="G14" s="310"/>
      <c r="H14" s="310"/>
      <c r="I14" s="310"/>
      <c r="J14" s="310"/>
      <c r="K14" s="310"/>
      <c r="L14" s="310"/>
      <c r="M14" s="310"/>
      <c r="N14" s="310"/>
      <c r="O14" s="310"/>
      <c r="P14" s="311"/>
    </row>
    <row r="15" spans="2:16" x14ac:dyDescent="0.2">
      <c r="B15" s="503" t="s">
        <v>37</v>
      </c>
      <c r="D15" s="502" t="s">
        <v>36</v>
      </c>
      <c r="F15" s="494" t="s">
        <v>127</v>
      </c>
      <c r="G15" s="312"/>
      <c r="H15" s="492" t="s">
        <v>128</v>
      </c>
      <c r="I15" s="313"/>
      <c r="J15" s="494" t="s">
        <v>127</v>
      </c>
      <c r="K15" s="312"/>
      <c r="L15" s="492" t="s">
        <v>128</v>
      </c>
      <c r="M15" s="313"/>
      <c r="N15" s="494" t="s">
        <v>127</v>
      </c>
      <c r="O15" s="312"/>
      <c r="P15" s="492" t="s">
        <v>128</v>
      </c>
    </row>
    <row r="16" spans="2:16" ht="24.75" customHeight="1" x14ac:dyDescent="0.2">
      <c r="B16" s="504"/>
      <c r="C16" s="61"/>
      <c r="D16" s="490"/>
      <c r="E16" s="44"/>
      <c r="F16" s="495"/>
      <c r="G16" s="308"/>
      <c r="H16" s="493"/>
      <c r="I16" s="313"/>
      <c r="J16" s="495"/>
      <c r="K16" s="2"/>
      <c r="L16" s="493"/>
      <c r="M16" s="313"/>
      <c r="N16" s="495"/>
      <c r="O16" s="2"/>
      <c r="P16" s="493"/>
    </row>
    <row r="17" spans="2:18" x14ac:dyDescent="0.2">
      <c r="B17" s="62"/>
      <c r="C17" s="61"/>
      <c r="D17" s="44"/>
      <c r="E17" s="44"/>
      <c r="F17" s="63"/>
      <c r="G17" s="44"/>
      <c r="H17" s="64"/>
      <c r="J17" s="65"/>
      <c r="K17" s="66"/>
      <c r="L17" s="67"/>
      <c r="N17" s="65"/>
      <c r="O17" s="66"/>
      <c r="P17" s="67"/>
      <c r="Q17" s="139"/>
    </row>
    <row r="18" spans="2:18" x14ac:dyDescent="0.2">
      <c r="B18" s="4"/>
      <c r="D18" s="4"/>
      <c r="F18" s="65"/>
      <c r="G18" s="66"/>
      <c r="H18" s="35"/>
      <c r="J18" s="65"/>
      <c r="K18" s="66"/>
      <c r="L18" s="35"/>
      <c r="N18" s="65"/>
      <c r="O18" s="66"/>
      <c r="P18" s="35"/>
      <c r="Q18" s="139"/>
    </row>
    <row r="19" spans="2:18" x14ac:dyDescent="0.2">
      <c r="B19" s="171">
        <v>1</v>
      </c>
      <c r="D19" s="5" t="s">
        <v>149</v>
      </c>
      <c r="F19" s="204"/>
      <c r="G19" s="205"/>
      <c r="H19" s="206">
        <f>F53</f>
        <v>228212.68388080664</v>
      </c>
      <c r="I19" s="197"/>
      <c r="J19" s="204"/>
      <c r="K19" s="205"/>
      <c r="L19" s="206">
        <f>J53</f>
        <v>235754.9147855374</v>
      </c>
      <c r="M19" s="197"/>
      <c r="N19" s="204"/>
      <c r="O19" s="205"/>
      <c r="P19" s="206">
        <f>N53</f>
        <v>66102.278545330089</v>
      </c>
      <c r="Q19" s="139"/>
    </row>
    <row r="20" spans="2:18" x14ac:dyDescent="0.2">
      <c r="B20" s="171">
        <v>2</v>
      </c>
      <c r="D20" s="5" t="s">
        <v>150</v>
      </c>
      <c r="F20" s="207">
        <f>'3. Data_Input_Sheet'!E25</f>
        <v>3573629.0632676748</v>
      </c>
      <c r="G20" s="205"/>
      <c r="H20" s="206">
        <f>'3. Data_Input_Sheet'!E26-H19</f>
        <v>3573629.0632676738</v>
      </c>
      <c r="I20" s="197"/>
      <c r="J20" s="207">
        <f>IF(ISBLANK('3. Data_Input_Sheet'!M25),'3. Data_Input_Sheet'!E25,'3. Data_Input_Sheet'!M25)</f>
        <v>3584474.9676692677</v>
      </c>
      <c r="K20" s="205"/>
      <c r="L20" s="206">
        <f>IF(ISBLANK('3. Data_Input_Sheet'!M26),'3. Data_Input_Sheet'!E26-L19,'3. Data_Input_Sheet'!M26-L19)</f>
        <v>3584474.9676692677</v>
      </c>
      <c r="M20" s="197"/>
      <c r="N20" s="207">
        <f>IF(ISBLANK('3. Data_Input_Sheet'!U25),'3. Data_Input_Sheet'!M25,'3. Data_Input_Sheet'!U25)</f>
        <v>3596458.3144424534</v>
      </c>
      <c r="O20" s="205"/>
      <c r="P20" s="206">
        <f>IF(ISBLANK('3. Data_Input_Sheet'!U26),'3. Data_Input_Sheet'!M26-P19,'3. Data_Input_Sheet'!U26-P19)</f>
        <v>3596458.3177654785</v>
      </c>
      <c r="Q20" s="139"/>
    </row>
    <row r="21" spans="2:18" ht="25.5" x14ac:dyDescent="0.2">
      <c r="B21" s="171">
        <v>3</v>
      </c>
      <c r="D21" s="28" t="s">
        <v>151</v>
      </c>
      <c r="F21" s="208">
        <f>'5. Utility Income'!F50</f>
        <v>263604</v>
      </c>
      <c r="G21" s="205"/>
      <c r="H21" s="209">
        <f>'5. Utility Income'!F50</f>
        <v>263604</v>
      </c>
      <c r="I21" s="197"/>
      <c r="J21" s="208">
        <f>'5. Utility Income'!N50</f>
        <v>291800</v>
      </c>
      <c r="K21" s="205"/>
      <c r="L21" s="206">
        <f>J21</f>
        <v>291800</v>
      </c>
      <c r="M21" s="197"/>
      <c r="N21" s="208">
        <f>'5. Utility Income'!V50</f>
        <v>291800</v>
      </c>
      <c r="O21" s="205"/>
      <c r="P21" s="206">
        <f>'5. Utility Income'!V50</f>
        <v>291800</v>
      </c>
      <c r="Q21" s="139"/>
    </row>
    <row r="22" spans="2:18" ht="13.5" thickBot="1" x14ac:dyDescent="0.25">
      <c r="B22" s="171">
        <v>4</v>
      </c>
      <c r="D22" s="16" t="s">
        <v>110</v>
      </c>
      <c r="F22" s="210">
        <f>SUM(F20:F21)</f>
        <v>3837233.0632676748</v>
      </c>
      <c r="G22" s="205"/>
      <c r="H22" s="211">
        <f>SUM(H19:H21)</f>
        <v>4065445.7471484803</v>
      </c>
      <c r="I22" s="197"/>
      <c r="J22" s="212">
        <f>SUM(J20:J21)</f>
        <v>3876274.9676692677</v>
      </c>
      <c r="K22" s="205"/>
      <c r="L22" s="211">
        <f>SUM(L19:L21)</f>
        <v>4112029.8824548051</v>
      </c>
      <c r="M22" s="197"/>
      <c r="N22" s="212">
        <f>SUM(N20:N21)</f>
        <v>3888258.3144424534</v>
      </c>
      <c r="O22" s="205"/>
      <c r="P22" s="211">
        <f>SUM(P19:P21)</f>
        <v>3954360.5963108088</v>
      </c>
      <c r="Q22" s="139"/>
    </row>
    <row r="23" spans="2:18" ht="13.5" thickTop="1" x14ac:dyDescent="0.2">
      <c r="B23" s="171"/>
      <c r="F23" s="213"/>
      <c r="G23" s="205"/>
      <c r="H23" s="214"/>
      <c r="I23" s="197"/>
      <c r="J23" s="213"/>
      <c r="K23" s="205"/>
      <c r="L23" s="206"/>
      <c r="M23" s="197"/>
      <c r="N23" s="213"/>
      <c r="O23" s="205"/>
      <c r="P23" s="206"/>
      <c r="Q23" s="139"/>
    </row>
    <row r="24" spans="2:18" x14ac:dyDescent="0.2">
      <c r="B24" s="171">
        <v>5</v>
      </c>
      <c r="C24" s="15"/>
      <c r="D24" s="24" t="s">
        <v>117</v>
      </c>
      <c r="E24" s="15"/>
      <c r="F24" s="207">
        <f>'5. Utility Income'!F27</f>
        <v>3170187.4641547794</v>
      </c>
      <c r="G24" s="205"/>
      <c r="H24" s="206">
        <f>'5. Utility Income'!F27</f>
        <v>3170187.4641547794</v>
      </c>
      <c r="I24" s="197"/>
      <c r="J24" s="207">
        <f>'5. Utility Income'!N27</f>
        <v>3202596.0323814563</v>
      </c>
      <c r="K24" s="205"/>
      <c r="L24" s="206">
        <f>'5. Utility Income'!N27</f>
        <v>3202596.0323814563</v>
      </c>
      <c r="M24" s="197"/>
      <c r="N24" s="207">
        <f>'5. Utility Income'!V27</f>
        <v>3045472.0323814563</v>
      </c>
      <c r="O24" s="205"/>
      <c r="P24" s="206">
        <f>'5. Utility Income'!V27</f>
        <v>3045472.0323814563</v>
      </c>
      <c r="Q24" s="140"/>
      <c r="R24" s="15"/>
    </row>
    <row r="25" spans="2:18" x14ac:dyDescent="0.2">
      <c r="B25" s="171">
        <v>6</v>
      </c>
      <c r="C25" s="15"/>
      <c r="D25" s="24" t="s">
        <v>95</v>
      </c>
      <c r="E25" s="15"/>
      <c r="F25" s="207">
        <f>'5. Utility Income'!F30</f>
        <v>322428.15530134091</v>
      </c>
      <c r="G25" s="205"/>
      <c r="H25" s="206">
        <f>'5. Utility Income'!F30</f>
        <v>322428.15530134091</v>
      </c>
      <c r="I25" s="197"/>
      <c r="J25" s="207">
        <f>'5. Utility Income'!N30</f>
        <v>336274.35530817747</v>
      </c>
      <c r="K25" s="205"/>
      <c r="L25" s="206">
        <f>'5. Utility Income'!N30</f>
        <v>336274.35530817747</v>
      </c>
      <c r="M25" s="197"/>
      <c r="N25" s="207">
        <f>'5. Utility Income'!V30</f>
        <v>336093.16455422511</v>
      </c>
      <c r="O25" s="205"/>
      <c r="P25" s="206">
        <f>'5. Utility Income'!V30</f>
        <v>336093.16455422511</v>
      </c>
      <c r="Q25" s="140"/>
      <c r="R25" s="15"/>
    </row>
    <row r="26" spans="2:18" ht="63.75" x14ac:dyDescent="0.2">
      <c r="B26" s="171">
        <v>7</v>
      </c>
      <c r="C26" s="385"/>
      <c r="D26" s="71" t="s">
        <v>282</v>
      </c>
      <c r="E26" s="385"/>
      <c r="F26" s="207">
        <f>'3. Data_Input_Sheet'!E67</f>
        <v>-13322.688180660922</v>
      </c>
      <c r="G26" s="394" t="s">
        <v>3</v>
      </c>
      <c r="H26" s="206">
        <f>F26</f>
        <v>-13322.688180660922</v>
      </c>
      <c r="I26" s="197"/>
      <c r="J26" s="207">
        <f>'3. Data_Input_Sheet'!M67</f>
        <v>0</v>
      </c>
      <c r="K26" s="394" t="s">
        <v>3</v>
      </c>
      <c r="L26" s="206">
        <f>J26</f>
        <v>0</v>
      </c>
      <c r="M26" s="197"/>
      <c r="N26" s="207">
        <f>'3. Data_Input_Sheet'!U67</f>
        <v>0</v>
      </c>
      <c r="O26" s="394" t="s">
        <v>3</v>
      </c>
      <c r="P26" s="206">
        <f>N26</f>
        <v>0</v>
      </c>
      <c r="Q26" s="140"/>
      <c r="R26" s="385"/>
    </row>
    <row r="27" spans="2:18" ht="13.5" thickBot="1" x14ac:dyDescent="0.25">
      <c r="B27" s="171">
        <v>8</v>
      </c>
      <c r="D27" s="16" t="s">
        <v>118</v>
      </c>
      <c r="F27" s="210">
        <f>SUM(F24:F26)</f>
        <v>3479292.9312754595</v>
      </c>
      <c r="G27" s="205"/>
      <c r="H27" s="211">
        <f>SUM(H24:H26)</f>
        <v>3479292.9312754595</v>
      </c>
      <c r="I27" s="197"/>
      <c r="J27" s="212">
        <f>SUM(J24:J26)</f>
        <v>3538870.3876896338</v>
      </c>
      <c r="K27" s="205"/>
      <c r="L27" s="211">
        <f>SUM(L24:L26)</f>
        <v>3538870.3876896338</v>
      </c>
      <c r="M27" s="197"/>
      <c r="N27" s="212">
        <f>SUM(N24:N26)</f>
        <v>3381565.1969356816</v>
      </c>
      <c r="O27" s="205"/>
      <c r="P27" s="211">
        <f>SUM(P24:P26)</f>
        <v>3381565.1969356816</v>
      </c>
      <c r="Q27" s="139"/>
    </row>
    <row r="28" spans="2:18" ht="13.5" thickTop="1" x14ac:dyDescent="0.2">
      <c r="B28" s="171"/>
      <c r="D28" s="4"/>
      <c r="F28" s="207"/>
      <c r="G28" s="205"/>
      <c r="H28" s="206"/>
      <c r="I28" s="197"/>
      <c r="J28" s="213"/>
      <c r="K28" s="205"/>
      <c r="L28" s="206"/>
      <c r="M28" s="197"/>
      <c r="N28" s="213"/>
      <c r="O28" s="205"/>
      <c r="P28" s="206"/>
      <c r="Q28" s="139"/>
    </row>
    <row r="29" spans="2:18" ht="25.5" x14ac:dyDescent="0.2">
      <c r="B29" s="171">
        <v>9</v>
      </c>
      <c r="D29" s="56" t="s">
        <v>111</v>
      </c>
      <c r="F29" s="207">
        <f>F22-F27</f>
        <v>357940.13199221529</v>
      </c>
      <c r="G29" s="205"/>
      <c r="H29" s="206">
        <f>H22-H27</f>
        <v>586152.81587302079</v>
      </c>
      <c r="I29" s="197"/>
      <c r="J29" s="213">
        <f>J22-J27</f>
        <v>337404.57997963391</v>
      </c>
      <c r="K29" s="205"/>
      <c r="L29" s="206">
        <f>L22-L27</f>
        <v>573159.49476517132</v>
      </c>
      <c r="M29" s="197"/>
      <c r="N29" s="213">
        <f>N22-N27</f>
        <v>506693.11750677181</v>
      </c>
      <c r="O29" s="205"/>
      <c r="P29" s="206">
        <f>P22-P27</f>
        <v>572795.39937512716</v>
      </c>
      <c r="Q29" s="139"/>
    </row>
    <row r="30" spans="2:18" x14ac:dyDescent="0.2">
      <c r="B30" s="171"/>
      <c r="D30" s="5" t="s">
        <v>60</v>
      </c>
      <c r="F30" s="213"/>
      <c r="G30" s="205"/>
      <c r="H30" s="214"/>
      <c r="I30" s="197"/>
      <c r="J30" s="213"/>
      <c r="K30" s="205"/>
      <c r="L30" s="206"/>
      <c r="M30" s="197"/>
      <c r="N30" s="213"/>
      <c r="O30" s="205"/>
      <c r="P30" s="206"/>
      <c r="Q30" s="139"/>
    </row>
    <row r="31" spans="2:18" ht="25.5" customHeight="1" x14ac:dyDescent="0.2">
      <c r="B31" s="171">
        <v>10</v>
      </c>
      <c r="D31" s="71" t="s">
        <v>287</v>
      </c>
      <c r="F31" s="208">
        <f>'3. Data_Input_Sheet'!E44</f>
        <v>-579842.76603918872</v>
      </c>
      <c r="G31" s="205"/>
      <c r="H31" s="209">
        <f>'3. Data_Input_Sheet'!E44</f>
        <v>-579842.76603918872</v>
      </c>
      <c r="I31" s="197"/>
      <c r="J31" s="208">
        <f>IF(ISBLANK('3. Data_Input_Sheet'!M44),'3. Data_Input_Sheet'!E44,'3. Data_Input_Sheet'!M44)</f>
        <v>-559205.73545457912</v>
      </c>
      <c r="K31" s="205"/>
      <c r="L31" s="209">
        <f>IF(ISBLANK('3. Data_Input_Sheet'!M44),'3. Data_Input_Sheet'!E44,'3. Data_Input_Sheet'!M44)</f>
        <v>-559205.73545457912</v>
      </c>
      <c r="M31" s="197"/>
      <c r="N31" s="208">
        <f>IF(ISBLANK('3. Data_Input_Sheet'!U44),'3. Data_Input_Sheet'!M44,'3. Data_Input_Sheet'!U44)</f>
        <v>-559205.73545457912</v>
      </c>
      <c r="O31" s="205"/>
      <c r="P31" s="209">
        <f>IF(ISBLANK('3. Data_Input_Sheet'!U44),'3. Data_Input_Sheet'!M44,'3. Data_Input_Sheet'!U44)</f>
        <v>-559205.73545457912</v>
      </c>
      <c r="Q31" s="139"/>
    </row>
    <row r="32" spans="2:18" x14ac:dyDescent="0.2">
      <c r="B32" s="171">
        <v>11</v>
      </c>
      <c r="D32" s="16" t="s">
        <v>115</v>
      </c>
      <c r="F32" s="213">
        <f>SUM(F29:F31)</f>
        <v>-221902.63404697343</v>
      </c>
      <c r="G32" s="205"/>
      <c r="H32" s="214">
        <f>SUM(H29:H31)</f>
        <v>6310.0498338320758</v>
      </c>
      <c r="I32" s="197"/>
      <c r="J32" s="213">
        <f>SUM(J29+J31)</f>
        <v>-221801.1554749452</v>
      </c>
      <c r="K32" s="205"/>
      <c r="L32" s="206">
        <f>L29+L31</f>
        <v>13953.759310592199</v>
      </c>
      <c r="M32" s="197"/>
      <c r="N32" s="213">
        <f>SUM(N29+N31)</f>
        <v>-52512.617947807303</v>
      </c>
      <c r="O32" s="205"/>
      <c r="P32" s="206">
        <f>P29+P31</f>
        <v>13589.663920548046</v>
      </c>
      <c r="Q32" s="139"/>
    </row>
    <row r="33" spans="2:17" x14ac:dyDescent="0.2">
      <c r="B33" s="171"/>
      <c r="D33" s="4"/>
      <c r="F33" s="213"/>
      <c r="G33" s="205"/>
      <c r="H33" s="214"/>
      <c r="I33" s="197"/>
      <c r="J33" s="213"/>
      <c r="K33" s="205"/>
      <c r="L33" s="214"/>
      <c r="M33" s="197"/>
      <c r="N33" s="213"/>
      <c r="O33" s="205"/>
      <c r="P33" s="214"/>
      <c r="Q33" s="139"/>
    </row>
    <row r="34" spans="2:17" x14ac:dyDescent="0.2">
      <c r="B34" s="171">
        <v>12</v>
      </c>
      <c r="D34" s="25" t="s">
        <v>152</v>
      </c>
      <c r="F34" s="215">
        <f>'6. Taxes_PILs'!G41</f>
        <v>0.155</v>
      </c>
      <c r="G34" s="216"/>
      <c r="H34" s="203">
        <f>'6. Taxes_PILs'!G41</f>
        <v>0.155</v>
      </c>
      <c r="I34" s="217"/>
      <c r="J34" s="215">
        <f>'6. Taxes_PILs'!K41</f>
        <v>0.155</v>
      </c>
      <c r="K34" s="216"/>
      <c r="L34" s="203">
        <f>'6. Taxes_PILs'!K41</f>
        <v>0.155</v>
      </c>
      <c r="M34" s="217"/>
      <c r="N34" s="215">
        <f>'6. Taxes_PILs'!O41</f>
        <v>0.155</v>
      </c>
      <c r="O34" s="216"/>
      <c r="P34" s="203">
        <f>'6. Taxes_PILs'!O41</f>
        <v>0.155</v>
      </c>
      <c r="Q34" s="139"/>
    </row>
    <row r="35" spans="2:17" ht="25.5" x14ac:dyDescent="0.2">
      <c r="B35" s="171">
        <v>13</v>
      </c>
      <c r="D35" s="166" t="s">
        <v>153</v>
      </c>
      <c r="F35" s="207">
        <f>F32*F34</f>
        <v>-34394.908277280883</v>
      </c>
      <c r="G35" s="205"/>
      <c r="H35" s="206">
        <f>H32*H34</f>
        <v>978.05772424397173</v>
      </c>
      <c r="I35" s="197"/>
      <c r="J35" s="213">
        <f>J32*J34</f>
        <v>-34379.179098616507</v>
      </c>
      <c r="K35" s="205"/>
      <c r="L35" s="206">
        <f>L32*L34</f>
        <v>2162.832693141791</v>
      </c>
      <c r="M35" s="197"/>
      <c r="N35" s="213">
        <f>N32*N34</f>
        <v>-8139.4557819101319</v>
      </c>
      <c r="O35" s="205"/>
      <c r="P35" s="206">
        <f>P32*P34</f>
        <v>2106.3979076849473</v>
      </c>
      <c r="Q35" s="139"/>
    </row>
    <row r="36" spans="2:17" x14ac:dyDescent="0.2">
      <c r="B36" s="171">
        <v>14</v>
      </c>
      <c r="D36" s="4" t="s">
        <v>116</v>
      </c>
      <c r="F36" s="207">
        <f>'3. Data_Input_Sheet'!E51</f>
        <v>0</v>
      </c>
      <c r="G36" s="205"/>
      <c r="H36" s="206">
        <f>'3. Data_Input_Sheet'!E51</f>
        <v>0</v>
      </c>
      <c r="I36" s="197"/>
      <c r="J36" s="207">
        <f>IF(ISBLANK('3. Data_Input_Sheet'!M51),'3. Data_Input_Sheet'!E51,'3. Data_Input_Sheet'!M51)</f>
        <v>0</v>
      </c>
      <c r="K36" s="205"/>
      <c r="L36" s="206">
        <f>IF(ISBLANK('3. Data_Input_Sheet'!M51),'3. Data_Input_Sheet'!E51,'3. Data_Input_Sheet'!M51)</f>
        <v>0</v>
      </c>
      <c r="M36" s="197"/>
      <c r="N36" s="207">
        <f>IF(ISBLANK('3. Data_Input_Sheet'!U51),'3. Data_Input_Sheet'!M51,'3. Data_Input_Sheet'!U51)</f>
        <v>0</v>
      </c>
      <c r="O36" s="205"/>
      <c r="P36" s="206">
        <f>IF(ISBLANK('3. Data_Input_Sheet'!U51),'3. Data_Input_Sheet'!M51,'3. Data_Input_Sheet'!U51)</f>
        <v>0</v>
      </c>
      <c r="Q36" s="139"/>
    </row>
    <row r="37" spans="2:17" ht="13.5" thickBot="1" x14ac:dyDescent="0.25">
      <c r="B37" s="171">
        <v>15</v>
      </c>
      <c r="D37" s="16" t="s">
        <v>112</v>
      </c>
      <c r="F37" s="210">
        <f>F29-SUM(F35:F36)</f>
        <v>392335.04026949615</v>
      </c>
      <c r="G37" s="205"/>
      <c r="H37" s="211">
        <f>'5. Utility Income'!F39</f>
        <v>585174.75814877672</v>
      </c>
      <c r="I37" s="197"/>
      <c r="J37" s="212">
        <f>J29-SUM(J35:J36)</f>
        <v>371783.75907825044</v>
      </c>
      <c r="K37" s="205"/>
      <c r="L37" s="211">
        <f>'5. Utility Income'!N39</f>
        <v>570996.66207202955</v>
      </c>
      <c r="M37" s="197"/>
      <c r="N37" s="212">
        <f>N29-SUM(N35:N36)</f>
        <v>514832.57328868192</v>
      </c>
      <c r="O37" s="205"/>
      <c r="P37" s="211">
        <f>'5. Utility Income'!V39</f>
        <v>570689.00163859117</v>
      </c>
      <c r="Q37" s="139"/>
    </row>
    <row r="38" spans="2:17" ht="13.5" thickTop="1" x14ac:dyDescent="0.2">
      <c r="B38" s="171"/>
      <c r="F38" s="213"/>
      <c r="G38" s="205"/>
      <c r="H38" s="214"/>
      <c r="I38" s="197"/>
      <c r="J38" s="213"/>
      <c r="K38" s="205"/>
      <c r="L38" s="214"/>
      <c r="M38" s="197"/>
      <c r="N38" s="213"/>
      <c r="O38" s="205"/>
      <c r="P38" s="214"/>
      <c r="Q38" s="139"/>
    </row>
    <row r="39" spans="2:17" x14ac:dyDescent="0.2">
      <c r="B39" s="171">
        <v>16</v>
      </c>
      <c r="D39" s="16" t="s">
        <v>48</v>
      </c>
      <c r="F39" s="207">
        <f>'4. Rate_Base'!G18</f>
        <v>16040974.729955528</v>
      </c>
      <c r="G39" s="205"/>
      <c r="H39" s="206">
        <f>'4. Rate_Base'!G18</f>
        <v>16040974.729955528</v>
      </c>
      <c r="I39" s="197"/>
      <c r="J39" s="207">
        <f>'4. Rate_Base'!O18</f>
        <v>15985348.882195674</v>
      </c>
      <c r="K39" s="205"/>
      <c r="L39" s="206">
        <f>'4. Rate_Base'!O18</f>
        <v>15985348.882195674</v>
      </c>
      <c r="M39" s="197"/>
      <c r="N39" s="207">
        <f>'4. Rate_Base'!W18</f>
        <v>15976735.684756039</v>
      </c>
      <c r="O39" s="205"/>
      <c r="P39" s="206">
        <f>'4. Rate_Base'!W18</f>
        <v>15976735.684756039</v>
      </c>
      <c r="Q39" s="139"/>
    </row>
    <row r="40" spans="2:17" x14ac:dyDescent="0.2">
      <c r="B40" s="171"/>
      <c r="D40" s="4"/>
      <c r="F40" s="207"/>
      <c r="G40" s="205"/>
      <c r="H40" s="206"/>
      <c r="I40" s="197"/>
      <c r="J40" s="213"/>
      <c r="K40" s="205"/>
      <c r="L40" s="206"/>
      <c r="M40" s="197"/>
      <c r="N40" s="213"/>
      <c r="O40" s="205"/>
      <c r="P40" s="206"/>
      <c r="Q40" s="139"/>
    </row>
    <row r="41" spans="2:17" ht="25.5" x14ac:dyDescent="0.2">
      <c r="B41" s="171">
        <v>17</v>
      </c>
      <c r="D41" s="167" t="s">
        <v>132</v>
      </c>
      <c r="E41" s="72"/>
      <c r="F41" s="218">
        <f>'7. Cost_of_Capital'!J24</f>
        <v>6416389.8919822117</v>
      </c>
      <c r="G41" s="219"/>
      <c r="H41" s="220">
        <f>F41</f>
        <v>6416389.8919822117</v>
      </c>
      <c r="I41" s="197"/>
      <c r="J41" s="207">
        <f>'7. Cost_of_Capital'!J40</f>
        <v>6394139.5528782699</v>
      </c>
      <c r="K41" s="205"/>
      <c r="L41" s="214">
        <f>J41</f>
        <v>6394139.5528782699</v>
      </c>
      <c r="M41" s="197"/>
      <c r="N41" s="207">
        <f>'7. Cost_of_Capital'!J56</f>
        <v>6390694.2739024162</v>
      </c>
      <c r="O41" s="205"/>
      <c r="P41" s="214">
        <f>N41</f>
        <v>6390694.2739024162</v>
      </c>
      <c r="Q41" s="139"/>
    </row>
    <row r="42" spans="2:17" x14ac:dyDescent="0.2">
      <c r="B42" s="171"/>
      <c r="D42" s="72"/>
      <c r="E42" s="72"/>
      <c r="F42" s="221"/>
      <c r="G42" s="219"/>
      <c r="H42" s="222"/>
      <c r="I42" s="197"/>
      <c r="J42" s="204"/>
      <c r="K42" s="205"/>
      <c r="L42" s="199"/>
      <c r="M42" s="197"/>
      <c r="N42" s="204"/>
      <c r="O42" s="205"/>
      <c r="P42" s="199"/>
      <c r="Q42" s="139"/>
    </row>
    <row r="43" spans="2:17" ht="25.5" x14ac:dyDescent="0.2">
      <c r="B43" s="171">
        <v>18</v>
      </c>
      <c r="D43" s="28" t="s">
        <v>235</v>
      </c>
      <c r="F43" s="215">
        <f>IF(F41=0,0,F37/F41)</f>
        <v>6.1145760602819649E-2</v>
      </c>
      <c r="G43" s="205"/>
      <c r="H43" s="203">
        <f>IF(H41=0,0,H37/H41)</f>
        <v>9.1199999999999851E-2</v>
      </c>
      <c r="I43" s="197"/>
      <c r="J43" s="215">
        <f>IF(J41=0,0,J37/J41)</f>
        <v>5.8144454934658876E-2</v>
      </c>
      <c r="K43" s="205"/>
      <c r="L43" s="203">
        <f>IF(L41=0,0,L37/L41)</f>
        <v>8.9300000000000004E-2</v>
      </c>
      <c r="M43" s="197"/>
      <c r="N43" s="215">
        <f>IF(N41=0,0,N37/N41)</f>
        <v>8.0559725003759936E-2</v>
      </c>
      <c r="O43" s="205"/>
      <c r="P43" s="203">
        <f>IF(P41=0,0,P37/P41)</f>
        <v>8.9300000466163029E-2</v>
      </c>
      <c r="Q43" s="139"/>
    </row>
    <row r="44" spans="2:17" ht="25.5" x14ac:dyDescent="0.2">
      <c r="B44" s="171">
        <v>19</v>
      </c>
      <c r="D44" s="28" t="s">
        <v>119</v>
      </c>
      <c r="F44" s="223">
        <f>'7. Cost_of_Capital'!L24</f>
        <v>9.1200000000000003E-2</v>
      </c>
      <c r="G44" s="205"/>
      <c r="H44" s="224">
        <f>'7. Cost_of_Capital'!L24</f>
        <v>9.1200000000000003E-2</v>
      </c>
      <c r="I44" s="197"/>
      <c r="J44" s="225">
        <f>'7. Cost_of_Capital'!L40</f>
        <v>8.9300000000000004E-2</v>
      </c>
      <c r="K44" s="205"/>
      <c r="L44" s="224">
        <f>'7. Cost_of_Capital'!L40</f>
        <v>8.9300000000000004E-2</v>
      </c>
      <c r="M44" s="197"/>
      <c r="N44" s="225">
        <f>'7. Cost_of_Capital'!L56</f>
        <v>8.9300000000000004E-2</v>
      </c>
      <c r="O44" s="205"/>
      <c r="P44" s="224">
        <f>'7. Cost_of_Capital'!L56</f>
        <v>8.9300000000000004E-2</v>
      </c>
      <c r="Q44" s="139"/>
    </row>
    <row r="45" spans="2:17" ht="25.5" x14ac:dyDescent="0.2">
      <c r="B45" s="171">
        <v>20</v>
      </c>
      <c r="D45" s="28" t="s">
        <v>230</v>
      </c>
      <c r="F45" s="215">
        <f>F43-F44</f>
        <v>-3.0054239397180355E-2</v>
      </c>
      <c r="G45" s="205"/>
      <c r="H45" s="203">
        <f>H43-H44</f>
        <v>-1.5265566588595902E-16</v>
      </c>
      <c r="I45" s="197"/>
      <c r="J45" s="226">
        <f>J43-J44</f>
        <v>-3.1155545065341128E-2</v>
      </c>
      <c r="K45" s="205"/>
      <c r="L45" s="203">
        <f>L43-L44</f>
        <v>0</v>
      </c>
      <c r="M45" s="197"/>
      <c r="N45" s="226">
        <f>N43-N44</f>
        <v>-8.7402749962400689E-3</v>
      </c>
      <c r="O45" s="205"/>
      <c r="P45" s="203">
        <f>P43-P44</f>
        <v>4.6616302484814298E-10</v>
      </c>
      <c r="Q45" s="139"/>
    </row>
    <row r="46" spans="2:17" x14ac:dyDescent="0.2">
      <c r="B46" s="171"/>
      <c r="F46" s="215"/>
      <c r="G46" s="205"/>
      <c r="H46" s="203"/>
      <c r="I46" s="197"/>
      <c r="J46" s="204"/>
      <c r="K46" s="205"/>
      <c r="L46" s="199"/>
      <c r="M46" s="197"/>
      <c r="N46" s="204"/>
      <c r="O46" s="205"/>
      <c r="P46" s="199"/>
      <c r="Q46" s="139"/>
    </row>
    <row r="47" spans="2:17" x14ac:dyDescent="0.2">
      <c r="B47" s="171">
        <v>21</v>
      </c>
      <c r="D47" s="5" t="s">
        <v>49</v>
      </c>
      <c r="F47" s="215">
        <f>IF(F39=0,0,(F37+F25)/F39)</f>
        <v>4.4558588714441461E-2</v>
      </c>
      <c r="G47" s="205"/>
      <c r="H47" s="203">
        <f>IF(H39=0,0,(H37+H25)/H39)</f>
        <v>5.6580284473313543E-2</v>
      </c>
      <c r="I47" s="197"/>
      <c r="J47" s="215">
        <f>IF(J39=0,0,(J37+J25)/J39)</f>
        <v>4.4294192113320474E-2</v>
      </c>
      <c r="K47" s="205"/>
      <c r="L47" s="203">
        <f>IF(L41=0,0,(L37+L25)/L39)</f>
        <v>5.6756410139456932E-2</v>
      </c>
      <c r="M47" s="197"/>
      <c r="N47" s="215">
        <f>IF(N39=0,0,(N37+N25)/N39)</f>
        <v>5.3260300140960892E-2</v>
      </c>
      <c r="O47" s="205"/>
      <c r="P47" s="203">
        <f>IF(P41=0,0,(P37+P25)/P39)</f>
        <v>5.6756410325922137E-2</v>
      </c>
      <c r="Q47" s="139"/>
    </row>
    <row r="48" spans="2:17" ht="25.5" x14ac:dyDescent="0.2">
      <c r="B48" s="171">
        <v>22</v>
      </c>
      <c r="D48" s="28" t="s">
        <v>120</v>
      </c>
      <c r="F48" s="225">
        <f>'7. Cost_of_Capital'!L26</f>
        <v>5.6580284473313605E-2</v>
      </c>
      <c r="G48" s="205"/>
      <c r="H48" s="227">
        <f>'7. Cost_of_Capital'!L26</f>
        <v>5.6580284473313605E-2</v>
      </c>
      <c r="I48" s="197"/>
      <c r="J48" s="225">
        <f>'7. Cost_of_Capital'!L42</f>
        <v>5.6756410139456925E-2</v>
      </c>
      <c r="K48" s="205"/>
      <c r="L48" s="224">
        <f>'7. Cost_of_Capital'!L42</f>
        <v>5.6756410139456925E-2</v>
      </c>
      <c r="M48" s="197"/>
      <c r="N48" s="225">
        <f>'7. Cost_of_Capital'!L58</f>
        <v>5.6756410139456925E-2</v>
      </c>
      <c r="O48" s="205"/>
      <c r="P48" s="224">
        <f>'7. Cost_of_Capital'!L58</f>
        <v>5.6756410139456925E-2</v>
      </c>
      <c r="Q48" s="139"/>
    </row>
    <row r="49" spans="2:17" ht="25.5" x14ac:dyDescent="0.2">
      <c r="B49" s="171">
        <v>23</v>
      </c>
      <c r="D49" s="28" t="s">
        <v>231</v>
      </c>
      <c r="F49" s="226">
        <f>F47-F48</f>
        <v>-1.2021695758872145E-2</v>
      </c>
      <c r="G49" s="205"/>
      <c r="H49" s="228">
        <f>H47-H48</f>
        <v>-6.2450045135165055E-17</v>
      </c>
      <c r="I49" s="197"/>
      <c r="J49" s="226">
        <f>J47-J48</f>
        <v>-1.2462218026136451E-2</v>
      </c>
      <c r="K49" s="205"/>
      <c r="L49" s="228">
        <f>L47-L48</f>
        <v>0</v>
      </c>
      <c r="M49" s="197"/>
      <c r="N49" s="226">
        <f>N47-N48</f>
        <v>-3.4961099984960331E-3</v>
      </c>
      <c r="O49" s="205"/>
      <c r="P49" s="228">
        <f>P47-P48</f>
        <v>1.8646521132703597E-10</v>
      </c>
      <c r="Q49" s="139"/>
    </row>
    <row r="50" spans="2:17" x14ac:dyDescent="0.2">
      <c r="B50" s="171"/>
      <c r="F50" s="204"/>
      <c r="G50" s="205"/>
      <c r="H50" s="199"/>
      <c r="I50" s="197"/>
      <c r="J50" s="204"/>
      <c r="K50" s="205"/>
      <c r="L50" s="199"/>
      <c r="M50" s="197"/>
      <c r="N50" s="204"/>
      <c r="O50" s="205"/>
      <c r="P50" s="199"/>
      <c r="Q50" s="139"/>
    </row>
    <row r="51" spans="2:17" x14ac:dyDescent="0.2">
      <c r="B51" s="171">
        <v>24</v>
      </c>
      <c r="D51" s="5" t="s">
        <v>130</v>
      </c>
      <c r="F51" s="207">
        <f>H51</f>
        <v>585174.75814877776</v>
      </c>
      <c r="G51" s="229"/>
      <c r="H51" s="206">
        <f>'7. Cost_of_Capital'!P24</f>
        <v>585174.75814877776</v>
      </c>
      <c r="I51" s="230"/>
      <c r="J51" s="207">
        <f>L51</f>
        <v>570996.66207202955</v>
      </c>
      <c r="K51" s="229"/>
      <c r="L51" s="206">
        <f>'7. Cost_of_Capital'!P40</f>
        <v>570996.66207202955</v>
      </c>
      <c r="M51" s="230"/>
      <c r="N51" s="207">
        <f>P51</f>
        <v>570688.99865948583</v>
      </c>
      <c r="O51" s="229"/>
      <c r="P51" s="206">
        <f>'7. Cost_of_Capital'!P56</f>
        <v>570688.99865948583</v>
      </c>
      <c r="Q51" s="139"/>
    </row>
    <row r="52" spans="2:17" x14ac:dyDescent="0.2">
      <c r="B52" s="171">
        <v>25</v>
      </c>
      <c r="D52" s="5" t="s">
        <v>161</v>
      </c>
      <c r="F52" s="207">
        <f>F51-F37</f>
        <v>192839.71787928161</v>
      </c>
      <c r="G52" s="229" t="s">
        <v>121</v>
      </c>
      <c r="H52" s="214">
        <f>H39*H49</f>
        <v>-1.0017595958977648E-9</v>
      </c>
      <c r="I52" s="230"/>
      <c r="J52" s="207">
        <f>J51-J37</f>
        <v>199212.90299377911</v>
      </c>
      <c r="K52" s="229"/>
      <c r="L52" s="214">
        <f>L39*L49</f>
        <v>0</v>
      </c>
      <c r="M52" s="230"/>
      <c r="N52" s="207">
        <f>N51-N37</f>
        <v>55856.425370803918</v>
      </c>
      <c r="O52" s="229"/>
      <c r="P52" s="214">
        <f>P39*P49</f>
        <v>2.9791053957742317E-3</v>
      </c>
      <c r="Q52" s="139"/>
    </row>
    <row r="53" spans="2:17" ht="25.5" x14ac:dyDescent="0.2">
      <c r="B53" s="171">
        <v>26</v>
      </c>
      <c r="D53" s="56" t="s">
        <v>160</v>
      </c>
      <c r="F53" s="208">
        <f>F52/(1-F34)</f>
        <v>228212.68388080664</v>
      </c>
      <c r="G53" s="231" t="s">
        <v>2</v>
      </c>
      <c r="H53" s="232"/>
      <c r="I53" s="230"/>
      <c r="J53" s="208">
        <f>J52/(1-J34)</f>
        <v>235754.9147855374</v>
      </c>
      <c r="K53" s="231" t="s">
        <v>2</v>
      </c>
      <c r="L53" s="232"/>
      <c r="M53" s="230"/>
      <c r="N53" s="208">
        <f>N52/(1-N34)</f>
        <v>66102.278545330089</v>
      </c>
      <c r="O53" s="231" t="s">
        <v>2</v>
      </c>
      <c r="P53" s="232"/>
    </row>
    <row r="56" spans="2:17" x14ac:dyDescent="0.2">
      <c r="B56" s="501" t="s">
        <v>42</v>
      </c>
      <c r="C56" s="501"/>
      <c r="D56" s="501"/>
      <c r="E56" s="501"/>
      <c r="F56" s="501"/>
      <c r="G56" s="501"/>
      <c r="H56" s="501"/>
      <c r="I56" s="501"/>
      <c r="J56" s="74"/>
      <c r="K56" s="74"/>
      <c r="L56" s="74"/>
      <c r="M56" s="74"/>
      <c r="N56" s="74"/>
      <c r="O56" s="74"/>
    </row>
    <row r="57" spans="2:17" x14ac:dyDescent="0.2">
      <c r="B57" s="18" t="s">
        <v>2</v>
      </c>
      <c r="D57" s="439" t="s">
        <v>234</v>
      </c>
      <c r="E57" s="439"/>
      <c r="F57" s="439"/>
      <c r="G57" s="439"/>
      <c r="H57" s="439"/>
      <c r="I57" s="439"/>
      <c r="J57" s="439"/>
      <c r="K57" s="439"/>
      <c r="L57" s="439"/>
      <c r="M57" s="439"/>
      <c r="N57" s="439"/>
      <c r="O57" s="439"/>
      <c r="P57" s="439"/>
    </row>
    <row r="58" spans="2:17" x14ac:dyDescent="0.2">
      <c r="B58" s="18" t="s">
        <v>3</v>
      </c>
      <c r="D58" s="497" t="s">
        <v>288</v>
      </c>
      <c r="E58" s="498"/>
      <c r="F58" s="498"/>
      <c r="G58" s="498"/>
      <c r="H58" s="498"/>
      <c r="I58" s="498"/>
      <c r="J58" s="498"/>
      <c r="K58" s="498"/>
      <c r="L58" s="498"/>
      <c r="M58" s="498"/>
      <c r="N58" s="498"/>
      <c r="O58" s="498"/>
      <c r="P58" s="498"/>
    </row>
    <row r="59" spans="2:17" x14ac:dyDescent="0.2">
      <c r="B59" s="365"/>
      <c r="D59" s="491"/>
      <c r="E59" s="491"/>
      <c r="F59" s="491"/>
      <c r="G59" s="491"/>
      <c r="H59" s="491"/>
      <c r="I59" s="491"/>
      <c r="J59" s="491"/>
      <c r="K59" s="491"/>
      <c r="L59" s="491"/>
      <c r="M59" s="491"/>
      <c r="N59" s="491"/>
      <c r="O59" s="491"/>
      <c r="P59" s="491"/>
    </row>
    <row r="60" spans="2:17" x14ac:dyDescent="0.2">
      <c r="B60" s="365"/>
      <c r="D60" s="491"/>
      <c r="E60" s="491"/>
      <c r="F60" s="491"/>
      <c r="G60" s="491"/>
      <c r="H60" s="491"/>
      <c r="I60" s="491"/>
      <c r="J60" s="491"/>
      <c r="K60" s="491"/>
      <c r="L60" s="491"/>
      <c r="M60" s="491"/>
      <c r="N60" s="491"/>
      <c r="O60" s="491"/>
      <c r="P60" s="491"/>
    </row>
    <row r="61" spans="2:17" x14ac:dyDescent="0.2">
      <c r="B61" s="365"/>
      <c r="D61" s="491"/>
      <c r="E61" s="491"/>
      <c r="F61" s="491"/>
      <c r="G61" s="491"/>
      <c r="H61" s="491"/>
      <c r="I61" s="491"/>
      <c r="J61" s="491"/>
      <c r="K61" s="491"/>
      <c r="L61" s="491"/>
      <c r="M61" s="491"/>
      <c r="N61" s="491"/>
      <c r="O61" s="491"/>
      <c r="P61" s="491"/>
    </row>
  </sheetData>
  <sheetProtection password="82A3" sheet="1" objects="1" scenarios="1" formatColumns="0" formatRows="0"/>
  <mergeCells count="22">
    <mergeCell ref="C1:O1"/>
    <mergeCell ref="C2:O2"/>
    <mergeCell ref="C3:O3"/>
    <mergeCell ref="C4:H4"/>
    <mergeCell ref="B56:I56"/>
    <mergeCell ref="D15:D16"/>
    <mergeCell ref="B15:B16"/>
    <mergeCell ref="F13:H13"/>
    <mergeCell ref="D61:P61"/>
    <mergeCell ref="D57:P57"/>
    <mergeCell ref="D59:P59"/>
    <mergeCell ref="D60:P60"/>
    <mergeCell ref="F8:P8"/>
    <mergeCell ref="H15:H16"/>
    <mergeCell ref="P15:P16"/>
    <mergeCell ref="F15:F16"/>
    <mergeCell ref="N13:P13"/>
    <mergeCell ref="N15:N16"/>
    <mergeCell ref="J13:L13"/>
    <mergeCell ref="J15:J16"/>
    <mergeCell ref="L15:L16"/>
    <mergeCell ref="D58:P58"/>
  </mergeCells>
  <phoneticPr fontId="2" type="noConversion"/>
  <conditionalFormatting sqref="J13:L13">
    <cfRule type="cellIs" dxfId="1"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6"/>
  <sheetViews>
    <sheetView showGridLines="0" view="pageBreakPreview" topLeftCell="A7" zoomScaleNormal="120" zoomScaleSheetLayoutView="100" workbookViewId="0">
      <selection activeCell="D26" sqref="D26"/>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35"/>
      <c r="D1" s="435"/>
      <c r="E1" s="435"/>
      <c r="F1" s="435"/>
      <c r="G1" s="435"/>
      <c r="H1" s="435"/>
      <c r="I1" s="435"/>
      <c r="J1" s="435"/>
      <c r="K1" s="435"/>
      <c r="L1" s="435"/>
      <c r="M1" s="435"/>
      <c r="N1" s="435"/>
      <c r="O1" s="508"/>
      <c r="P1" s="508"/>
      <c r="Q1" s="508"/>
      <c r="R1" s="1"/>
    </row>
    <row r="2" spans="2:18" s="2" customFormat="1" ht="18" x14ac:dyDescent="0.25">
      <c r="C2" s="488"/>
      <c r="D2" s="488"/>
      <c r="E2" s="488"/>
      <c r="F2" s="488"/>
      <c r="G2" s="488"/>
      <c r="H2" s="488"/>
      <c r="I2" s="488"/>
      <c r="J2" s="488"/>
      <c r="K2" s="488"/>
      <c r="L2" s="488"/>
      <c r="M2" s="488"/>
      <c r="N2" s="488"/>
      <c r="O2" s="488"/>
      <c r="P2" s="488"/>
      <c r="Q2" s="488"/>
      <c r="R2" s="488"/>
    </row>
    <row r="3" spans="2:18" s="2" customFormat="1" ht="18" x14ac:dyDescent="0.25">
      <c r="C3" s="488"/>
      <c r="D3" s="488"/>
      <c r="E3" s="488"/>
      <c r="F3" s="488"/>
      <c r="G3" s="488"/>
      <c r="H3" s="488"/>
      <c r="I3" s="488"/>
      <c r="J3" s="488"/>
      <c r="K3" s="488"/>
      <c r="L3" s="488"/>
      <c r="M3" s="488"/>
      <c r="N3" s="488"/>
      <c r="O3" s="488"/>
      <c r="P3" s="488"/>
      <c r="Q3" s="488"/>
      <c r="R3" s="488"/>
    </row>
    <row r="4" spans="2:18" s="2" customFormat="1" ht="18" x14ac:dyDescent="0.25">
      <c r="C4" s="488"/>
      <c r="D4" s="488"/>
      <c r="E4" s="488"/>
      <c r="F4" s="488"/>
      <c r="G4" s="488"/>
      <c r="H4" s="488"/>
      <c r="I4" s="488"/>
      <c r="J4" s="488"/>
      <c r="K4" s="488"/>
      <c r="L4" s="488"/>
      <c r="M4" s="488"/>
      <c r="N4" s="488"/>
      <c r="O4" s="38"/>
      <c r="P4" s="38"/>
      <c r="Q4" s="38"/>
      <c r="R4" s="38"/>
    </row>
    <row r="5" spans="2:18" s="2" customFormat="1" ht="15.75" x14ac:dyDescent="0.25">
      <c r="E5" s="3"/>
      <c r="F5" s="3"/>
      <c r="G5" s="3"/>
    </row>
    <row r="6" spans="2:18" s="2" customFormat="1" x14ac:dyDescent="0.2"/>
    <row r="8" spans="2:18" ht="15.75" x14ac:dyDescent="0.2">
      <c r="D8" s="25"/>
      <c r="F8" s="520"/>
      <c r="G8" s="520"/>
      <c r="H8" s="520"/>
      <c r="I8" s="520"/>
      <c r="J8" s="520"/>
      <c r="K8" s="520"/>
      <c r="L8" s="520"/>
      <c r="M8" s="520"/>
      <c r="N8" s="520"/>
      <c r="O8" s="520"/>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2" t="s">
        <v>251</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91" t="s">
        <v>37</v>
      </c>
      <c r="D13" s="42" t="s">
        <v>36</v>
      </c>
      <c r="F13" s="307" t="s">
        <v>23</v>
      </c>
      <c r="G13" s="308"/>
      <c r="H13" s="308"/>
      <c r="I13" s="308"/>
      <c r="J13" s="309" t="str">
        <f>IF(ISBLANK('3. Data_Input_Sheet'!M12),"",'3. Data_Input_Sheet'!M12)</f>
        <v>Supplementary Interrogatory Responses</v>
      </c>
      <c r="K13" s="308"/>
      <c r="L13" s="308"/>
      <c r="M13" s="308"/>
      <c r="N13" s="519" t="str">
        <f>'3. Data_Input_Sheet'!U12</f>
        <v>Per Board Decision</v>
      </c>
      <c r="O13" s="519"/>
      <c r="P13" s="145"/>
    </row>
    <row r="14" spans="2:18" ht="14.25" customHeight="1" x14ac:dyDescent="0.2">
      <c r="B14" s="398"/>
      <c r="D14" s="44"/>
      <c r="F14" s="44"/>
      <c r="G14" s="44"/>
      <c r="H14" s="44"/>
      <c r="I14" s="44"/>
      <c r="J14" s="44"/>
      <c r="K14" s="44"/>
      <c r="L14" s="44"/>
      <c r="M14" s="44"/>
      <c r="N14" s="502"/>
      <c r="O14" s="502"/>
      <c r="P14" s="44"/>
    </row>
    <row r="15" spans="2:18" x14ac:dyDescent="0.2">
      <c r="B15" s="352">
        <v>1</v>
      </c>
      <c r="D15" s="5" t="s">
        <v>140</v>
      </c>
      <c r="F15" s="45">
        <f>'5. Utility Income'!F22</f>
        <v>2515933.4325221376</v>
      </c>
      <c r="G15" s="45"/>
      <c r="H15" s="366"/>
      <c r="I15" s="187"/>
      <c r="J15" s="45">
        <f>'5. Utility Income'!N22</f>
        <v>2477124.4037640356</v>
      </c>
      <c r="K15" s="187"/>
      <c r="L15" s="366"/>
      <c r="M15" s="187"/>
      <c r="N15" s="517">
        <f>'5. Utility Income'!V22</f>
        <v>2320000.4037640356</v>
      </c>
      <c r="O15" s="518"/>
      <c r="P15" s="153"/>
      <c r="Q15" s="366"/>
    </row>
    <row r="16" spans="2:18" x14ac:dyDescent="0.2">
      <c r="B16" s="352">
        <v>2</v>
      </c>
      <c r="D16" s="5" t="s">
        <v>34</v>
      </c>
      <c r="F16" s="46">
        <f>'5. Utility Income'!F23</f>
        <v>623869.0316326418</v>
      </c>
      <c r="G16" s="46"/>
      <c r="H16" s="366"/>
      <c r="I16" s="188"/>
      <c r="J16" s="175">
        <f>'5. Utility Income'!N23</f>
        <v>695086.62861742103</v>
      </c>
      <c r="K16" s="188"/>
      <c r="L16" s="366"/>
      <c r="M16" s="188"/>
      <c r="N16" s="510">
        <f>'5. Utility Income'!V23</f>
        <v>695086.62861742103</v>
      </c>
      <c r="O16" s="511"/>
      <c r="P16" s="150"/>
      <c r="Q16" s="366"/>
    </row>
    <row r="17" spans="2:21" ht="12.75" customHeight="1" x14ac:dyDescent="0.2">
      <c r="B17" s="352">
        <v>3</v>
      </c>
      <c r="D17" s="5" t="s">
        <v>45</v>
      </c>
      <c r="F17" s="46">
        <f>'5. Utility Income'!F24</f>
        <v>30385</v>
      </c>
      <c r="G17" s="46"/>
      <c r="H17" s="366"/>
      <c r="I17" s="188"/>
      <c r="J17" s="175">
        <f>'5. Utility Income'!N24</f>
        <v>30385</v>
      </c>
      <c r="K17" s="188"/>
      <c r="L17" s="366"/>
      <c r="M17" s="188"/>
      <c r="N17" s="510">
        <f>'5. Utility Income'!V24</f>
        <v>30385</v>
      </c>
      <c r="O17" s="511"/>
      <c r="P17" s="150"/>
      <c r="Q17" s="366"/>
    </row>
    <row r="18" spans="2:21" s="174" customFormat="1" ht="0.75" customHeight="1" x14ac:dyDescent="0.2">
      <c r="B18" s="399">
        <v>4</v>
      </c>
      <c r="D18" s="174" t="s">
        <v>139</v>
      </c>
      <c r="F18" s="326">
        <f>'6. Taxes_PILs'!G25</f>
        <v>0</v>
      </c>
      <c r="G18" s="326"/>
      <c r="H18" s="327"/>
      <c r="I18" s="328"/>
      <c r="J18" s="329">
        <f>'6. Taxes_PILs'!K25</f>
        <v>0</v>
      </c>
      <c r="K18" s="328"/>
      <c r="L18" s="327"/>
      <c r="M18" s="328"/>
      <c r="N18" s="512">
        <f>'6. Taxes_PILs'!O25</f>
        <v>0</v>
      </c>
      <c r="O18" s="513"/>
      <c r="P18" s="330"/>
      <c r="Q18" s="327"/>
    </row>
    <row r="19" spans="2:21" x14ac:dyDescent="0.2">
      <c r="B19" s="352">
        <v>5</v>
      </c>
      <c r="D19" s="5" t="s">
        <v>91</v>
      </c>
      <c r="F19" s="46">
        <f>'6. Taxes_PILs'!G33-F18</f>
        <v>978.05772424412316</v>
      </c>
      <c r="G19" s="46"/>
      <c r="H19" s="366"/>
      <c r="I19" s="188"/>
      <c r="J19" s="175">
        <f>'6. Taxes_PILs'!K33-J18</f>
        <v>2162.8326931417951</v>
      </c>
      <c r="K19" s="188"/>
      <c r="L19" s="366"/>
      <c r="M19" s="188"/>
      <c r="N19" s="510">
        <f>'6. Taxes_PILs'!O33-N18</f>
        <v>2106.397736536002</v>
      </c>
      <c r="O19" s="511"/>
      <c r="P19" s="150"/>
      <c r="Q19" s="366"/>
    </row>
    <row r="20" spans="2:21" x14ac:dyDescent="0.2">
      <c r="B20" s="352">
        <v>6</v>
      </c>
      <c r="D20" s="5" t="s">
        <v>134</v>
      </c>
      <c r="F20" s="46">
        <f>'5. Utility Income'!F26</f>
        <v>0</v>
      </c>
      <c r="G20" s="46"/>
      <c r="H20" s="366"/>
      <c r="I20" s="188"/>
      <c r="J20" s="152" t="str">
        <f>'5. Utility Income'!N26</f>
        <v/>
      </c>
      <c r="K20" s="188"/>
      <c r="L20" s="366"/>
      <c r="M20" s="188"/>
      <c r="N20" s="509" t="str">
        <f>'5. Utility Income'!V26</f>
        <v/>
      </c>
      <c r="O20" s="509"/>
      <c r="P20" s="152"/>
      <c r="Q20" s="366"/>
    </row>
    <row r="21" spans="2:21" x14ac:dyDescent="0.2">
      <c r="B21" s="352">
        <v>7</v>
      </c>
      <c r="D21" s="5" t="s">
        <v>22</v>
      </c>
      <c r="F21" s="47"/>
      <c r="G21" s="47"/>
      <c r="H21" s="189"/>
      <c r="I21" s="189"/>
      <c r="J21" s="47"/>
      <c r="K21" s="189"/>
      <c r="L21" s="190"/>
      <c r="M21" s="189"/>
      <c r="N21" s="521"/>
      <c r="O21" s="522"/>
      <c r="P21" s="151"/>
      <c r="Q21" s="190"/>
    </row>
    <row r="22" spans="2:21" x14ac:dyDescent="0.2">
      <c r="B22" s="352"/>
      <c r="D22" s="387" t="s">
        <v>95</v>
      </c>
      <c r="F22" s="49">
        <f>'8. Rev_Def_Suff'!F25</f>
        <v>322428.15530134091</v>
      </c>
      <c r="G22" s="49"/>
      <c r="H22" s="366"/>
      <c r="I22" s="191"/>
      <c r="J22" s="49">
        <f>'8. Rev_Def_Suff'!L25</f>
        <v>336274.35530817747</v>
      </c>
      <c r="K22" s="191"/>
      <c r="L22" s="366"/>
      <c r="M22" s="191"/>
      <c r="N22" s="514">
        <f>'8. Rev_Def_Suff'!P25</f>
        <v>336093.16455422511</v>
      </c>
      <c r="O22" s="514"/>
      <c r="P22" s="149"/>
      <c r="Q22" s="366"/>
    </row>
    <row r="23" spans="2:21" x14ac:dyDescent="0.2">
      <c r="B23" s="352"/>
      <c r="D23" s="387" t="s">
        <v>283</v>
      </c>
      <c r="F23" s="49">
        <f>'8. Rev_Def_Suff'!F51</f>
        <v>585174.75814877776</v>
      </c>
      <c r="G23" s="49"/>
      <c r="H23" s="366"/>
      <c r="I23" s="191"/>
      <c r="J23" s="49">
        <f>'8. Rev_Def_Suff'!L51</f>
        <v>570996.66207202955</v>
      </c>
      <c r="K23" s="191"/>
      <c r="L23" s="366"/>
      <c r="M23" s="191"/>
      <c r="N23" s="514">
        <f>'8. Rev_Def_Suff'!P51</f>
        <v>570688.99865948583</v>
      </c>
      <c r="O23" s="514"/>
      <c r="P23" s="149"/>
      <c r="Q23" s="366"/>
    </row>
    <row r="24" spans="2:21" ht="51" x14ac:dyDescent="0.2">
      <c r="B24" s="352"/>
      <c r="D24" s="388" t="s">
        <v>282</v>
      </c>
      <c r="F24" s="49">
        <f>'3. Data_Input_Sheet'!E67</f>
        <v>-13322.688180660922</v>
      </c>
      <c r="G24" s="49"/>
      <c r="H24" s="366"/>
      <c r="I24" s="191"/>
      <c r="J24" s="49">
        <f>'3. Data_Input_Sheet'!M67</f>
        <v>0</v>
      </c>
      <c r="K24" s="191"/>
      <c r="L24" s="366"/>
      <c r="M24" s="191"/>
      <c r="N24" s="514">
        <f>'3. Data_Input_Sheet'!U67</f>
        <v>0</v>
      </c>
      <c r="O24" s="514"/>
      <c r="P24" s="149"/>
      <c r="Q24" s="366"/>
    </row>
    <row r="25" spans="2:21" x14ac:dyDescent="0.2">
      <c r="B25" s="352"/>
      <c r="C25" s="15"/>
      <c r="D25" s="15"/>
      <c r="E25" s="15"/>
      <c r="F25" s="50"/>
      <c r="G25" s="48"/>
      <c r="H25" s="192"/>
      <c r="I25" s="192"/>
      <c r="J25" s="50"/>
      <c r="K25" s="192"/>
      <c r="L25" s="192"/>
      <c r="M25" s="192"/>
      <c r="N25" s="50"/>
      <c r="O25" s="51"/>
      <c r="P25" s="151"/>
      <c r="Q25" s="192"/>
      <c r="R25" s="15"/>
      <c r="S25" s="15"/>
      <c r="T25" s="15"/>
      <c r="U25" s="15"/>
    </row>
    <row r="26" spans="2:21" ht="26.25" thickBot="1" x14ac:dyDescent="0.25">
      <c r="B26" s="352">
        <v>8</v>
      </c>
      <c r="C26" s="15"/>
      <c r="D26" s="56" t="s">
        <v>240</v>
      </c>
      <c r="E26" s="15"/>
      <c r="F26" s="52">
        <f>SUM(F15:F24)</f>
        <v>4065445.7471484812</v>
      </c>
      <c r="G26" s="48"/>
      <c r="H26" s="366"/>
      <c r="I26" s="192"/>
      <c r="J26" s="52">
        <f>SUM(J15:J24)</f>
        <v>4112029.8824548051</v>
      </c>
      <c r="K26" s="192"/>
      <c r="L26" s="366"/>
      <c r="M26" s="192"/>
      <c r="N26" s="461">
        <f>SUM(N15:O24)</f>
        <v>3954360.5933317035</v>
      </c>
      <c r="O26" s="461"/>
      <c r="P26" s="49"/>
      <c r="Q26" s="366"/>
      <c r="R26" s="15"/>
      <c r="S26" s="15"/>
      <c r="T26" s="15"/>
      <c r="U26" s="15"/>
    </row>
    <row r="27" spans="2:21" ht="13.5" thickTop="1" x14ac:dyDescent="0.2">
      <c r="B27" s="352"/>
      <c r="C27" s="15"/>
      <c r="D27" s="28"/>
      <c r="E27" s="15"/>
      <c r="F27" s="48"/>
      <c r="G27" s="48"/>
      <c r="H27" s="186"/>
      <c r="I27" s="351"/>
      <c r="J27" s="107"/>
      <c r="K27" s="351"/>
      <c r="L27" s="186"/>
      <c r="M27" s="351"/>
      <c r="N27" s="149"/>
      <c r="O27" s="149"/>
      <c r="P27" s="149"/>
      <c r="Q27" s="186"/>
      <c r="R27" s="15"/>
      <c r="S27" s="15"/>
      <c r="T27" s="15"/>
      <c r="U27" s="15"/>
    </row>
    <row r="28" spans="2:21" x14ac:dyDescent="0.2">
      <c r="B28" s="352">
        <v>9</v>
      </c>
      <c r="C28" s="15"/>
      <c r="D28" s="28" t="s">
        <v>241</v>
      </c>
      <c r="E28" s="15"/>
      <c r="F28" s="55">
        <f>'3. Data_Input_Sheet'!E33</f>
        <v>263604</v>
      </c>
      <c r="G28" s="48"/>
      <c r="H28" s="366"/>
      <c r="I28" s="192"/>
      <c r="J28" s="55">
        <f>'3. Data_Input_Sheet'!M33</f>
        <v>291800</v>
      </c>
      <c r="K28" s="192"/>
      <c r="L28" s="366"/>
      <c r="M28" s="192"/>
      <c r="N28" s="469">
        <f>'3. Data_Input_Sheet'!U33</f>
        <v>291800</v>
      </c>
      <c r="O28" s="469"/>
      <c r="P28" s="49"/>
      <c r="Q28" s="366"/>
      <c r="R28" s="15"/>
      <c r="S28" s="15"/>
      <c r="T28" s="15"/>
      <c r="U28" s="15"/>
    </row>
    <row r="29" spans="2:21" ht="13.5" thickBot="1" x14ac:dyDescent="0.25">
      <c r="B29" s="352">
        <v>10</v>
      </c>
      <c r="C29" s="15"/>
      <c r="D29" s="56" t="s">
        <v>242</v>
      </c>
      <c r="E29" s="15"/>
      <c r="F29" s="350">
        <f>F26-F28</f>
        <v>3801841.7471484812</v>
      </c>
      <c r="G29" s="48"/>
      <c r="H29" s="366"/>
      <c r="I29" s="192"/>
      <c r="J29" s="350">
        <f>J26-J28</f>
        <v>3820229.8824548051</v>
      </c>
      <c r="K29" s="192"/>
      <c r="L29" s="366"/>
      <c r="M29" s="192"/>
      <c r="N29" s="516">
        <f>N26-N28</f>
        <v>3662560.5933317035</v>
      </c>
      <c r="O29" s="516"/>
      <c r="P29" s="49"/>
      <c r="Q29" s="366"/>
      <c r="R29" s="15"/>
      <c r="S29" s="15"/>
      <c r="T29" s="15"/>
      <c r="U29" s="15"/>
    </row>
    <row r="30" spans="2:21" ht="25.5" customHeight="1" thickTop="1" x14ac:dyDescent="0.2">
      <c r="B30" s="352"/>
      <c r="C30" s="15"/>
      <c r="D30" s="355" t="s">
        <v>249</v>
      </c>
      <c r="E30" s="15"/>
      <c r="F30" s="48"/>
      <c r="G30" s="48"/>
      <c r="H30" s="354"/>
      <c r="I30" s="192"/>
      <c r="J30" s="48"/>
      <c r="K30" s="192"/>
      <c r="L30" s="354"/>
      <c r="M30" s="192"/>
      <c r="N30" s="49"/>
      <c r="O30" s="49"/>
      <c r="P30" s="49"/>
      <c r="Q30" s="354"/>
      <c r="R30" s="15"/>
      <c r="S30" s="15"/>
      <c r="T30" s="15"/>
      <c r="U30" s="15"/>
    </row>
    <row r="31" spans="2:21" x14ac:dyDescent="0.2">
      <c r="B31" s="352"/>
      <c r="F31" s="53"/>
      <c r="G31" s="53"/>
      <c r="H31" s="188"/>
      <c r="I31" s="188"/>
      <c r="J31" s="53"/>
      <c r="K31" s="188"/>
      <c r="L31" s="188"/>
      <c r="M31" s="188"/>
      <c r="N31" s="515"/>
      <c r="O31" s="515"/>
      <c r="P31" s="158"/>
      <c r="Q31" s="188"/>
    </row>
    <row r="32" spans="2:21" x14ac:dyDescent="0.2">
      <c r="B32" s="352">
        <v>11</v>
      </c>
      <c r="D32" s="5" t="s">
        <v>52</v>
      </c>
      <c r="F32" s="46">
        <f>'5. Utility Income'!F16</f>
        <v>3801841.7471484803</v>
      </c>
      <c r="G32" s="46"/>
      <c r="H32" s="366"/>
      <c r="I32" s="188"/>
      <c r="J32" s="46">
        <f>'5. Utility Income'!N16</f>
        <v>3820229.8824548051</v>
      </c>
      <c r="K32" s="188"/>
      <c r="L32" s="366"/>
      <c r="M32" s="188"/>
      <c r="N32" s="510">
        <f>'5. Utility Income'!V16</f>
        <v>3662560.5963108088</v>
      </c>
      <c r="O32" s="511"/>
      <c r="P32" s="150"/>
      <c r="Q32" s="366"/>
    </row>
    <row r="33" spans="2:17" x14ac:dyDescent="0.2">
      <c r="B33" s="352">
        <v>12</v>
      </c>
      <c r="D33" s="5" t="s">
        <v>35</v>
      </c>
      <c r="F33" s="54">
        <f>'5. Utility Income'!F17</f>
        <v>263604</v>
      </c>
      <c r="G33" s="47"/>
      <c r="H33" s="366"/>
      <c r="I33" s="193"/>
      <c r="J33" s="54">
        <f>'5. Utility Income'!N17</f>
        <v>291800</v>
      </c>
      <c r="K33" s="193"/>
      <c r="L33" s="366"/>
      <c r="M33" s="193"/>
      <c r="N33" s="474">
        <f>'5. Utility Income'!V17</f>
        <v>291800</v>
      </c>
      <c r="O33" s="523"/>
      <c r="P33" s="151"/>
      <c r="Q33" s="366"/>
    </row>
    <row r="34" spans="2:17" x14ac:dyDescent="0.2">
      <c r="B34" s="352"/>
      <c r="F34" s="460">
        <f>SUM(F32:F33)</f>
        <v>4065445.7471484803</v>
      </c>
      <c r="G34" s="49"/>
      <c r="H34" s="191"/>
      <c r="I34" s="191"/>
      <c r="J34" s="460">
        <f>SUM(J32:J33)</f>
        <v>4112029.8824548051</v>
      </c>
      <c r="K34" s="191"/>
      <c r="L34" s="191"/>
      <c r="M34" s="191"/>
      <c r="N34" s="460">
        <f>SUM(N32:N33)</f>
        <v>3954360.5963108088</v>
      </c>
      <c r="O34" s="466"/>
      <c r="P34" s="159"/>
      <c r="Q34" s="191"/>
    </row>
    <row r="35" spans="2:17" x14ac:dyDescent="0.2">
      <c r="B35" s="352">
        <v>13</v>
      </c>
      <c r="D35" s="16" t="s">
        <v>40</v>
      </c>
      <c r="F35" s="469"/>
      <c r="G35" s="49"/>
      <c r="H35" s="366"/>
      <c r="I35" s="191"/>
      <c r="J35" s="469"/>
      <c r="K35" s="191"/>
      <c r="L35" s="366"/>
      <c r="M35" s="191"/>
      <c r="N35" s="469"/>
      <c r="O35" s="505"/>
      <c r="P35" s="159"/>
      <c r="Q35" s="366"/>
    </row>
    <row r="36" spans="2:17" x14ac:dyDescent="0.2">
      <c r="B36" s="352"/>
      <c r="F36" s="514">
        <f>F34-F26</f>
        <v>0</v>
      </c>
      <c r="G36" s="149"/>
      <c r="H36" s="194"/>
      <c r="I36" s="194"/>
      <c r="J36" s="514">
        <f>J34-J26</f>
        <v>0</v>
      </c>
      <c r="K36" s="194"/>
      <c r="L36" s="194"/>
      <c r="M36" s="194"/>
      <c r="N36" s="470">
        <f>N34-N26</f>
        <v>2.9791053384542465E-3</v>
      </c>
      <c r="O36" s="506"/>
      <c r="P36" s="160"/>
      <c r="Q36" s="4"/>
    </row>
    <row r="37" spans="2:17" ht="39" thickBot="1" x14ac:dyDescent="0.25">
      <c r="B37" s="352">
        <v>14</v>
      </c>
      <c r="D37" s="56" t="s">
        <v>144</v>
      </c>
      <c r="F37" s="471"/>
      <c r="G37" s="149"/>
      <c r="H37" s="195" t="s">
        <v>2</v>
      </c>
      <c r="I37" s="195"/>
      <c r="J37" s="471"/>
      <c r="K37" s="195"/>
      <c r="L37" s="195" t="s">
        <v>2</v>
      </c>
      <c r="M37" s="195"/>
      <c r="N37" s="471"/>
      <c r="O37" s="507"/>
      <c r="P37" s="160"/>
      <c r="Q37" s="196" t="s">
        <v>2</v>
      </c>
    </row>
    <row r="38" spans="2:17" ht="13.5" thickTop="1" x14ac:dyDescent="0.2">
      <c r="F38" s="57"/>
      <c r="G38" s="57"/>
      <c r="H38" s="57"/>
      <c r="I38" s="57"/>
      <c r="J38" s="57"/>
      <c r="K38" s="57"/>
      <c r="L38" s="57"/>
      <c r="M38" s="57"/>
      <c r="N38" s="57"/>
      <c r="O38" s="57"/>
      <c r="P38" s="57"/>
    </row>
    <row r="39" spans="2:17" x14ac:dyDescent="0.2">
      <c r="B39" s="478" t="s">
        <v>38</v>
      </c>
      <c r="C39" s="478"/>
      <c r="D39" s="478"/>
      <c r="E39" s="478"/>
      <c r="F39" s="478"/>
      <c r="G39" s="478"/>
      <c r="H39" s="478"/>
      <c r="I39" s="478"/>
      <c r="J39" s="478"/>
      <c r="K39" s="478"/>
      <c r="L39" s="478"/>
      <c r="M39" s="478"/>
      <c r="N39" s="478"/>
      <c r="O39" s="478"/>
      <c r="P39" s="148"/>
    </row>
    <row r="40" spans="2:17" x14ac:dyDescent="0.2">
      <c r="B40" s="18" t="s">
        <v>2</v>
      </c>
      <c r="D40" s="5" t="s">
        <v>142</v>
      </c>
    </row>
    <row r="41" spans="2:17" x14ac:dyDescent="0.2">
      <c r="B41" s="365"/>
      <c r="D41" s="491"/>
      <c r="E41" s="491"/>
      <c r="F41" s="491"/>
      <c r="G41" s="491"/>
      <c r="H41" s="491"/>
      <c r="I41" s="491"/>
      <c r="J41" s="491"/>
      <c r="K41" s="491"/>
      <c r="L41" s="491"/>
      <c r="M41" s="491"/>
      <c r="N41" s="491"/>
      <c r="O41" s="491"/>
      <c r="P41" s="491"/>
      <c r="Q41" s="491"/>
    </row>
    <row r="42" spans="2:17" x14ac:dyDescent="0.2">
      <c r="B42" s="365"/>
      <c r="D42" s="491"/>
      <c r="E42" s="491"/>
      <c r="F42" s="491"/>
      <c r="G42" s="491"/>
      <c r="H42" s="491"/>
      <c r="I42" s="491"/>
      <c r="J42" s="491"/>
      <c r="K42" s="491"/>
      <c r="L42" s="491"/>
      <c r="M42" s="491"/>
      <c r="N42" s="491"/>
      <c r="O42" s="491"/>
      <c r="P42" s="491"/>
      <c r="Q42" s="491"/>
    </row>
    <row r="43" spans="2:17" x14ac:dyDescent="0.2">
      <c r="B43" s="365"/>
      <c r="D43" s="491"/>
      <c r="E43" s="491"/>
      <c r="F43" s="491"/>
      <c r="G43" s="491"/>
      <c r="H43" s="491"/>
      <c r="I43" s="491"/>
      <c r="J43" s="491"/>
      <c r="K43" s="491"/>
      <c r="L43" s="491"/>
      <c r="M43" s="491"/>
      <c r="N43" s="491"/>
      <c r="O43" s="491"/>
      <c r="P43" s="491"/>
      <c r="Q43" s="491"/>
    </row>
    <row r="44" spans="2:17" x14ac:dyDescent="0.2">
      <c r="B44" s="365"/>
      <c r="D44" s="491"/>
      <c r="E44" s="491"/>
      <c r="F44" s="491"/>
      <c r="G44" s="491"/>
      <c r="H44" s="491"/>
      <c r="I44" s="491"/>
      <c r="J44" s="491"/>
      <c r="K44" s="491"/>
      <c r="L44" s="491"/>
      <c r="M44" s="491"/>
      <c r="N44" s="491"/>
      <c r="O44" s="491"/>
      <c r="P44" s="491"/>
      <c r="Q44" s="491"/>
    </row>
    <row r="45" spans="2:17" x14ac:dyDescent="0.2">
      <c r="B45" s="365"/>
      <c r="D45" s="491"/>
      <c r="E45" s="491"/>
      <c r="F45" s="491"/>
      <c r="G45" s="491"/>
      <c r="H45" s="491"/>
      <c r="I45" s="491"/>
      <c r="J45" s="491"/>
      <c r="K45" s="491"/>
      <c r="L45" s="491"/>
      <c r="M45" s="491"/>
      <c r="N45" s="491"/>
      <c r="O45" s="491"/>
      <c r="P45" s="491"/>
      <c r="Q45" s="491"/>
    </row>
    <row r="46" spans="2:17" x14ac:dyDescent="0.2">
      <c r="B46" s="365"/>
      <c r="D46" s="491"/>
      <c r="E46" s="491"/>
      <c r="F46" s="491"/>
      <c r="G46" s="491"/>
      <c r="H46" s="491"/>
      <c r="I46" s="491"/>
      <c r="J46" s="491"/>
      <c r="K46" s="491"/>
      <c r="L46" s="491"/>
      <c r="M46" s="491"/>
      <c r="N46" s="491"/>
      <c r="O46" s="491"/>
      <c r="P46" s="491"/>
      <c r="Q46" s="491"/>
    </row>
  </sheetData>
  <sheetProtection password="82A3" sheet="1" objects="1" scenarios="1" formatColumns="0" formatRows="0"/>
  <mergeCells count="37">
    <mergeCell ref="D43:Q43"/>
    <mergeCell ref="D44:Q44"/>
    <mergeCell ref="D45:Q45"/>
    <mergeCell ref="D46:Q46"/>
    <mergeCell ref="N16:O16"/>
    <mergeCell ref="N17:O17"/>
    <mergeCell ref="N21:O21"/>
    <mergeCell ref="N26:O26"/>
    <mergeCell ref="D41:Q41"/>
    <mergeCell ref="D42:Q42"/>
    <mergeCell ref="B39:O39"/>
    <mergeCell ref="N33:O33"/>
    <mergeCell ref="J34:J35"/>
    <mergeCell ref="J36:J37"/>
    <mergeCell ref="F36:F37"/>
    <mergeCell ref="F34:F35"/>
    <mergeCell ref="C4:N4"/>
    <mergeCell ref="N15:O15"/>
    <mergeCell ref="N14:O14"/>
    <mergeCell ref="N13:O13"/>
    <mergeCell ref="F8:O8"/>
    <mergeCell ref="N34:O35"/>
    <mergeCell ref="N36:O37"/>
    <mergeCell ref="C1:N1"/>
    <mergeCell ref="O1:Q1"/>
    <mergeCell ref="N20:O20"/>
    <mergeCell ref="N32:O32"/>
    <mergeCell ref="N18:O18"/>
    <mergeCell ref="N19:O19"/>
    <mergeCell ref="N22:O22"/>
    <mergeCell ref="N23:O23"/>
    <mergeCell ref="N31:O31"/>
    <mergeCell ref="N28:O28"/>
    <mergeCell ref="N29:O29"/>
    <mergeCell ref="N24:O24"/>
    <mergeCell ref="C2:R2"/>
    <mergeCell ref="C3:R3"/>
  </mergeCells>
  <phoneticPr fontId="2"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Settlement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Administrator</cp:lastModifiedBy>
  <cp:lastPrinted>2012-06-27T19:56:15Z</cp:lastPrinted>
  <dcterms:created xsi:type="dcterms:W3CDTF">2008-10-20T17:39:17Z</dcterms:created>
  <dcterms:modified xsi:type="dcterms:W3CDTF">2012-12-12T19:31:01Z</dcterms:modified>
</cp:coreProperties>
</file>