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5" windowWidth="27795" windowHeight="11310" activeTab="4"/>
  </bookViews>
  <sheets>
    <sheet name="Appendix 2-T Def Pils" sheetId="4" r:id="rId1"/>
    <sheet name="PILS CAL" sheetId="1" r:id="rId2"/>
    <sheet name="RRR" sheetId="2" r:id="rId3"/>
    <sheet name="PILS 2007" sheetId="3" r:id="rId4"/>
    <sheet name="Carry FW" sheetId="5" r:id="rId5"/>
  </sheets>
  <externalReferences>
    <externalReference r:id="rId6"/>
    <externalReference r:id="rId7"/>
    <externalReference r:id="rId8"/>
  </externalReferences>
  <calcPr calcId="145621"/>
</workbook>
</file>

<file path=xl/calcChain.xml><?xml version="1.0" encoding="utf-8"?>
<calcChain xmlns="http://schemas.openxmlformats.org/spreadsheetml/2006/main">
  <c r="L135" i="5" l="1"/>
  <c r="B104" i="5"/>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B135" i="5" s="1"/>
  <c r="B136" i="5" s="1"/>
  <c r="B137" i="5" s="1"/>
  <c r="B138" i="5" s="1"/>
  <c r="B139" i="5" s="1"/>
  <c r="B140" i="5" s="1"/>
  <c r="B141" i="5" s="1"/>
  <c r="B142" i="5" s="1"/>
  <c r="B143" i="5" s="1"/>
  <c r="B102" i="5"/>
  <c r="B103" i="5" s="1"/>
  <c r="E94" i="5"/>
  <c r="E95" i="5" s="1"/>
  <c r="E96" i="5" s="1"/>
  <c r="E97" i="5" s="1"/>
  <c r="E98" i="5" s="1"/>
  <c r="E99" i="5" s="1"/>
  <c r="E100" i="5" s="1"/>
  <c r="J93" i="5"/>
  <c r="J94" i="5" s="1"/>
  <c r="J95" i="5" s="1"/>
  <c r="J96" i="5" s="1"/>
  <c r="E93" i="5"/>
  <c r="E90" i="5"/>
  <c r="E91" i="5" s="1"/>
  <c r="J89" i="5"/>
  <c r="J90" i="5" s="1"/>
  <c r="J91" i="5" s="1"/>
  <c r="E89" i="5"/>
  <c r="I53" i="5"/>
  <c r="I52" i="5"/>
  <c r="F52" i="5"/>
  <c r="C53" i="5" s="1"/>
  <c r="F53" i="5" s="1"/>
  <c r="I39" i="5"/>
  <c r="I38" i="5"/>
  <c r="F30" i="5"/>
  <c r="H30" i="5" s="1"/>
  <c r="I29" i="5"/>
  <c r="F29" i="5"/>
  <c r="H29" i="5" s="1"/>
  <c r="I16" i="5"/>
  <c r="I15" i="5"/>
  <c r="I14" i="5"/>
  <c r="I13" i="5"/>
  <c r="H13" i="5"/>
  <c r="H14" i="5" s="1"/>
  <c r="H15" i="5" s="1"/>
  <c r="H16" i="5" s="1"/>
  <c r="H17" i="5" s="1"/>
  <c r="H18" i="5" s="1"/>
  <c r="H19" i="5" s="1"/>
  <c r="H20" i="5" s="1"/>
  <c r="H21" i="5" s="1"/>
  <c r="J12" i="5"/>
  <c r="J13" i="5" s="1"/>
  <c r="J14" i="5" s="1"/>
  <c r="J15" i="5" s="1"/>
  <c r="J16" i="5" s="1"/>
  <c r="I12" i="5"/>
  <c r="H12" i="5"/>
  <c r="I11" i="5"/>
  <c r="H46" i="5" l="1"/>
  <c r="J97" i="5"/>
  <c r="J98" i="5" s="1"/>
  <c r="J99" i="5" s="1"/>
  <c r="J100" i="5" s="1"/>
  <c r="J101" i="5" s="1"/>
  <c r="J102" i="5" s="1"/>
  <c r="J103" i="5" s="1"/>
  <c r="J104" i="5" s="1"/>
  <c r="J105" i="5" s="1"/>
  <c r="J106" i="5" s="1"/>
  <c r="J107" i="5" s="1"/>
  <c r="J108" i="5" s="1"/>
  <c r="J109" i="5" s="1"/>
  <c r="J110" i="5" s="1"/>
  <c r="J111" i="5" s="1"/>
  <c r="J112" i="5" s="1"/>
  <c r="J113" i="5" s="1"/>
  <c r="J114" i="5" s="1"/>
  <c r="J115" i="5" s="1"/>
  <c r="J116" i="5" s="1"/>
  <c r="J117" i="5" s="1"/>
  <c r="J118" i="5" s="1"/>
  <c r="J119" i="5" s="1"/>
  <c r="J120" i="5" s="1"/>
  <c r="J121" i="5" s="1"/>
  <c r="J122" i="5" s="1"/>
  <c r="J123" i="5" s="1"/>
  <c r="J124" i="5" s="1"/>
  <c r="J125" i="5" s="1"/>
  <c r="J126" i="5" s="1"/>
  <c r="J127" i="5" s="1"/>
  <c r="J128" i="5" s="1"/>
  <c r="J129" i="5" s="1"/>
  <c r="J130" i="5" s="1"/>
  <c r="J131" i="5" s="1"/>
  <c r="J132" i="5" s="1"/>
  <c r="J133" i="5" s="1"/>
  <c r="J134" i="5" s="1"/>
  <c r="J135" i="5" s="1"/>
  <c r="J136" i="5" s="1"/>
  <c r="J137" i="5" s="1"/>
  <c r="J138" i="5" s="1"/>
  <c r="J139" i="5" s="1"/>
  <c r="J140" i="5" s="1"/>
  <c r="J141" i="5" s="1"/>
  <c r="J142" i="5" s="1"/>
  <c r="J143" i="5" s="1"/>
  <c r="I42" i="5"/>
  <c r="I20" i="5" s="1"/>
  <c r="C54" i="5"/>
  <c r="E101" i="5"/>
  <c r="E102" i="5" s="1"/>
  <c r="E103" i="5" s="1"/>
  <c r="E104" i="5" s="1"/>
  <c r="E105" i="5" s="1"/>
  <c r="E106" i="5" s="1"/>
  <c r="E107" i="5" s="1"/>
  <c r="E108" i="5" s="1"/>
  <c r="E109" i="5" s="1"/>
  <c r="E110" i="5" s="1"/>
  <c r="E111" i="5" s="1"/>
  <c r="E112" i="5" s="1"/>
  <c r="E113" i="5" s="1"/>
  <c r="E114" i="5" s="1"/>
  <c r="E115" i="5" s="1"/>
  <c r="E116" i="5" s="1"/>
  <c r="E117" i="5" s="1"/>
  <c r="E118" i="5" s="1"/>
  <c r="E119" i="5" s="1"/>
  <c r="E120" i="5" s="1"/>
  <c r="E121" i="5" s="1"/>
  <c r="E122" i="5" s="1"/>
  <c r="E123" i="5" s="1"/>
  <c r="E124" i="5" s="1"/>
  <c r="E125" i="5" s="1"/>
  <c r="E126" i="5" s="1"/>
  <c r="E127" i="5" s="1"/>
  <c r="E128" i="5" s="1"/>
  <c r="E129" i="5" s="1"/>
  <c r="E130" i="5" s="1"/>
  <c r="E131" i="5" s="1"/>
  <c r="E132" i="5" s="1"/>
  <c r="E133" i="5" s="1"/>
  <c r="E134" i="5" s="1"/>
  <c r="E135" i="5" s="1"/>
  <c r="E136" i="5" s="1"/>
  <c r="E137" i="5" s="1"/>
  <c r="E138" i="5" s="1"/>
  <c r="E139" i="5" s="1"/>
  <c r="E140" i="5" s="1"/>
  <c r="E141" i="5" s="1"/>
  <c r="E142" i="5" s="1"/>
  <c r="E143" i="5" s="1"/>
  <c r="I43" i="5"/>
  <c r="I21" i="5" s="1"/>
  <c r="I17" i="5"/>
  <c r="J17" i="5" s="1"/>
  <c r="J18" i="5" s="1"/>
  <c r="J19" i="5" s="1"/>
  <c r="J20" i="5" s="1"/>
  <c r="J21" i="5" s="1"/>
  <c r="K52" i="5"/>
  <c r="I41" i="5"/>
  <c r="I19" i="5" s="1"/>
  <c r="I40" i="5"/>
  <c r="I18" i="5" s="1"/>
  <c r="K53" i="5" l="1"/>
  <c r="L52" i="5"/>
  <c r="F54" i="5"/>
  <c r="I54" i="5"/>
  <c r="I46" i="5"/>
  <c r="K54" i="5" l="1"/>
  <c r="L53" i="5"/>
  <c r="C55" i="5"/>
  <c r="L54" i="5"/>
  <c r="I55" i="5" l="1"/>
  <c r="F55" i="5"/>
  <c r="C56" i="5" l="1"/>
  <c r="K55" i="5"/>
  <c r="L55" i="5" s="1"/>
  <c r="I56" i="5" l="1"/>
  <c r="K56" i="5" s="1"/>
  <c r="F56" i="5"/>
  <c r="C57" i="5" l="1"/>
  <c r="L56" i="5"/>
  <c r="F57" i="5" l="1"/>
  <c r="I57" i="5"/>
  <c r="K57" i="5" s="1"/>
  <c r="C58" i="5" l="1"/>
  <c r="L57" i="5"/>
  <c r="I58" i="5" l="1"/>
  <c r="K58" i="5" s="1"/>
  <c r="F58" i="5"/>
  <c r="L58" i="5" l="1"/>
  <c r="C59" i="5"/>
  <c r="I59" i="5" l="1"/>
  <c r="F59" i="5"/>
  <c r="C60" i="5" l="1"/>
  <c r="L59" i="5"/>
  <c r="J29" i="5"/>
  <c r="K59" i="5"/>
  <c r="K60" i="5" l="1"/>
  <c r="K29" i="5"/>
  <c r="I60" i="5"/>
  <c r="F60" i="5"/>
  <c r="C61" i="5" l="1"/>
  <c r="L60" i="5"/>
  <c r="F61" i="5" l="1"/>
  <c r="I61" i="5"/>
  <c r="K61" i="5" l="1"/>
  <c r="C62" i="5"/>
  <c r="L61" i="5"/>
  <c r="I62" i="5" l="1"/>
  <c r="K62" i="5" s="1"/>
  <c r="F62" i="5"/>
  <c r="L62" i="5" l="1"/>
  <c r="C63" i="5"/>
  <c r="I63" i="5" l="1"/>
  <c r="F63" i="5"/>
  <c r="C64" i="5" l="1"/>
  <c r="K63" i="5"/>
  <c r="J30" i="5"/>
  <c r="L63" i="5" l="1"/>
  <c r="K30" i="5"/>
  <c r="I64" i="5"/>
  <c r="F64" i="5"/>
  <c r="C65" i="5" l="1"/>
  <c r="K64" i="5"/>
  <c r="L64" i="5" s="1"/>
  <c r="F65" i="5" l="1"/>
  <c r="I65" i="5"/>
  <c r="J31" i="5" s="1"/>
  <c r="K31" i="5" l="1"/>
  <c r="C66" i="5"/>
  <c r="K65" i="5"/>
  <c r="L65" i="5" s="1"/>
  <c r="I66" i="5" l="1"/>
  <c r="F66" i="5"/>
  <c r="K66" i="5"/>
  <c r="L66" i="5" l="1"/>
  <c r="C67" i="5"/>
  <c r="I67" i="5" l="1"/>
  <c r="F67" i="5"/>
  <c r="C68" i="5" l="1"/>
  <c r="K67" i="5"/>
  <c r="L67" i="5" l="1"/>
  <c r="I68" i="5"/>
  <c r="J32" i="5" s="1"/>
  <c r="F68" i="5"/>
  <c r="K32" i="5" l="1"/>
  <c r="C69" i="5"/>
  <c r="K68" i="5"/>
  <c r="L68" i="5" s="1"/>
  <c r="F69" i="5" l="1"/>
  <c r="I69" i="5"/>
  <c r="D11" i="5"/>
  <c r="K69" i="5" l="1"/>
  <c r="C70" i="5"/>
  <c r="F70" i="5" l="1"/>
  <c r="I70" i="5"/>
  <c r="L69" i="5"/>
  <c r="L70" i="5" l="1"/>
  <c r="C71" i="5"/>
  <c r="K70" i="5"/>
  <c r="I71" i="5" l="1"/>
  <c r="J33" i="5" s="1"/>
  <c r="F71" i="5"/>
  <c r="C72" i="5" l="1"/>
  <c r="E11" i="5"/>
  <c r="K11" i="5" s="1"/>
  <c r="D12" i="5" s="1"/>
  <c r="K33" i="5"/>
  <c r="K71" i="5"/>
  <c r="K72" i="5" l="1"/>
  <c r="L71" i="5"/>
  <c r="I72" i="5"/>
  <c r="F72" i="5"/>
  <c r="C73" i="5" l="1"/>
  <c r="L72" i="5"/>
  <c r="F73" i="5" l="1"/>
  <c r="I73" i="5"/>
  <c r="K73" i="5" l="1"/>
  <c r="L73" i="5" s="1"/>
  <c r="C74" i="5"/>
  <c r="I74" i="5" l="1"/>
  <c r="J34" i="5" s="1"/>
  <c r="F74" i="5"/>
  <c r="K74" i="5" l="1"/>
  <c r="L74" i="5"/>
  <c r="C75" i="5"/>
  <c r="E12" i="5"/>
  <c r="K34" i="5"/>
  <c r="F12" i="5" l="1"/>
  <c r="K12" i="5"/>
  <c r="D13" i="5" s="1"/>
  <c r="I75" i="5"/>
  <c r="F75" i="5"/>
  <c r="K75" i="5"/>
  <c r="C76" i="5" l="1"/>
  <c r="L75" i="5"/>
  <c r="I76" i="5" l="1"/>
  <c r="F76" i="5"/>
  <c r="C77" i="5" l="1"/>
  <c r="K76" i="5"/>
  <c r="L76" i="5" l="1"/>
  <c r="F77" i="5"/>
  <c r="I77" i="5"/>
  <c r="J35" i="5" s="1"/>
  <c r="E13" i="5" l="1"/>
  <c r="K35" i="5"/>
  <c r="C78" i="5"/>
  <c r="L77" i="5"/>
  <c r="K77" i="5"/>
  <c r="F78" i="5" l="1"/>
  <c r="I78" i="5"/>
  <c r="K78" i="5"/>
  <c r="K13" i="5"/>
  <c r="D14" i="5" s="1"/>
  <c r="F13" i="5"/>
  <c r="L78" i="5" l="1"/>
  <c r="C79" i="5"/>
  <c r="I79" i="5" l="1"/>
  <c r="F79" i="5"/>
  <c r="C80" i="5" l="1"/>
  <c r="K79" i="5"/>
  <c r="L79" i="5" l="1"/>
  <c r="I80" i="5"/>
  <c r="J36" i="5" s="1"/>
  <c r="F80" i="5"/>
  <c r="E14" i="5" l="1"/>
  <c r="K36" i="5"/>
  <c r="C81" i="5"/>
  <c r="K80" i="5"/>
  <c r="L80" i="5" s="1"/>
  <c r="F81" i="5" l="1"/>
  <c r="I81" i="5"/>
  <c r="K81" i="5" s="1"/>
  <c r="F14" i="5"/>
  <c r="K14" i="5"/>
  <c r="D15" i="5" s="1"/>
  <c r="C82" i="5" l="1"/>
  <c r="L81" i="5"/>
  <c r="I82" i="5" l="1"/>
  <c r="F82" i="5"/>
  <c r="C83" i="5" l="1"/>
  <c r="K82" i="5"/>
  <c r="I83" i="5" l="1"/>
  <c r="J37" i="5" s="1"/>
  <c r="F83" i="5"/>
  <c r="L82" i="5"/>
  <c r="C84" i="5" l="1"/>
  <c r="E15" i="5"/>
  <c r="K37" i="5"/>
  <c r="K83" i="5"/>
  <c r="L83" i="5" s="1"/>
  <c r="K15" i="5" l="1"/>
  <c r="D16" i="5" s="1"/>
  <c r="F15" i="5"/>
  <c r="K84" i="5"/>
  <c r="I84" i="5"/>
  <c r="F84" i="5"/>
  <c r="C85" i="5" l="1"/>
  <c r="L84" i="5"/>
  <c r="F85" i="5" l="1"/>
  <c r="I85" i="5"/>
  <c r="K85" i="5" l="1"/>
  <c r="L85" i="5" s="1"/>
  <c r="C86" i="5"/>
  <c r="I86" i="5" l="1"/>
  <c r="J38" i="5" s="1"/>
  <c r="F86" i="5"/>
  <c r="K86" i="5" l="1"/>
  <c r="L86" i="5" s="1"/>
  <c r="C87" i="5"/>
  <c r="E16" i="5"/>
  <c r="K38" i="5"/>
  <c r="K16" i="5" l="1"/>
  <c r="D17" i="5" s="1"/>
  <c r="F16" i="5"/>
  <c r="I87" i="5"/>
  <c r="F87" i="5"/>
  <c r="K87" i="5"/>
  <c r="L87" i="5" l="1"/>
  <c r="C88" i="5"/>
  <c r="I88" i="5" l="1"/>
  <c r="F88" i="5"/>
  <c r="K88" i="5" l="1"/>
  <c r="C89" i="5"/>
  <c r="L88" i="5"/>
  <c r="F89" i="5" l="1"/>
  <c r="I89" i="5"/>
  <c r="J39" i="5" s="1"/>
  <c r="K89" i="5"/>
  <c r="C90" i="5" l="1"/>
  <c r="L89" i="5"/>
  <c r="E17" i="5"/>
  <c r="K39" i="5"/>
  <c r="F90" i="5" l="1"/>
  <c r="I90" i="5"/>
  <c r="K17" i="5"/>
  <c r="D18" i="5" s="1"/>
  <c r="F17" i="5"/>
  <c r="K90" i="5" l="1"/>
  <c r="L90" i="5"/>
  <c r="C91" i="5"/>
  <c r="I91" i="5" l="1"/>
  <c r="F91" i="5"/>
  <c r="C92" i="5" l="1"/>
  <c r="K91" i="5"/>
  <c r="L91" i="5" l="1"/>
  <c r="I92" i="5"/>
  <c r="J40" i="5" s="1"/>
  <c r="F92" i="5"/>
  <c r="E18" i="5" l="1"/>
  <c r="K40" i="5"/>
  <c r="C93" i="5"/>
  <c r="K92" i="5"/>
  <c r="L92" i="5" s="1"/>
  <c r="I93" i="5" l="1"/>
  <c r="K93" i="5" s="1"/>
  <c r="F93" i="5"/>
  <c r="K18" i="5"/>
  <c r="D19" i="5" s="1"/>
  <c r="F18" i="5"/>
  <c r="C94" i="5" l="1"/>
  <c r="L93" i="5"/>
  <c r="F94" i="5" l="1"/>
  <c r="I94" i="5"/>
  <c r="K94" i="5" l="1"/>
  <c r="L94" i="5" s="1"/>
  <c r="C95" i="5"/>
  <c r="F95" i="5" l="1"/>
  <c r="I95" i="5"/>
  <c r="J41" i="5" s="1"/>
  <c r="K95" i="5"/>
  <c r="E19" i="5" l="1"/>
  <c r="K41" i="5"/>
  <c r="L95" i="5"/>
  <c r="C96" i="5"/>
  <c r="F19" i="5" l="1"/>
  <c r="K19" i="5"/>
  <c r="D20" i="5" s="1"/>
  <c r="I96" i="5"/>
  <c r="F96" i="5"/>
  <c r="K96" i="5" l="1"/>
  <c r="L96" i="5" s="1"/>
  <c r="C97" i="5"/>
  <c r="I97" i="5" l="1"/>
  <c r="F97" i="5"/>
  <c r="C98" i="5" l="1"/>
  <c r="K97" i="5"/>
  <c r="L97" i="5" l="1"/>
  <c r="I98" i="5"/>
  <c r="J42" i="5" s="1"/>
  <c r="F98" i="5"/>
  <c r="E20" i="5" l="1"/>
  <c r="K42" i="5"/>
  <c r="C99" i="5"/>
  <c r="K98" i="5"/>
  <c r="L98" i="5" s="1"/>
  <c r="F99" i="5" l="1"/>
  <c r="I99" i="5"/>
  <c r="K99" i="5"/>
  <c r="K20" i="5"/>
  <c r="D21" i="5" s="1"/>
  <c r="F20" i="5"/>
  <c r="L99" i="5" l="1"/>
  <c r="C100" i="5"/>
  <c r="I100" i="5" l="1"/>
  <c r="F100" i="5"/>
  <c r="C101" i="5" l="1"/>
  <c r="K100" i="5"/>
  <c r="L100" i="5" l="1"/>
  <c r="I101" i="5"/>
  <c r="J43" i="5" s="1"/>
  <c r="F101" i="5"/>
  <c r="E21" i="5" l="1"/>
  <c r="J46" i="5"/>
  <c r="K46" i="5" s="1"/>
  <c r="K43" i="5"/>
  <c r="C102" i="5"/>
  <c r="K101" i="5"/>
  <c r="F102" i="5" l="1"/>
  <c r="I102" i="5"/>
  <c r="K102" i="5" s="1"/>
  <c r="L101" i="5"/>
  <c r="K21" i="5"/>
  <c r="F21" i="5"/>
  <c r="C103" i="5" l="1"/>
  <c r="L102" i="5"/>
  <c r="I103" i="5" l="1"/>
  <c r="K103" i="5" s="1"/>
  <c r="F103" i="5"/>
  <c r="C104" i="5" l="1"/>
  <c r="L103" i="5"/>
  <c r="F104" i="5" l="1"/>
  <c r="I104" i="5"/>
  <c r="K104" i="5" s="1"/>
  <c r="C105" i="5" l="1"/>
  <c r="L104" i="5"/>
  <c r="I105" i="5" l="1"/>
  <c r="K105" i="5" s="1"/>
  <c r="F105" i="5"/>
  <c r="C106" i="5" l="1"/>
  <c r="L105" i="5"/>
  <c r="F106" i="5" l="1"/>
  <c r="I106" i="5"/>
  <c r="K106" i="5" s="1"/>
  <c r="C107" i="5" l="1"/>
  <c r="L106" i="5"/>
  <c r="I107" i="5" l="1"/>
  <c r="K107" i="5" s="1"/>
  <c r="F107" i="5"/>
  <c r="C108" i="5" l="1"/>
  <c r="L107" i="5"/>
  <c r="F108" i="5" l="1"/>
  <c r="I108" i="5"/>
  <c r="K108" i="5" s="1"/>
  <c r="C109" i="5" l="1"/>
  <c r="L108" i="5"/>
  <c r="I109" i="5" l="1"/>
  <c r="K109" i="5" s="1"/>
  <c r="F109" i="5"/>
  <c r="C110" i="5" l="1"/>
  <c r="L109" i="5"/>
  <c r="F110" i="5" l="1"/>
  <c r="I110" i="5"/>
  <c r="K110" i="5" s="1"/>
  <c r="C111" i="5" l="1"/>
  <c r="L110" i="5"/>
  <c r="I111" i="5" l="1"/>
  <c r="K111" i="5" s="1"/>
  <c r="F111" i="5"/>
  <c r="C112" i="5" l="1"/>
  <c r="L111" i="5"/>
  <c r="F112" i="5" l="1"/>
  <c r="I112" i="5"/>
  <c r="K112" i="5" s="1"/>
  <c r="C113" i="5" l="1"/>
  <c r="L112" i="5"/>
  <c r="I113" i="5" l="1"/>
  <c r="K113" i="5" s="1"/>
  <c r="F113" i="5"/>
  <c r="C114" i="5" l="1"/>
  <c r="L113" i="5"/>
  <c r="F114" i="5" l="1"/>
  <c r="I114" i="5"/>
  <c r="K114" i="5" s="1"/>
  <c r="C115" i="5" l="1"/>
  <c r="L114" i="5"/>
  <c r="I115" i="5" l="1"/>
  <c r="K115" i="5" s="1"/>
  <c r="F115" i="5"/>
  <c r="C116" i="5" l="1"/>
  <c r="L115" i="5"/>
  <c r="F116" i="5" l="1"/>
  <c r="I116" i="5"/>
  <c r="K116" i="5" s="1"/>
  <c r="C117" i="5" l="1"/>
  <c r="L116" i="5"/>
  <c r="I117" i="5" l="1"/>
  <c r="K117" i="5" s="1"/>
  <c r="F117" i="5"/>
  <c r="C118" i="5" l="1"/>
  <c r="L117" i="5"/>
  <c r="F118" i="5" l="1"/>
  <c r="I118" i="5"/>
  <c r="K118" i="5" s="1"/>
  <c r="C119" i="5" l="1"/>
  <c r="L118" i="5"/>
  <c r="I119" i="5" l="1"/>
  <c r="K119" i="5" s="1"/>
  <c r="F119" i="5"/>
  <c r="C120" i="5" l="1"/>
  <c r="L119" i="5"/>
  <c r="F120" i="5" l="1"/>
  <c r="I120" i="5"/>
  <c r="K120" i="5" s="1"/>
  <c r="C121" i="5" l="1"/>
  <c r="L120" i="5"/>
  <c r="I121" i="5" l="1"/>
  <c r="K121" i="5" s="1"/>
  <c r="F121" i="5"/>
  <c r="C122" i="5" l="1"/>
  <c r="L121" i="5"/>
  <c r="F122" i="5" l="1"/>
  <c r="I122" i="5"/>
  <c r="K122" i="5" s="1"/>
  <c r="C123" i="5" l="1"/>
  <c r="L122" i="5"/>
  <c r="I123" i="5" l="1"/>
  <c r="K123" i="5" s="1"/>
  <c r="F123" i="5"/>
  <c r="C124" i="5" l="1"/>
  <c r="L123" i="5"/>
  <c r="F124" i="5" l="1"/>
  <c r="I124" i="5"/>
  <c r="K124" i="5" s="1"/>
  <c r="C125" i="5" l="1"/>
  <c r="L124" i="5"/>
  <c r="I125" i="5" l="1"/>
  <c r="K125" i="5" s="1"/>
  <c r="F125" i="5"/>
  <c r="C126" i="5" l="1"/>
  <c r="L125" i="5"/>
  <c r="F126" i="5" l="1"/>
  <c r="I126" i="5"/>
  <c r="K126" i="5" s="1"/>
  <c r="C127" i="5" l="1"/>
  <c r="L126" i="5"/>
  <c r="I127" i="5" l="1"/>
  <c r="K127" i="5" s="1"/>
  <c r="F127" i="5"/>
  <c r="C128" i="5" l="1"/>
  <c r="L127" i="5"/>
  <c r="F128" i="5" l="1"/>
  <c r="I128" i="5"/>
  <c r="K128" i="5" s="1"/>
  <c r="C129" i="5" l="1"/>
  <c r="L128" i="5"/>
  <c r="I129" i="5" l="1"/>
  <c r="K129" i="5" s="1"/>
  <c r="F129" i="5"/>
  <c r="C130" i="5" l="1"/>
  <c r="L129" i="5"/>
  <c r="F130" i="5" l="1"/>
  <c r="I130" i="5"/>
  <c r="K130" i="5" s="1"/>
  <c r="C131" i="5" l="1"/>
  <c r="L130" i="5"/>
  <c r="I131" i="5" l="1"/>
  <c r="K131" i="5" s="1"/>
  <c r="F131" i="5"/>
  <c r="C132" i="5" l="1"/>
  <c r="L131" i="5"/>
  <c r="F132" i="5" l="1"/>
  <c r="I132" i="5"/>
  <c r="K132" i="5" s="1"/>
  <c r="C133" i="5" l="1"/>
  <c r="L132" i="5"/>
  <c r="I133" i="5" l="1"/>
  <c r="K133" i="5" s="1"/>
  <c r="F133" i="5"/>
  <c r="E32" i="4"/>
  <c r="C134" i="5" l="1"/>
  <c r="L133" i="5"/>
  <c r="F134" i="5" l="1"/>
  <c r="I134" i="5"/>
  <c r="K134" i="5" s="1"/>
  <c r="B40" i="3"/>
  <c r="C40" i="3" s="1"/>
  <c r="A40" i="3"/>
  <c r="B39" i="3"/>
  <c r="C39" i="3" s="1"/>
  <c r="A39" i="3"/>
  <c r="B38" i="3"/>
  <c r="C38" i="3" s="1"/>
  <c r="A38" i="3"/>
  <c r="B37" i="3"/>
  <c r="C37" i="3" s="1"/>
  <c r="A37" i="3"/>
  <c r="B36" i="3"/>
  <c r="F36" i="3" s="1"/>
  <c r="A36" i="3"/>
  <c r="B35" i="3"/>
  <c r="F35" i="3" s="1"/>
  <c r="A35" i="3"/>
  <c r="B34" i="3"/>
  <c r="F34" i="3" s="1"/>
  <c r="A34" i="3"/>
  <c r="B33" i="3"/>
  <c r="C33" i="3" s="1"/>
  <c r="A33" i="3"/>
  <c r="B32" i="3"/>
  <c r="F32" i="3" s="1"/>
  <c r="A32" i="3"/>
  <c r="B31" i="3"/>
  <c r="F31" i="3" s="1"/>
  <c r="A31" i="3"/>
  <c r="B30" i="3"/>
  <c r="F30" i="3" s="1"/>
  <c r="A30" i="3"/>
  <c r="B29" i="3"/>
  <c r="C29" i="3" s="1"/>
  <c r="A29" i="3"/>
  <c r="B28" i="3"/>
  <c r="C28" i="3" s="1"/>
  <c r="A28" i="3"/>
  <c r="B27" i="3"/>
  <c r="C27" i="3" s="1"/>
  <c r="A27" i="3"/>
  <c r="B26" i="3"/>
  <c r="C26" i="3" s="1"/>
  <c r="A26" i="3"/>
  <c r="B25" i="3"/>
  <c r="F25" i="3" s="1"/>
  <c r="A25" i="3"/>
  <c r="D19" i="3"/>
  <c r="C4" i="3"/>
  <c r="C3" i="3"/>
  <c r="C2" i="3"/>
  <c r="C1" i="3"/>
  <c r="J20" i="2"/>
  <c r="I20" i="2"/>
  <c r="D20" i="2"/>
  <c r="K19" i="2"/>
  <c r="O18" i="2"/>
  <c r="K18" i="2"/>
  <c r="H18" i="2"/>
  <c r="F18" i="2"/>
  <c r="N18" i="2" s="1"/>
  <c r="N17" i="2"/>
  <c r="K17" i="2"/>
  <c r="H17" i="2"/>
  <c r="G17" i="2"/>
  <c r="O17" i="2" s="1"/>
  <c r="O16" i="2"/>
  <c r="N16" i="2"/>
  <c r="K16" i="2"/>
  <c r="H15" i="2"/>
  <c r="N15" i="2" s="1"/>
  <c r="F15" i="2"/>
  <c r="E15" i="2"/>
  <c r="O15" i="2" s="1"/>
  <c r="H14" i="2"/>
  <c r="G14" i="2"/>
  <c r="O14" i="2" s="1"/>
  <c r="F14" i="2"/>
  <c r="E14" i="2"/>
  <c r="E20" i="2" s="1"/>
  <c r="O13" i="2"/>
  <c r="N13" i="2"/>
  <c r="K13" i="2"/>
  <c r="F13" i="2"/>
  <c r="O12" i="2"/>
  <c r="N12" i="2"/>
  <c r="K12" i="2"/>
  <c r="H12" i="2"/>
  <c r="F12" i="2"/>
  <c r="H11" i="2"/>
  <c r="G11" i="2"/>
  <c r="K11" i="2" s="1"/>
  <c r="F11" i="2"/>
  <c r="O10" i="2"/>
  <c r="N10" i="2"/>
  <c r="K10" i="2"/>
  <c r="H10" i="2"/>
  <c r="H9" i="2"/>
  <c r="G9" i="2"/>
  <c r="O9" i="2" s="1"/>
  <c r="F9" i="2"/>
  <c r="P8" i="2"/>
  <c r="P20" i="2" s="1"/>
  <c r="O8" i="2"/>
  <c r="K8" i="2"/>
  <c r="F8" i="2"/>
  <c r="F20" i="2" s="1"/>
  <c r="A189" i="1"/>
  <c r="E185" i="1"/>
  <c r="E183" i="1"/>
  <c r="E179" i="1"/>
  <c r="C175" i="1"/>
  <c r="E175" i="1" s="1"/>
  <c r="D164" i="1"/>
  <c r="D171" i="1" s="1"/>
  <c r="C164" i="1"/>
  <c r="C171" i="1" s="1"/>
  <c r="E162" i="1"/>
  <c r="E161" i="1"/>
  <c r="E160" i="1"/>
  <c r="E159" i="1"/>
  <c r="E158" i="1"/>
  <c r="E157" i="1"/>
  <c r="E156" i="1"/>
  <c r="E164" i="1" s="1"/>
  <c r="E171" i="1" s="1"/>
  <c r="E155" i="1"/>
  <c r="D151" i="1"/>
  <c r="D169" i="1" s="1"/>
  <c r="D149" i="1"/>
  <c r="C149" i="1"/>
  <c r="E148" i="1"/>
  <c r="E147" i="1"/>
  <c r="E146" i="1"/>
  <c r="E145" i="1"/>
  <c r="E144" i="1"/>
  <c r="E149" i="1" s="1"/>
  <c r="D141" i="1"/>
  <c r="C141" i="1"/>
  <c r="C151" i="1" s="1"/>
  <c r="C169" i="1" s="1"/>
  <c r="C173" i="1" s="1"/>
  <c r="C177" i="1" s="1"/>
  <c r="E139" i="1"/>
  <c r="E138" i="1"/>
  <c r="E137" i="1"/>
  <c r="E136" i="1"/>
  <c r="E135" i="1"/>
  <c r="E134" i="1"/>
  <c r="E133" i="1"/>
  <c r="E132" i="1"/>
  <c r="E131" i="1"/>
  <c r="E130" i="1"/>
  <c r="E141" i="1" s="1"/>
  <c r="E151" i="1" s="1"/>
  <c r="E169" i="1" s="1"/>
  <c r="E121" i="1"/>
  <c r="C117" i="1"/>
  <c r="E117" i="1" s="1"/>
  <c r="E102" i="1"/>
  <c r="E100" i="1"/>
  <c r="E97" i="1"/>
  <c r="E96" i="1"/>
  <c r="E93" i="1"/>
  <c r="E92" i="1"/>
  <c r="D89" i="1"/>
  <c r="D104" i="1" s="1"/>
  <c r="D107" i="1" s="1"/>
  <c r="D112" i="1" s="1"/>
  <c r="C89" i="1"/>
  <c r="C104" i="1" s="1"/>
  <c r="C107" i="1" s="1"/>
  <c r="C112" i="1" s="1"/>
  <c r="E87" i="1"/>
  <c r="E84" i="1"/>
  <c r="E83" i="1"/>
  <c r="E82" i="1"/>
  <c r="D77" i="1"/>
  <c r="C77" i="1"/>
  <c r="E76" i="1"/>
  <c r="E75" i="1"/>
  <c r="E74" i="1"/>
  <c r="E73" i="1"/>
  <c r="E72" i="1"/>
  <c r="E71" i="1"/>
  <c r="E70" i="1"/>
  <c r="E77" i="1" s="1"/>
  <c r="E65" i="1"/>
  <c r="E64" i="1"/>
  <c r="D61" i="1"/>
  <c r="D66" i="1" s="1"/>
  <c r="D111" i="1" s="1"/>
  <c r="C61" i="1"/>
  <c r="C66" i="1" s="1"/>
  <c r="C111" i="1" s="1"/>
  <c r="E60" i="1"/>
  <c r="E59" i="1"/>
  <c r="E58" i="1"/>
  <c r="E57" i="1"/>
  <c r="E56" i="1"/>
  <c r="E55" i="1"/>
  <c r="E54" i="1"/>
  <c r="E53" i="1"/>
  <c r="E52" i="1"/>
  <c r="E51" i="1"/>
  <c r="E50" i="1"/>
  <c r="E49" i="1"/>
  <c r="E48" i="1"/>
  <c r="E47" i="1"/>
  <c r="E34" i="1"/>
  <c r="E31" i="1"/>
  <c r="E28" i="1"/>
  <c r="E21" i="1"/>
  <c r="E18" i="1"/>
  <c r="E17" i="1"/>
  <c r="E27" i="1" s="1"/>
  <c r="E29" i="1" s="1"/>
  <c r="E33" i="1" s="1"/>
  <c r="E36" i="1" s="1"/>
  <c r="E38" i="1" s="1"/>
  <c r="E6" i="1"/>
  <c r="B6" i="1"/>
  <c r="B5" i="1"/>
  <c r="B4" i="1"/>
  <c r="B3" i="1"/>
  <c r="C135" i="5" l="1"/>
  <c r="L134" i="5"/>
  <c r="E61" i="1"/>
  <c r="E66" i="1" s="1"/>
  <c r="E111" i="1" s="1"/>
  <c r="N9" i="2"/>
  <c r="E89" i="1"/>
  <c r="E104" i="1" s="1"/>
  <c r="E107" i="1" s="1"/>
  <c r="E112" i="1" s="1"/>
  <c r="N14" i="2"/>
  <c r="H20" i="2"/>
  <c r="D114" i="1"/>
  <c r="K9" i="2"/>
  <c r="K15" i="2"/>
  <c r="N20" i="2"/>
  <c r="N11" i="2"/>
  <c r="G25" i="3"/>
  <c r="H25" i="3" s="1"/>
  <c r="D29" i="3"/>
  <c r="E29" i="3" s="1"/>
  <c r="D33" i="3"/>
  <c r="E33" i="3" s="1"/>
  <c r="D39" i="3"/>
  <c r="E39" i="3" s="1"/>
  <c r="D27" i="3"/>
  <c r="E27" i="3" s="1"/>
  <c r="G31" i="3"/>
  <c r="H31" i="3" s="1"/>
  <c r="G35" i="3"/>
  <c r="H35" i="3" s="1"/>
  <c r="D37" i="3"/>
  <c r="E37" i="3" s="1"/>
  <c r="D26" i="3"/>
  <c r="E26" i="3" s="1"/>
  <c r="D28" i="3"/>
  <c r="E28" i="3" s="1"/>
  <c r="G30" i="3"/>
  <c r="H30" i="3" s="1"/>
  <c r="G32" i="3"/>
  <c r="H32" i="3" s="1"/>
  <c r="G34" i="3"/>
  <c r="H34" i="3" s="1"/>
  <c r="G36" i="3"/>
  <c r="H36" i="3" s="1"/>
  <c r="D38" i="3"/>
  <c r="E38" i="3" s="1"/>
  <c r="D40" i="3"/>
  <c r="E40" i="3" s="1"/>
  <c r="F26" i="3"/>
  <c r="F27" i="3"/>
  <c r="F28" i="3"/>
  <c r="F29" i="3"/>
  <c r="F33" i="3"/>
  <c r="F37" i="3"/>
  <c r="F38" i="3"/>
  <c r="F39" i="3"/>
  <c r="F40" i="3"/>
  <c r="C25" i="3"/>
  <c r="C30" i="3"/>
  <c r="C31" i="3"/>
  <c r="C32" i="3"/>
  <c r="C34" i="3"/>
  <c r="C35" i="3"/>
  <c r="C36" i="3"/>
  <c r="O11" i="2"/>
  <c r="G20" i="2"/>
  <c r="O20" i="2" s="1"/>
  <c r="N8" i="2"/>
  <c r="K14" i="2"/>
  <c r="C114" i="1"/>
  <c r="E173" i="1"/>
  <c r="E177" i="1" s="1"/>
  <c r="E181" i="1" s="1"/>
  <c r="E187" i="1" s="1"/>
  <c r="E189" i="1" s="1"/>
  <c r="D173" i="1"/>
  <c r="D177" i="1" s="1"/>
  <c r="E19" i="1"/>
  <c r="E23" i="1" s="1"/>
  <c r="I135" i="5" l="1"/>
  <c r="K135" i="5" s="1"/>
  <c r="F135" i="5"/>
  <c r="K20" i="2"/>
  <c r="E114" i="1"/>
  <c r="E119" i="1" s="1"/>
  <c r="E123" i="1" s="1"/>
  <c r="D31" i="3"/>
  <c r="E31" i="3" s="1"/>
  <c r="G29" i="3"/>
  <c r="H29" i="3" s="1"/>
  <c r="D35" i="3"/>
  <c r="E35" i="3" s="1"/>
  <c r="G28" i="3"/>
  <c r="H28" i="3" s="1"/>
  <c r="D34" i="3"/>
  <c r="E34" i="3" s="1"/>
  <c r="D25" i="3"/>
  <c r="E25" i="3" s="1"/>
  <c r="G37" i="3"/>
  <c r="H37" i="3" s="1"/>
  <c r="G27" i="3"/>
  <c r="H27" i="3" s="1"/>
  <c r="D36" i="3"/>
  <c r="E36" i="3" s="1"/>
  <c r="G39" i="3"/>
  <c r="H39" i="3" s="1"/>
  <c r="D30" i="3"/>
  <c r="E30" i="3" s="1"/>
  <c r="G38" i="3"/>
  <c r="H38" i="3" s="1"/>
  <c r="D32" i="3"/>
  <c r="E32" i="3" s="1"/>
  <c r="G40" i="3"/>
  <c r="H40" i="3" s="1"/>
  <c r="G33" i="3"/>
  <c r="H33" i="3" s="1"/>
  <c r="G26" i="3"/>
  <c r="H26" i="3" s="1"/>
  <c r="C136" i="5" l="1"/>
  <c r="F136" i="5" l="1"/>
  <c r="I136" i="5"/>
  <c r="K136" i="5" s="1"/>
  <c r="C137" i="5" l="1"/>
  <c r="L136" i="5"/>
  <c r="I137" i="5" l="1"/>
  <c r="K137" i="5" s="1"/>
  <c r="F137" i="5"/>
  <c r="C138" i="5" l="1"/>
  <c r="L137" i="5"/>
  <c r="F138" i="5" l="1"/>
  <c r="I138" i="5"/>
  <c r="K138" i="5" s="1"/>
  <c r="C139" i="5" l="1"/>
  <c r="L138" i="5"/>
  <c r="I139" i="5" l="1"/>
  <c r="K139" i="5" s="1"/>
  <c r="F139" i="5"/>
  <c r="C140" i="5" l="1"/>
  <c r="L139" i="5"/>
  <c r="F140" i="5" l="1"/>
  <c r="I140" i="5"/>
  <c r="K140" i="5" s="1"/>
  <c r="C141" i="5" l="1"/>
  <c r="L140" i="5"/>
  <c r="I141" i="5" l="1"/>
  <c r="K141" i="5" s="1"/>
  <c r="F141" i="5"/>
  <c r="C142" i="5" l="1"/>
  <c r="L141" i="5"/>
  <c r="F142" i="5" l="1"/>
  <c r="I142" i="5"/>
  <c r="K142" i="5" s="1"/>
  <c r="C143" i="5" l="1"/>
  <c r="L142" i="5"/>
  <c r="I143" i="5" l="1"/>
  <c r="K143" i="5" s="1"/>
  <c r="F143" i="5"/>
  <c r="L143" i="5" l="1"/>
</calcChain>
</file>

<file path=xl/comments1.xml><?xml version="1.0" encoding="utf-8"?>
<comments xmlns="http://schemas.openxmlformats.org/spreadsheetml/2006/main">
  <authors>
    <author>nagyj</author>
  </authors>
  <commentList>
    <comment ref="H108" authorId="0">
      <text>
        <r>
          <rPr>
            <b/>
            <sz val="8"/>
            <color indexed="81"/>
            <rFont val="Tahoma"/>
            <family val="2"/>
          </rPr>
          <t>nagyj:</t>
        </r>
        <r>
          <rPr>
            <sz val="8"/>
            <color indexed="81"/>
            <rFont val="Tahoma"/>
            <family val="2"/>
          </rPr>
          <t xml:space="preserve">
assumed rate 1.2%
actual rate 1.47%
</t>
        </r>
      </text>
    </comment>
    <comment ref="H109" authorId="0">
      <text>
        <r>
          <rPr>
            <b/>
            <sz val="8"/>
            <color indexed="81"/>
            <rFont val="Tahoma"/>
            <family val="2"/>
          </rPr>
          <t>nagyj:</t>
        </r>
        <r>
          <rPr>
            <sz val="8"/>
            <color indexed="81"/>
            <rFont val="Tahoma"/>
            <family val="2"/>
          </rPr>
          <t xml:space="preserve">
assumed rate 1.2%
actual rate 1.47%
</t>
        </r>
      </text>
    </comment>
    <comment ref="H110" authorId="0">
      <text>
        <r>
          <rPr>
            <b/>
            <sz val="8"/>
            <color indexed="81"/>
            <rFont val="Tahoma"/>
            <family val="2"/>
          </rPr>
          <t>nagyj:</t>
        </r>
        <r>
          <rPr>
            <sz val="8"/>
            <color indexed="81"/>
            <rFont val="Tahoma"/>
            <family val="2"/>
          </rPr>
          <t xml:space="preserve">
assumed rate 1.2%
actual rate 1.47%
</t>
        </r>
      </text>
    </comment>
    <comment ref="H111" authorId="0">
      <text>
        <r>
          <rPr>
            <b/>
            <sz val="8"/>
            <color indexed="81"/>
            <rFont val="Tahoma"/>
            <family val="2"/>
          </rPr>
          <t>nagyj:</t>
        </r>
        <r>
          <rPr>
            <sz val="8"/>
            <color indexed="81"/>
            <rFont val="Tahoma"/>
            <family val="2"/>
          </rPr>
          <t xml:space="preserve">
assumed rate 1.2%
actual rate 1.47%
</t>
        </r>
      </text>
    </comment>
    <comment ref="H112" authorId="0">
      <text>
        <r>
          <rPr>
            <b/>
            <sz val="8"/>
            <color indexed="81"/>
            <rFont val="Tahoma"/>
            <family val="2"/>
          </rPr>
          <t>nagyj:</t>
        </r>
        <r>
          <rPr>
            <sz val="8"/>
            <color indexed="81"/>
            <rFont val="Tahoma"/>
            <family val="2"/>
          </rPr>
          <t xml:space="preserve">
assumed rate 1.2%
actual rate 1.47%
</t>
        </r>
      </text>
    </comment>
    <comment ref="H113" authorId="0">
      <text>
        <r>
          <rPr>
            <b/>
            <sz val="8"/>
            <color indexed="81"/>
            <rFont val="Tahoma"/>
            <family val="2"/>
          </rPr>
          <t>nagyj:</t>
        </r>
        <r>
          <rPr>
            <sz val="8"/>
            <color indexed="81"/>
            <rFont val="Tahoma"/>
            <family val="2"/>
          </rPr>
          <t xml:space="preserve">
assumed rate 1.2%
actual rate 1.47%
</t>
        </r>
      </text>
    </comment>
  </commentList>
</comments>
</file>

<file path=xl/sharedStrings.xml><?xml version="1.0" encoding="utf-8"?>
<sst xmlns="http://schemas.openxmlformats.org/spreadsheetml/2006/main" count="290" uniqueCount="243">
  <si>
    <t>Name of Utility:</t>
  </si>
  <si>
    <t>License Number:</t>
  </si>
  <si>
    <t>File Numbers:</t>
  </si>
  <si>
    <t>Name of Contact:</t>
  </si>
  <si>
    <t>Phone Number:</t>
  </si>
  <si>
    <r>
      <t xml:space="preserve">If Rate Base is proxy for paid-up capital, use </t>
    </r>
    <r>
      <rPr>
        <b/>
        <sz val="10"/>
        <color indexed="10"/>
        <rFont val="Arial"/>
        <family val="2"/>
      </rPr>
      <t>Section A</t>
    </r>
  </si>
  <si>
    <r>
      <t xml:space="preserve">If using actual paid-up capital, use </t>
    </r>
    <r>
      <rPr>
        <b/>
        <sz val="10"/>
        <color indexed="10"/>
        <rFont val="Arial"/>
        <family val="2"/>
      </rPr>
      <t>Section B</t>
    </r>
  </si>
  <si>
    <t>Enter the LCT amount from either Section A or B in tab "Tax Provision" cell D28</t>
  </si>
  <si>
    <t>Section A</t>
  </si>
  <si>
    <t>Wires Only</t>
  </si>
  <si>
    <t>ONTARIO CAPITAL TAX</t>
  </si>
  <si>
    <t>Rate Base</t>
  </si>
  <si>
    <t>Less: Exemption</t>
  </si>
  <si>
    <t>Deemed Taxable Capital</t>
  </si>
  <si>
    <t>Rate in 2006</t>
  </si>
  <si>
    <t>Net Amount (Taxable Capital x Rate)</t>
  </si>
  <si>
    <t>FEDERAL LCT</t>
  </si>
  <si>
    <t>Rate Base from</t>
  </si>
  <si>
    <t>Gross Amount  (Taxable Capital x Rate)</t>
  </si>
  <si>
    <t>Less: Federal Surtax</t>
  </si>
  <si>
    <t>Net LCT</t>
  </si>
  <si>
    <t>Grossed-up LCT</t>
  </si>
  <si>
    <t>Section B</t>
  </si>
  <si>
    <t>Detailed Calculation of the Ontario Capital Tax</t>
  </si>
  <si>
    <t xml:space="preserve">ONTARIO CAPITAL TAX </t>
  </si>
  <si>
    <t>(From Ontario CT23)</t>
  </si>
  <si>
    <t>PAID-UP CAPITAL</t>
  </si>
  <si>
    <t>From 2004 Tax Return</t>
  </si>
  <si>
    <t>Non-Distribution Elimination</t>
  </si>
  <si>
    <t>Paid-up capital stock</t>
  </si>
  <si>
    <r>
      <t xml:space="preserve">Retained earnings </t>
    </r>
    <r>
      <rPr>
        <sz val="10"/>
        <color indexed="10"/>
        <rFont val="Arial"/>
        <family val="2"/>
      </rPr>
      <t>(if deficit, use negative sign)</t>
    </r>
  </si>
  <si>
    <t>Capital and other surplus excluding</t>
  </si>
  <si>
    <t xml:space="preserve">   appraisal surplus</t>
  </si>
  <si>
    <t>Loans and advances</t>
  </si>
  <si>
    <t>Bank loans</t>
  </si>
  <si>
    <t>Bankers acceptances</t>
  </si>
  <si>
    <t>Bonds and debentures payable</t>
  </si>
  <si>
    <t>Mortgages payable</t>
  </si>
  <si>
    <t>Lien notes payable</t>
  </si>
  <si>
    <t>Deferred credits</t>
  </si>
  <si>
    <t>Contingent, investment, inventory and similar reserves</t>
  </si>
  <si>
    <t>Other reserves not allowed as deductions</t>
  </si>
  <si>
    <t>Share of partnership(s), joint venture(s) paid-up capital</t>
  </si>
  <si>
    <t>Sub-total</t>
  </si>
  <si>
    <t>Subtract:</t>
  </si>
  <si>
    <t>Amounts deducted for income tax purposes in excess of amounts booked</t>
  </si>
  <si>
    <t>Deductible R&amp;D expenditures and ONTTI  costs deferred for income tax</t>
  </si>
  <si>
    <t>Total (Net) Paid-up Capital</t>
  </si>
  <si>
    <t>ELIGIBLE INVESTMENTS</t>
  </si>
  <si>
    <t>Bonds, lien notes, interest coupons</t>
  </si>
  <si>
    <t>Mortgages due from other corporations</t>
  </si>
  <si>
    <t>Shares in other corporations</t>
  </si>
  <si>
    <t>Loans and advances to unrelated corporations</t>
  </si>
  <si>
    <t>Eligible loans and advances to related corporations</t>
  </si>
  <si>
    <t>Share of partnership(s) or joint venture(s)  eligible investments</t>
  </si>
  <si>
    <t>Total Eligible Investments</t>
  </si>
  <si>
    <t>TOTAL ASSETS</t>
  </si>
  <si>
    <t>Total assets per balance sheet</t>
  </si>
  <si>
    <t>Mortgages or other liabilities deducted from assets</t>
  </si>
  <si>
    <t>Share of partnership(s)/ joint venture(s) total assets</t>
  </si>
  <si>
    <t>Deduct</t>
  </si>
  <si>
    <t>Investment in partnership(s)/joint venture(s)</t>
  </si>
  <si>
    <t>Total assets as adjusted</t>
  </si>
  <si>
    <t>Add: (if deducted from assets)</t>
  </si>
  <si>
    <t xml:space="preserve">  Contingent, investment, inventory and similar reserves</t>
  </si>
  <si>
    <t xml:space="preserve">  Other reserves not allowed as deductions</t>
  </si>
  <si>
    <t xml:space="preserve">Deductible R&amp;D expenditures and ONTTI  costs deferred for income tax </t>
  </si>
  <si>
    <t>Appraisal surplus if booked</t>
  </si>
  <si>
    <r>
      <t xml:space="preserve">Other adjustments </t>
    </r>
    <r>
      <rPr>
        <sz val="10"/>
        <color indexed="10"/>
        <rFont val="Arial"/>
        <family val="2"/>
      </rPr>
      <t>(if deducting, use negative sign)</t>
    </r>
  </si>
  <si>
    <t>Total Assets</t>
  </si>
  <si>
    <t>Investment Allowance</t>
  </si>
  <si>
    <t>Taxable Capital</t>
  </si>
  <si>
    <t>Net paid-up capital</t>
  </si>
  <si>
    <t>Capital Tax Calculation</t>
  </si>
  <si>
    <t>Deduction from taxable capital up to $10,000,000</t>
  </si>
  <si>
    <t xml:space="preserve">Net Taxable Capital </t>
  </si>
  <si>
    <t>Rate</t>
  </si>
  <si>
    <t>Ontario Capital Tax (Deductible, not grossed-up)</t>
  </si>
  <si>
    <t xml:space="preserve">LARGE CORPORATION TAX </t>
  </si>
  <si>
    <t>(From Federal Schedule 33)</t>
  </si>
  <si>
    <t>CAPITAL</t>
  </si>
  <si>
    <t>ADD:</t>
  </si>
  <si>
    <t>Reserves that have not been deducted in  computing income for the year under Part I</t>
  </si>
  <si>
    <t>Capital stock</t>
  </si>
  <si>
    <t>Retained earnings</t>
  </si>
  <si>
    <t>Contributed surplus</t>
  </si>
  <si>
    <t>Any other surpluses</t>
  </si>
  <si>
    <t>Deferred unrealized foreign exchange gains</t>
  </si>
  <si>
    <t>All loans and advances to the corporation</t>
  </si>
  <si>
    <t>All indebtedness- bonds, debentures, notes, mortgages, bankers acceptances, or similar obligations</t>
  </si>
  <si>
    <t>Any dividends declared but not paid</t>
  </si>
  <si>
    <t>All other indebtedness outstanding for more than 365 days</t>
  </si>
  <si>
    <t xml:space="preserve">Subtotal  </t>
  </si>
  <si>
    <t>DEDUCT:</t>
  </si>
  <si>
    <t>Deferred tax debit balance</t>
  </si>
  <si>
    <t>Any deficit deducted in computing shareholders' equity</t>
  </si>
  <si>
    <t>Any patronage dividends 135(1) deducted in computing income under Part I included in amounts above</t>
  </si>
  <si>
    <t>Deferred unrealized foreign exchange losses</t>
  </si>
  <si>
    <t xml:space="preserve">Capital for the year </t>
  </si>
  <si>
    <t>INVESTMENT ALLOWANCE</t>
  </si>
  <si>
    <t>Shares in another corporation</t>
  </si>
  <si>
    <t>Loan or advance to another corporation</t>
  </si>
  <si>
    <t xml:space="preserve">Bond, debenture, note, mortgage, or </t>
  </si>
  <si>
    <t xml:space="preserve">  similar obligation of another corporation</t>
  </si>
  <si>
    <t>Long term debt of financial institution</t>
  </si>
  <si>
    <t>Dividend receivable from another corporation</t>
  </si>
  <si>
    <t>Debts of corporate partnerships that were not exempt from tax under Part I.3</t>
  </si>
  <si>
    <t>Interest in a partnership</t>
  </si>
  <si>
    <t xml:space="preserve">TAXABLE CAPITAL </t>
  </si>
  <si>
    <t xml:space="preserve">Capital for the year   </t>
  </si>
  <si>
    <t xml:space="preserve">Deduct: Investment allowance   </t>
  </si>
  <si>
    <t xml:space="preserve">Taxable Capital for taxation year  </t>
  </si>
  <si>
    <t>Deduct:  Capital Deduction upto $50,000,000</t>
  </si>
  <si>
    <t xml:space="preserve">Taxable Capital    </t>
  </si>
  <si>
    <t xml:space="preserve">Gross Part I.3 Tax    LCT </t>
  </si>
  <si>
    <t>Federal Surtax Rate</t>
  </si>
  <si>
    <t>Less: Federal Surtax = Taxable Income x Surtax Rate</t>
  </si>
  <si>
    <r>
      <t xml:space="preserve">Net Part I.3 Tax - LCT  Payable  </t>
    </r>
    <r>
      <rPr>
        <b/>
        <i/>
        <sz val="10"/>
        <color indexed="10"/>
        <rFont val="Arial"/>
        <family val="2"/>
      </rPr>
      <t>(If surtax is greater than Gross LCT, then zero)</t>
    </r>
  </si>
  <si>
    <t>`</t>
  </si>
  <si>
    <t>2.1.1 Retail Services and Settlement Variances</t>
  </si>
  <si>
    <t>Other Deferral / Variance Accounts</t>
  </si>
  <si>
    <t>For the quarter ending: June 30,2007</t>
  </si>
  <si>
    <t>Account</t>
  </si>
  <si>
    <t>Quarter Opening Balance      DR / (CR)</t>
  </si>
  <si>
    <t>Carrying Charges**     DR / (CR)</t>
  </si>
  <si>
    <t>Net Accruals DR / (CR)</t>
  </si>
  <si>
    <t>Other Adjustments DR / (CR)</t>
  </si>
  <si>
    <t>Quarter Closing Balance        DR / (CR)</t>
  </si>
  <si>
    <t xml:space="preserve"> </t>
  </si>
  <si>
    <t>For this period</t>
  </si>
  <si>
    <t>To date</t>
  </si>
  <si>
    <t>1508  other regulatory assets</t>
  </si>
  <si>
    <t>1518 RCVA retail</t>
  </si>
  <si>
    <t>1525 miscellaneous deferred debits</t>
  </si>
  <si>
    <t>1548 RCVA STR</t>
  </si>
  <si>
    <t>1550 Low Voltage Variance Account</t>
  </si>
  <si>
    <t xml:space="preserve"> 1555 Smart Meter Capital Variances</t>
  </si>
  <si>
    <t>1556 Smart Meter O&amp;M Variances</t>
  </si>
  <si>
    <t>1562 deferred PILs</t>
  </si>
  <si>
    <t>1592 deferred PILs</t>
  </si>
  <si>
    <t>1565  Conservation and Demand Management Expenditures and Recoveries</t>
  </si>
  <si>
    <t>1590 recovery of regulatory asset balances</t>
  </si>
  <si>
    <t>2425 other deferred credits</t>
  </si>
  <si>
    <t>Totals</t>
  </si>
  <si>
    <t>** Simple interest (not compounded)</t>
  </si>
  <si>
    <t>Note: Enter credits as negative $ amounts</t>
  </si>
  <si>
    <t>Other adjustments are in accordance with Boards Decision of Dec 9/04 re: Regulatory Asset Hearings - RP-2004-0064/EB-2004-0318</t>
  </si>
  <si>
    <t>Sheet 7 - Large Corporation Tax Allowance</t>
  </si>
  <si>
    <t>Did the applicant receive Board approval for Large Corporation Tax in 2006?</t>
  </si>
  <si>
    <t>For distributors that had a Large Corporation Tax (LCT) allowance approved in their 2006 distribution rates, this sheet will reduce rates to reflect the removal of this allowance in 2007.  The reduction in the allowance will be reflected through a percentage decrease in distribution rates calculated by the ratio of 2006 LCT allowance to the 2006 Base revenue requirement.  The 2006 Board-approved LCT allowance is found in your Board-approved 2006 PILs model, sheet "Test Year OCT, LCT", cell E181.  The 2006 Board-approved base revenue requirement is found in your 2006 Board-approved EDR model, sheet 5-1, cell F22.</t>
  </si>
  <si>
    <t>Enter your 2006 Approved LCT allowance</t>
  </si>
  <si>
    <t>Enter your 2006 Base Revenue Requirement</t>
  </si>
  <si>
    <t>Rate Reduction Ratio</t>
  </si>
  <si>
    <t>Class</t>
  </si>
  <si>
    <r>
      <t>Monthly Service Charge (</t>
    </r>
    <r>
      <rPr>
        <b/>
        <sz val="8"/>
        <rFont val="Arial"/>
        <family val="2"/>
      </rPr>
      <t>without smart meter rate adder)</t>
    </r>
  </si>
  <si>
    <t>Reduction by Large Corporation Tax Ratio</t>
  </si>
  <si>
    <t>Adjusted Monthly Service Charge</t>
  </si>
  <si>
    <t>2006 Volumetric Rate</t>
  </si>
  <si>
    <t>Adjusted Volumetric Rate</t>
  </si>
  <si>
    <t>kW / kWh</t>
  </si>
  <si>
    <t>File Number:</t>
  </si>
  <si>
    <t>EB-2012-0146</t>
  </si>
  <si>
    <t>Exhibit:</t>
  </si>
  <si>
    <t>Tab:</t>
  </si>
  <si>
    <t>Schedule:</t>
  </si>
  <si>
    <t>Page:</t>
  </si>
  <si>
    <t>Date:</t>
  </si>
  <si>
    <t>Appendix 2-T</t>
  </si>
  <si>
    <t>Deferred PILs Account 1592 Balances</t>
  </si>
  <si>
    <t>The following table should be completed based on the information requested below, in accordance with the notes following the table. An explanation should be provided for any blank entries.</t>
  </si>
  <si>
    <t>Tax Item</t>
  </si>
  <si>
    <t>Principal as of</t>
  </si>
  <si>
    <t>December 31,</t>
  </si>
  <si>
    <t>Large Corporation Tax grossed-up proxy from 2006 EDR application PILs model for the period from May 1, 2006 to April 30, 2007</t>
  </si>
  <si>
    <t>Large Corporation Tax grossed-up proxy from 2006 EDR application PILs model for the period from January 1, 2006 to April 30, 2006 (4/12ths of the approved grossed-up proxy), if not recorded in PILs account 1562</t>
  </si>
  <si>
    <t>Ontario Capital Tax rate decrease and increase in capital deduction for 2007</t>
  </si>
  <si>
    <t>Ontario Capital Tax rate decrease and increase in capital deduction for 2008</t>
  </si>
  <si>
    <t>Ontario Capital Tax rate decrease and increase in capital deduction for 2009</t>
  </si>
  <si>
    <t>Ontario Capital Tax rate decrease and increase in capital deduction for 2010</t>
  </si>
  <si>
    <t>Capital Cost Allowance class changes from 2006 EDR application for 2006</t>
  </si>
  <si>
    <t>Capital Cost Allowance class changes from 2006 EDR application for 2007</t>
  </si>
  <si>
    <t>Capital Cost Allowance class changes from 2006 EDR application for 2008</t>
  </si>
  <si>
    <t>Capital Cost Allowance class changes from 2006 EDR application for 2009</t>
  </si>
  <si>
    <t>Capital Cost Allowance class changes from 2006 EDR application for 2010</t>
  </si>
  <si>
    <t>Capital Cost Allowance class changes from 2006 EDR application for 2011</t>
  </si>
  <si>
    <t>Capital Cost Allowance class changes from any prior application not recorded above.  Please provide details and explanation separately.</t>
  </si>
  <si>
    <t>PST savings due to HST implementation July 1, 2010 to December 31, 2011</t>
  </si>
  <si>
    <t>Insert description of additional item(s) and new rows if needed.</t>
  </si>
  <si>
    <t>Total</t>
  </si>
  <si>
    <t>Notes:</t>
  </si>
  <si>
    <t>Revise the deferral and variance account continuity schedule to include account 1592 as a group 2 account and enter all relevant information for transactions, adjustments, etc., for all relevant years.</t>
  </si>
  <si>
    <t>Describe each type of tax item that has been recorded in account 1592.</t>
  </si>
  <si>
    <t>Provide the calculations that show how each item was determined and provide any pertinent supporting evidence and documentation.</t>
  </si>
  <si>
    <t>Please state whether or not the applicant followed the guidance provided in the FAQ of July 2007.  If not, please provide an explanation.</t>
  </si>
  <si>
    <t>Identify the account balance as of December 31, 2011 as per the 2011 Audited Financial Statements.  Identify the account balance as of December 31, 2011 as per the April 2012 2.1.7 RRR filing to the Board.  Provide a reconciliation if the balances provided are not identical to each other and to the total shown on the continuity schedule.</t>
  </si>
  <si>
    <t>Complete the above table based on the answers to the previous.  Add rows as required to complete the analysis in an informative manner.  Please provide the completed table as a working Excel spreadsheet.</t>
  </si>
  <si>
    <t>THIS ACCOUNT NOT BOOKED IN GL</t>
  </si>
  <si>
    <t>Account 1592 Payments In Lieu of Taxes</t>
  </si>
  <si>
    <t>QUARTERLY REPORTING VALUES</t>
  </si>
  <si>
    <t>Carrying Charges DR (CR)</t>
  </si>
  <si>
    <t>Net Accruals DR (CR)</t>
  </si>
  <si>
    <t>Other Adjustments DR (CR)</t>
  </si>
  <si>
    <t>Account 1518 RCVA Retail</t>
  </si>
  <si>
    <t>Opening Account Balance DR (CR)</t>
  </si>
  <si>
    <t>To-date</t>
  </si>
  <si>
    <t>Closing Balance DR (CR)</t>
  </si>
  <si>
    <t>Summary of Board approved PILs rate recoveries</t>
  </si>
  <si>
    <t>Period</t>
  </si>
  <si>
    <t>Annualized Amount</t>
  </si>
  <si>
    <t>LCT Credit Adjustment</t>
  </si>
  <si>
    <t>Mthly Amt</t>
  </si>
  <si>
    <t># of Months</t>
  </si>
  <si>
    <t>Adjustment Total</t>
  </si>
  <si>
    <t>Recovered Through Rates</t>
  </si>
  <si>
    <t>Interest</t>
  </si>
  <si>
    <t>Balance</t>
  </si>
  <si>
    <t>Date</t>
  </si>
  <si>
    <t>May  to Dec 2006</t>
  </si>
  <si>
    <t>Jan to Apr 2007</t>
  </si>
  <si>
    <t>May to June 2007</t>
  </si>
  <si>
    <t>Jul to Sept 2007</t>
  </si>
  <si>
    <t>Oct to Dec 2007</t>
  </si>
  <si>
    <t>Jan to Mar 2008</t>
  </si>
  <si>
    <t>Apr to June 2008</t>
  </si>
  <si>
    <t>Jul to Sept 2008</t>
  </si>
  <si>
    <t>Oct to Dec 2008</t>
  </si>
  <si>
    <t>Jan to Mar 2009</t>
  </si>
  <si>
    <t>Apr to June 2009</t>
  </si>
  <si>
    <t>Jul to Sept 2009</t>
  </si>
  <si>
    <t>Oct to Dec 2009</t>
  </si>
  <si>
    <t>Jan to Mar 2010</t>
  </si>
  <si>
    <t>Apr to June 2010</t>
  </si>
  <si>
    <t>Year</t>
  </si>
  <si>
    <t xml:space="preserve">1592             Opening   Account Balance Excluding Interest </t>
  </si>
  <si>
    <t xml:space="preserve">1592  Month End Balance Before Interest </t>
  </si>
  <si>
    <t>Days Interest</t>
  </si>
  <si>
    <t>Interest Rate</t>
  </si>
  <si>
    <t>Interest Amount</t>
  </si>
  <si>
    <t>Cummulative Interest</t>
  </si>
  <si>
    <t>Account 1562 Total</t>
  </si>
  <si>
    <t>Current Portion</t>
  </si>
  <si>
    <t>PROJ</t>
  </si>
  <si>
    <t>BDGT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</si>
</sst>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quot;$&quot;* #,##0.00_-;_-&quot;$&quot;* &quot;-&quot;??_-;_-@_-"/>
    <numFmt numFmtId="43" formatCode="_-* #,##0.00_-;\-* #,##0.00_-;_-* &quot;-&quot;??_-;_-@_-"/>
    <numFmt numFmtId="164" formatCode="_(* #,##0.00_);_(* \(#,##0.00\);_(* &quot;-&quot;??_);_(@_)"/>
    <numFmt numFmtId="165" formatCode="0.000%"/>
    <numFmt numFmtId="166" formatCode="0.0000%"/>
    <numFmt numFmtId="167" formatCode="0.00000%"/>
    <numFmt numFmtId="168" formatCode="_(&quot;$&quot;* #,##0_);_(&quot;$&quot;* \(#,##0\);_(&quot;$&quot;* &quot;-&quot;??_);_(@_)"/>
    <numFmt numFmtId="169" formatCode="_(* #,##0_);_(* \(#,##0\);_(* &quot;-&quot;??_);_(@_)"/>
    <numFmt numFmtId="170" formatCode="[$-F800]dddd\,\ mmmm\ dd\,\ yyyy"/>
    <numFmt numFmtId="171" formatCode="&quot;$&quot;#,##0.00"/>
    <numFmt numFmtId="172" formatCode="&quot;$&quot;#,##0.0000"/>
    <numFmt numFmtId="173" formatCode="_-&quot;$&quot;* #,##0.0000_-;\-&quot;$&quot;* #,##0.0000_-;_-&quot;$&quot;* &quot;-&quot;????_-;_-@_-"/>
    <numFmt numFmtId="175" formatCode="[$-409]d\-mmm\-yy;@"/>
    <numFmt numFmtId="176" formatCode="_-&quot;$&quot;* #,##0_-;\-&quot;$&quot;* #,##0_-;_-&quot;$&quot;* &quot;-&quot;??_-;_-@_-"/>
    <numFmt numFmtId="177" formatCode="[$-409]dd\-mmm\-yy;@"/>
  </numFmts>
  <fonts count="46" x14ac:knownFonts="1">
    <font>
      <sz val="11"/>
      <color theme="1"/>
      <name val="Calibri"/>
      <family val="2"/>
      <scheme val="minor"/>
    </font>
    <font>
      <sz val="11"/>
      <color theme="1"/>
      <name val="Calibri"/>
      <family val="2"/>
      <scheme val="minor"/>
    </font>
    <font>
      <sz val="11"/>
      <color rgb="FF9C0006"/>
      <name val="Calibri"/>
      <family val="2"/>
      <scheme val="minor"/>
    </font>
    <font>
      <b/>
      <sz val="10"/>
      <color indexed="55"/>
      <name val="Arial"/>
      <family val="2"/>
    </font>
    <font>
      <b/>
      <sz val="10"/>
      <color indexed="12"/>
      <name val="Arial"/>
      <family val="2"/>
    </font>
    <font>
      <b/>
      <sz val="10"/>
      <color indexed="10"/>
      <name val="Arial"/>
      <family val="2"/>
    </font>
    <font>
      <sz val="10"/>
      <color indexed="12"/>
      <name val="Arial"/>
    </font>
    <font>
      <sz val="10"/>
      <color indexed="10"/>
      <name val="Arial"/>
    </font>
    <font>
      <b/>
      <u/>
      <sz val="10"/>
      <color indexed="10"/>
      <name val="Arial"/>
      <family val="2"/>
    </font>
    <font>
      <sz val="10"/>
      <name val="Arial"/>
    </font>
    <font>
      <b/>
      <u/>
      <sz val="14"/>
      <color indexed="10"/>
      <name val="Arial"/>
      <family val="2"/>
    </font>
    <font>
      <sz val="14"/>
      <name val="Arial"/>
      <family val="2"/>
    </font>
    <font>
      <b/>
      <sz val="14"/>
      <name val="Arial"/>
      <family val="2"/>
    </font>
    <font>
      <b/>
      <u/>
      <sz val="10"/>
      <name val="Arial"/>
      <family val="2"/>
    </font>
    <font>
      <sz val="10"/>
      <name val="Arial"/>
      <family val="2"/>
    </font>
    <font>
      <b/>
      <sz val="9"/>
      <name val="Arial"/>
      <family val="2"/>
    </font>
    <font>
      <i/>
      <sz val="10"/>
      <name val="Arial"/>
      <family val="2"/>
    </font>
    <font>
      <b/>
      <sz val="10"/>
      <name val="Arial"/>
      <family val="2"/>
    </font>
    <font>
      <b/>
      <i/>
      <sz val="10"/>
      <name val="Arial"/>
      <family val="2"/>
    </font>
    <font>
      <sz val="10"/>
      <color indexed="10"/>
      <name val="Arial"/>
      <family val="2"/>
    </font>
    <font>
      <sz val="10"/>
      <color indexed="12"/>
      <name val="Arial"/>
      <family val="2"/>
    </font>
    <font>
      <b/>
      <i/>
      <sz val="10"/>
      <color indexed="10"/>
      <name val="Arial"/>
      <family val="2"/>
    </font>
    <font>
      <i/>
      <sz val="10"/>
      <color indexed="10"/>
      <name val="Arial"/>
      <family val="2"/>
    </font>
    <font>
      <b/>
      <sz val="11"/>
      <name val="Arial"/>
      <family val="2"/>
    </font>
    <font>
      <sz val="8"/>
      <color indexed="9"/>
      <name val="Arial"/>
    </font>
    <font>
      <sz val="8"/>
      <name val="Arial"/>
    </font>
    <font>
      <sz val="16"/>
      <color indexed="12"/>
      <name val="Algerian"/>
      <family val="5"/>
    </font>
    <font>
      <sz val="18"/>
      <color indexed="12"/>
      <name val="Algerian"/>
      <family val="5"/>
    </font>
    <font>
      <sz val="16"/>
      <name val="Cooper Black"/>
      <family val="1"/>
    </font>
    <font>
      <sz val="14"/>
      <name val="Cooper Black"/>
      <family val="1"/>
    </font>
    <font>
      <sz val="22"/>
      <name val="Algerian"/>
      <family val="5"/>
    </font>
    <font>
      <b/>
      <sz val="16"/>
      <color indexed="10"/>
      <name val="Cooper Black"/>
      <family val="1"/>
    </font>
    <font>
      <sz val="10"/>
      <color indexed="9"/>
      <name val="Arial"/>
    </font>
    <font>
      <b/>
      <sz val="10"/>
      <name val="Arial"/>
    </font>
    <font>
      <b/>
      <i/>
      <sz val="14"/>
      <name val="Arial"/>
      <family val="2"/>
    </font>
    <font>
      <b/>
      <sz val="8"/>
      <name val="Arial"/>
      <family val="2"/>
    </font>
    <font>
      <b/>
      <i/>
      <sz val="10"/>
      <color indexed="12"/>
      <name val="Arial"/>
      <family val="2"/>
    </font>
    <font>
      <sz val="8"/>
      <color rgb="FF000000"/>
      <name val="Tahoma"/>
      <family val="2"/>
    </font>
    <font>
      <sz val="11"/>
      <color rgb="FF006100"/>
      <name val="Calibri"/>
      <family val="2"/>
      <scheme val="minor"/>
    </font>
    <font>
      <sz val="8"/>
      <name val="Arial"/>
      <family val="2"/>
    </font>
    <font>
      <sz val="8"/>
      <color indexed="8"/>
      <name val="Arial"/>
      <family val="2"/>
    </font>
    <font>
      <sz val="8"/>
      <color indexed="10"/>
      <name val="Arial"/>
      <family val="2"/>
    </font>
    <font>
      <b/>
      <sz val="8"/>
      <color indexed="10"/>
      <name val="Arial"/>
      <family val="2"/>
    </font>
    <font>
      <b/>
      <u/>
      <sz val="8"/>
      <name val="Arial"/>
      <family val="2"/>
    </font>
    <font>
      <b/>
      <sz val="8"/>
      <color indexed="81"/>
      <name val="Tahoma"/>
      <family val="2"/>
    </font>
    <font>
      <sz val="8"/>
      <color indexed="81"/>
      <name val="Tahoma"/>
      <family val="2"/>
    </font>
  </fonts>
  <fills count="14">
    <fill>
      <patternFill patternType="none"/>
    </fill>
    <fill>
      <patternFill patternType="gray125"/>
    </fill>
    <fill>
      <patternFill patternType="solid">
        <fgColor rgb="FFFFC7CE"/>
      </patternFill>
    </fill>
    <fill>
      <patternFill patternType="solid">
        <fgColor indexed="9"/>
        <bgColor indexed="64"/>
      </patternFill>
    </fill>
    <fill>
      <patternFill patternType="solid">
        <fgColor indexed="44"/>
        <bgColor indexed="64"/>
      </patternFill>
    </fill>
    <fill>
      <patternFill patternType="solid">
        <fgColor indexed="9"/>
        <bgColor indexed="24"/>
      </patternFill>
    </fill>
    <fill>
      <patternFill patternType="solid">
        <fgColor indexed="42"/>
        <bgColor indexed="24"/>
      </patternFill>
    </fill>
    <fill>
      <patternFill patternType="solid">
        <fgColor indexed="42"/>
        <bgColor indexed="64"/>
      </patternFill>
    </fill>
    <fill>
      <patternFill patternType="solid">
        <fgColor indexed="9"/>
        <bgColor indexed="9"/>
      </patternFill>
    </fill>
    <fill>
      <patternFill patternType="solid">
        <fgColor indexed="13"/>
        <bgColor indexed="64"/>
      </patternFill>
    </fill>
    <fill>
      <patternFill patternType="solid">
        <fgColor indexed="22"/>
        <bgColor indexed="64"/>
      </patternFill>
    </fill>
    <fill>
      <patternFill patternType="solid">
        <fgColor rgb="FFC6EFCE"/>
      </patternFill>
    </fill>
    <fill>
      <patternFill patternType="solid">
        <fgColor theme="6" tint="0.79998168889431442"/>
        <bgColor indexed="64"/>
      </patternFill>
    </fill>
    <fill>
      <patternFill patternType="solid">
        <fgColor indexed="4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22"/>
      </right>
      <top style="medium">
        <color indexed="64"/>
      </top>
      <bottom style="medium">
        <color indexed="22"/>
      </bottom>
      <diagonal/>
    </border>
    <border>
      <left/>
      <right/>
      <top/>
      <bottom style="medium">
        <color indexed="64"/>
      </bottom>
      <diagonal/>
    </border>
    <border>
      <left/>
      <right/>
      <top style="thin">
        <color indexed="64"/>
      </top>
      <bottom style="thin">
        <color indexed="64"/>
      </bottom>
      <diagonal/>
    </border>
    <border>
      <left/>
      <right/>
      <top/>
      <bottom style="thin">
        <color theme="0"/>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9" fillId="0" borderId="0">
      <alignment vertical="top"/>
      <protection locked="0"/>
    </xf>
    <xf numFmtId="9" fontId="1" fillId="0" borderId="0" applyFont="0" applyFill="0" applyBorder="0" applyAlignment="0" applyProtection="0"/>
    <xf numFmtId="0" fontId="38" fillId="11" borderId="0" applyNumberFormat="0" applyBorder="0" applyAlignment="0" applyProtection="0"/>
  </cellStyleXfs>
  <cellXfs count="276">
    <xf numFmtId="0" fontId="0" fillId="0" borderId="0" xfId="0"/>
    <xf numFmtId="0" fontId="0" fillId="3" borderId="0" xfId="0" applyFill="1" applyProtection="1"/>
    <xf numFmtId="0" fontId="0" fillId="3" borderId="0" xfId="0" applyFill="1" applyProtection="1">
      <protection locked="0"/>
    </xf>
    <xf numFmtId="0" fontId="3" fillId="3" borderId="0" xfId="0" applyFont="1" applyFill="1" applyAlignment="1" applyProtection="1">
      <alignment horizontal="right"/>
    </xf>
    <xf numFmtId="0" fontId="3" fillId="3" borderId="0" xfId="0" applyFont="1" applyFill="1" applyProtection="1"/>
    <xf numFmtId="0" fontId="0" fillId="4" borderId="0" xfId="0" applyFill="1" applyProtection="1"/>
    <xf numFmtId="3" fontId="0" fillId="3" borderId="0" xfId="0" applyNumberFormat="1" applyFill="1" applyProtection="1"/>
    <xf numFmtId="0" fontId="4" fillId="3" borderId="0" xfId="0" applyFont="1" applyFill="1" applyProtection="1"/>
    <xf numFmtId="3" fontId="6" fillId="3" borderId="0" xfId="0" applyNumberFormat="1" applyFont="1" applyFill="1" applyProtection="1"/>
    <xf numFmtId="0" fontId="5" fillId="3" borderId="0" xfId="0" applyFont="1" applyFill="1" applyProtection="1"/>
    <xf numFmtId="3" fontId="7" fillId="3" borderId="0" xfId="0" applyNumberFormat="1" applyFont="1" applyFill="1" applyProtection="1"/>
    <xf numFmtId="0" fontId="8" fillId="3" borderId="0" xfId="0" applyFont="1" applyFill="1" applyProtection="1"/>
    <xf numFmtId="0" fontId="10" fillId="5" borderId="0" xfId="4" applyFont="1" applyFill="1" applyBorder="1" applyProtection="1">
      <alignment vertical="top"/>
    </xf>
    <xf numFmtId="0" fontId="11" fillId="5" borderId="0" xfId="4" applyFont="1" applyFill="1" applyBorder="1" applyProtection="1">
      <alignment vertical="top"/>
    </xf>
    <xf numFmtId="3" fontId="12" fillId="0" borderId="0" xfId="4" applyNumberFormat="1" applyFont="1" applyFill="1" applyBorder="1" applyAlignment="1" applyProtection="1">
      <alignment horizontal="center" vertical="center"/>
    </xf>
    <xf numFmtId="0" fontId="13" fillId="5" borderId="0" xfId="4" applyFont="1" applyFill="1" applyBorder="1" applyProtection="1">
      <alignment vertical="top"/>
    </xf>
    <xf numFmtId="0" fontId="14" fillId="5" borderId="0" xfId="4" applyFont="1" applyFill="1" applyBorder="1" applyProtection="1">
      <alignment vertical="top"/>
    </xf>
    <xf numFmtId="3" fontId="15" fillId="5" borderId="0" xfId="4" applyNumberFormat="1" applyFont="1" applyFill="1" applyBorder="1" applyAlignment="1" applyProtection="1">
      <alignment horizontal="center" vertical="center" wrapText="1"/>
    </xf>
    <xf numFmtId="3" fontId="14" fillId="3" borderId="0" xfId="4" applyNumberFormat="1" applyFont="1" applyFill="1" applyBorder="1" applyProtection="1">
      <alignment vertical="top"/>
    </xf>
    <xf numFmtId="0" fontId="16" fillId="5" borderId="0" xfId="4" applyFont="1" applyFill="1" applyBorder="1" applyProtection="1">
      <alignment vertical="top"/>
    </xf>
    <xf numFmtId="3" fontId="14" fillId="3" borderId="1" xfId="4" applyNumberFormat="1" applyFont="1" applyFill="1" applyBorder="1" applyProtection="1">
      <alignment vertical="top"/>
    </xf>
    <xf numFmtId="3" fontId="14" fillId="3" borderId="2" xfId="4" applyNumberFormat="1" applyFont="1" applyFill="1" applyBorder="1" applyProtection="1">
      <alignment vertical="top"/>
    </xf>
    <xf numFmtId="165" fontId="14" fillId="3" borderId="1" xfId="4" applyNumberFormat="1" applyFont="1" applyFill="1" applyBorder="1" applyProtection="1">
      <alignment vertical="top"/>
    </xf>
    <xf numFmtId="0" fontId="17" fillId="5" borderId="0" xfId="4" applyFont="1" applyFill="1" applyBorder="1" applyProtection="1">
      <alignment vertical="top"/>
    </xf>
    <xf numFmtId="3" fontId="14" fillId="3" borderId="3" xfId="4" applyNumberFormat="1" applyFont="1" applyFill="1" applyBorder="1" applyProtection="1">
      <alignment vertical="top"/>
    </xf>
    <xf numFmtId="3" fontId="14" fillId="5" borderId="0" xfId="4" applyNumberFormat="1" applyFont="1" applyFill="1" applyBorder="1" applyProtection="1">
      <alignment vertical="top"/>
    </xf>
    <xf numFmtId="0" fontId="18" fillId="3" borderId="0" xfId="0" applyFont="1" applyFill="1" applyProtection="1"/>
    <xf numFmtId="0" fontId="13" fillId="3" borderId="0" xfId="0" applyFont="1" applyFill="1" applyProtection="1"/>
    <xf numFmtId="0" fontId="0" fillId="3" borderId="0" xfId="0" applyFill="1" applyAlignment="1" applyProtection="1">
      <alignment horizontal="center" vertical="top"/>
    </xf>
    <xf numFmtId="37" fontId="0" fillId="3" borderId="0" xfId="0" applyNumberFormat="1" applyFill="1" applyProtection="1"/>
    <xf numFmtId="0" fontId="17" fillId="3" borderId="0" xfId="0" applyFont="1" applyFill="1" applyProtection="1"/>
    <xf numFmtId="37" fontId="17" fillId="3" borderId="1" xfId="0" applyNumberFormat="1" applyFont="1" applyFill="1" applyBorder="1" applyAlignment="1" applyProtection="1">
      <alignment horizontal="center" vertical="center" wrapText="1"/>
    </xf>
    <xf numFmtId="0" fontId="0" fillId="3" borderId="0" xfId="0" applyFill="1"/>
    <xf numFmtId="0" fontId="0" fillId="3" borderId="0" xfId="0" quotePrefix="1" applyFill="1" applyAlignment="1" applyProtection="1">
      <alignment horizontal="center" vertical="top"/>
    </xf>
    <xf numFmtId="3" fontId="0" fillId="6" borderId="1" xfId="0" applyNumberFormat="1" applyFill="1" applyBorder="1" applyAlignment="1" applyProtection="1">
      <alignment horizontal="right"/>
      <protection locked="0"/>
    </xf>
    <xf numFmtId="3" fontId="0" fillId="5" borderId="1" xfId="0" applyNumberFormat="1" applyFill="1" applyBorder="1" applyAlignment="1" applyProtection="1">
      <alignment horizontal="right"/>
    </xf>
    <xf numFmtId="3" fontId="0" fillId="5" borderId="1" xfId="0" applyNumberFormat="1" applyFill="1" applyBorder="1" applyAlignment="1" applyProtection="1"/>
    <xf numFmtId="3" fontId="0" fillId="5" borderId="0" xfId="0" applyNumberFormat="1" applyFill="1" applyBorder="1" applyProtection="1"/>
    <xf numFmtId="0" fontId="0" fillId="3" borderId="0" xfId="0" applyFill="1" applyAlignment="1" applyProtection="1">
      <alignment vertical="top" wrapText="1"/>
    </xf>
    <xf numFmtId="3" fontId="0" fillId="7" borderId="1" xfId="0" applyNumberFormat="1" applyFill="1" applyBorder="1" applyAlignment="1" applyProtection="1">
      <protection locked="0"/>
    </xf>
    <xf numFmtId="3" fontId="0" fillId="5" borderId="0" xfId="0" applyNumberFormat="1" applyFill="1" applyBorder="1" applyAlignment="1" applyProtection="1">
      <alignment horizontal="right" vertical="top"/>
    </xf>
    <xf numFmtId="3" fontId="0" fillId="5" borderId="4" xfId="0" applyNumberFormat="1" applyFill="1" applyBorder="1" applyAlignment="1" applyProtection="1">
      <alignment horizontal="right" vertical="top"/>
    </xf>
    <xf numFmtId="3" fontId="0" fillId="3" borderId="0" xfId="0" applyNumberFormat="1" applyFill="1" applyBorder="1" applyAlignment="1" applyProtection="1"/>
    <xf numFmtId="37" fontId="0" fillId="3" borderId="0" xfId="0" applyNumberFormat="1" applyFill="1" applyAlignment="1" applyProtection="1"/>
    <xf numFmtId="3" fontId="0" fillId="6" borderId="2" xfId="0" applyNumberFormat="1" applyFill="1" applyBorder="1" applyAlignment="1" applyProtection="1">
      <alignment horizontal="right"/>
      <protection locked="0"/>
    </xf>
    <xf numFmtId="0" fontId="0" fillId="3" borderId="0" xfId="0" applyFill="1" applyAlignment="1" applyProtection="1"/>
    <xf numFmtId="3" fontId="0" fillId="5" borderId="0" xfId="0" applyNumberFormat="1" applyFill="1" applyBorder="1" applyAlignment="1" applyProtection="1">
      <alignment horizontal="right"/>
    </xf>
    <xf numFmtId="0" fontId="0" fillId="3" borderId="0" xfId="0" quotePrefix="1" applyFill="1" applyAlignment="1" applyProtection="1">
      <alignment horizontal="center" vertical="center"/>
    </xf>
    <xf numFmtId="3" fontId="0" fillId="3" borderId="0" xfId="0" applyNumberFormat="1" applyFill="1" applyAlignment="1" applyProtection="1"/>
    <xf numFmtId="0" fontId="14" fillId="3" borderId="0" xfId="0" applyFont="1" applyFill="1" applyProtection="1"/>
    <xf numFmtId="3" fontId="0" fillId="5" borderId="5" xfId="0" applyNumberFormat="1" applyFill="1" applyBorder="1" applyAlignment="1" applyProtection="1">
      <alignment horizontal="right"/>
    </xf>
    <xf numFmtId="0" fontId="0" fillId="3" borderId="0" xfId="0" applyFill="1" applyBorder="1" applyAlignment="1" applyProtection="1">
      <alignment horizontal="center" vertical="top"/>
    </xf>
    <xf numFmtId="3" fontId="0" fillId="3" borderId="0" xfId="0" applyNumberFormat="1" applyFill="1" applyBorder="1" applyAlignment="1" applyProtection="1">
      <alignment horizontal="right"/>
    </xf>
    <xf numFmtId="3" fontId="0" fillId="5" borderId="1" xfId="0" applyNumberFormat="1" applyFill="1" applyBorder="1" applyAlignment="1" applyProtection="1">
      <alignment horizontal="right" vertical="top"/>
    </xf>
    <xf numFmtId="3" fontId="0" fillId="6" borderId="1" xfId="0" applyNumberFormat="1" applyFill="1" applyBorder="1" applyAlignment="1" applyProtection="1">
      <alignment horizontal="right" vertical="top"/>
      <protection locked="0"/>
    </xf>
    <xf numFmtId="166" fontId="0" fillId="5" borderId="0" xfId="0" applyNumberFormat="1" applyFill="1" applyBorder="1" applyProtection="1"/>
    <xf numFmtId="3" fontId="0" fillId="0" borderId="1" xfId="0" applyNumberFormat="1" applyFill="1" applyBorder="1" applyAlignment="1" applyProtection="1">
      <alignment horizontal="right"/>
    </xf>
    <xf numFmtId="37" fontId="0" fillId="3" borderId="0" xfId="0" applyNumberFormat="1" applyFill="1" applyAlignment="1" applyProtection="1">
      <alignment horizontal="right"/>
    </xf>
    <xf numFmtId="166" fontId="0" fillId="5" borderId="1" xfId="0" applyNumberFormat="1" applyFill="1" applyBorder="1" applyAlignment="1" applyProtection="1">
      <alignment horizontal="right"/>
    </xf>
    <xf numFmtId="0" fontId="17" fillId="3" borderId="0" xfId="0" applyFont="1" applyFill="1" applyAlignment="1" applyProtection="1">
      <alignment horizontal="left"/>
    </xf>
    <xf numFmtId="37" fontId="0" fillId="3" borderId="0" xfId="0" applyNumberFormat="1" applyFill="1" applyBorder="1" applyProtection="1"/>
    <xf numFmtId="0" fontId="17" fillId="8" borderId="0" xfId="0" applyFont="1" applyFill="1" applyBorder="1" applyProtection="1"/>
    <xf numFmtId="0" fontId="20" fillId="3" borderId="0" xfId="0" applyFont="1" applyFill="1" applyProtection="1"/>
    <xf numFmtId="0" fontId="0" fillId="3" borderId="0" xfId="0" applyFill="1" applyAlignment="1" applyProtection="1">
      <alignment wrapText="1"/>
    </xf>
    <xf numFmtId="3" fontId="0" fillId="6" borderId="1" xfId="0" applyNumberFormat="1" applyFill="1" applyBorder="1" applyAlignment="1" applyProtection="1">
      <protection locked="0"/>
    </xf>
    <xf numFmtId="0" fontId="14" fillId="3" borderId="0" xfId="0" applyFont="1" applyFill="1" applyAlignment="1" applyProtection="1">
      <alignment vertical="top" wrapText="1"/>
    </xf>
    <xf numFmtId="3" fontId="0" fillId="5" borderId="0" xfId="0" applyNumberFormat="1" applyFill="1" applyBorder="1" applyAlignment="1" applyProtection="1"/>
    <xf numFmtId="167" fontId="0" fillId="5" borderId="0" xfId="0" applyNumberFormat="1" applyFill="1" applyBorder="1" applyAlignment="1" applyProtection="1">
      <alignment horizontal="right" vertical="top"/>
    </xf>
    <xf numFmtId="167" fontId="0" fillId="5" borderId="1" xfId="0" applyNumberFormat="1" applyFill="1" applyBorder="1" applyAlignment="1" applyProtection="1">
      <alignment horizontal="right" vertical="top"/>
    </xf>
    <xf numFmtId="4" fontId="0" fillId="5" borderId="0" xfId="0" applyNumberFormat="1" applyFill="1" applyBorder="1" applyProtection="1"/>
    <xf numFmtId="4" fontId="0" fillId="5" borderId="1" xfId="0" applyNumberFormat="1" applyFill="1" applyBorder="1" applyProtection="1"/>
    <xf numFmtId="166" fontId="0" fillId="5" borderId="1" xfId="0" applyNumberFormat="1" applyFill="1" applyBorder="1" applyProtection="1"/>
    <xf numFmtId="3" fontId="0" fillId="3" borderId="0" xfId="0" applyNumberFormat="1" applyFill="1" applyBorder="1" applyProtection="1"/>
    <xf numFmtId="3" fontId="0" fillId="3" borderId="1" xfId="0" applyNumberFormat="1" applyFill="1" applyBorder="1" applyProtection="1"/>
    <xf numFmtId="3" fontId="0" fillId="5" borderId="6" xfId="0" applyNumberFormat="1" applyFill="1" applyBorder="1" applyProtection="1"/>
    <xf numFmtId="0" fontId="22" fillId="3" borderId="0" xfId="0" applyFont="1" applyFill="1" applyProtection="1"/>
    <xf numFmtId="0" fontId="0" fillId="3" borderId="0" xfId="0" applyFill="1" applyBorder="1" applyProtection="1"/>
    <xf numFmtId="0" fontId="0" fillId="3" borderId="0" xfId="0" quotePrefix="1" applyFill="1" applyBorder="1" applyAlignment="1" applyProtection="1">
      <alignment horizontal="center" vertical="top"/>
    </xf>
    <xf numFmtId="3" fontId="0" fillId="3" borderId="0" xfId="0" applyNumberFormat="1" applyFill="1" applyProtection="1">
      <protection locked="0"/>
    </xf>
    <xf numFmtId="0" fontId="0" fillId="0" borderId="7" xfId="0" applyBorder="1" applyAlignment="1">
      <alignment horizontal="center"/>
    </xf>
    <xf numFmtId="0" fontId="0" fillId="0" borderId="8" xfId="0" applyBorder="1"/>
    <xf numFmtId="0" fontId="0" fillId="0" borderId="9" xfId="0" applyBorder="1"/>
    <xf numFmtId="0" fontId="0" fillId="0" borderId="10" xfId="0" applyBorder="1" applyAlignment="1">
      <alignment horizontal="center"/>
    </xf>
    <xf numFmtId="0" fontId="0" fillId="0" borderId="10" xfId="0" applyBorder="1" applyAlignment="1"/>
    <xf numFmtId="0" fontId="0" fillId="0" borderId="11" xfId="0" applyBorder="1"/>
    <xf numFmtId="0" fontId="0" fillId="0" borderId="10" xfId="0" applyBorder="1"/>
    <xf numFmtId="0" fontId="0" fillId="0" borderId="0" xfId="0" applyBorder="1"/>
    <xf numFmtId="168" fontId="0" fillId="0" borderId="0" xfId="0" applyNumberFormat="1" applyBorder="1"/>
    <xf numFmtId="0" fontId="23" fillId="0" borderId="11" xfId="0" applyFont="1" applyBorder="1" applyAlignment="1">
      <alignment horizontal="center" vertical="center" wrapText="1"/>
    </xf>
    <xf numFmtId="0" fontId="23" fillId="0" borderId="0" xfId="0" applyFont="1" applyBorder="1" applyAlignment="1">
      <alignment horizontal="center" vertical="center" wrapText="1"/>
    </xf>
    <xf numFmtId="169" fontId="0" fillId="0" borderId="0" xfId="0" applyNumberFormat="1"/>
    <xf numFmtId="0" fontId="17" fillId="0" borderId="1" xfId="0" applyFont="1" applyBorder="1" applyAlignment="1">
      <alignment horizontal="center" vertical="center" wrapText="1"/>
    </xf>
    <xf numFmtId="0" fontId="23" fillId="0" borderId="11" xfId="0" applyFont="1" applyBorder="1" applyAlignment="1"/>
    <xf numFmtId="0" fontId="23" fillId="0" borderId="0" xfId="0" applyFont="1" applyBorder="1" applyAlignment="1"/>
    <xf numFmtId="168" fontId="0" fillId="0" borderId="0" xfId="0" applyNumberFormat="1"/>
    <xf numFmtId="0" fontId="0" fillId="0" borderId="12" xfId="0" applyBorder="1" applyAlignment="1">
      <alignment vertical="center" wrapText="1"/>
    </xf>
    <xf numFmtId="168" fontId="1" fillId="0" borderId="1" xfId="2" applyNumberFormat="1" applyBorder="1" applyAlignment="1">
      <alignment vertical="center"/>
    </xf>
    <xf numFmtId="168" fontId="1" fillId="0" borderId="13" xfId="2" applyNumberFormat="1" applyBorder="1" applyAlignment="1">
      <alignment vertical="center"/>
    </xf>
    <xf numFmtId="168" fontId="1" fillId="0" borderId="11" xfId="2" applyNumberFormat="1" applyBorder="1" applyAlignment="1">
      <alignment vertical="center"/>
    </xf>
    <xf numFmtId="168" fontId="1" fillId="0" borderId="0" xfId="2" applyNumberFormat="1" applyBorder="1" applyAlignment="1">
      <alignment vertical="center"/>
    </xf>
    <xf numFmtId="169" fontId="1" fillId="9" borderId="0" xfId="1" applyNumberFormat="1" applyFill="1"/>
    <xf numFmtId="169" fontId="0" fillId="0" borderId="0" xfId="1" applyNumberFormat="1" applyFont="1"/>
    <xf numFmtId="169" fontId="1" fillId="0" borderId="1" xfId="1" applyNumberFormat="1" applyBorder="1" applyAlignment="1">
      <alignment vertical="center"/>
    </xf>
    <xf numFmtId="164" fontId="0" fillId="0" borderId="0" xfId="0" applyNumberFormat="1"/>
    <xf numFmtId="169" fontId="1" fillId="0" borderId="0" xfId="1" applyNumberFormat="1"/>
    <xf numFmtId="0" fontId="0" fillId="0" borderId="14" xfId="0" applyBorder="1" applyAlignment="1">
      <alignment vertical="center" wrapText="1"/>
    </xf>
    <xf numFmtId="168" fontId="1" fillId="0" borderId="15" xfId="2" applyNumberFormat="1" applyBorder="1" applyAlignment="1">
      <alignment vertical="center"/>
    </xf>
    <xf numFmtId="168" fontId="1" fillId="0" borderId="16" xfId="2" applyNumberFormat="1" applyBorder="1" applyAlignment="1">
      <alignment vertical="center"/>
    </xf>
    <xf numFmtId="43" fontId="9" fillId="0" borderId="0" xfId="1" applyFont="1" applyBorder="1"/>
    <xf numFmtId="0" fontId="0" fillId="0" borderId="17" xfId="0" applyBorder="1" applyAlignment="1">
      <alignment horizontal="center"/>
    </xf>
    <xf numFmtId="0" fontId="0" fillId="0" borderId="4" xfId="0" applyBorder="1"/>
    <xf numFmtId="0" fontId="0" fillId="0" borderId="18" xfId="0" applyBorder="1"/>
    <xf numFmtId="0" fontId="0" fillId="0" borderId="0" xfId="0" applyAlignment="1">
      <alignment horizontal="center"/>
    </xf>
    <xf numFmtId="0" fontId="2" fillId="2" borderId="12" xfId="3" applyBorder="1" applyAlignment="1">
      <alignment vertical="center" wrapText="1"/>
    </xf>
    <xf numFmtId="169" fontId="2" fillId="2" borderId="1" xfId="3" applyNumberFormat="1" applyBorder="1" applyAlignment="1">
      <alignment vertical="center"/>
    </xf>
    <xf numFmtId="168" fontId="2" fillId="2" borderId="13" xfId="3" applyNumberFormat="1" applyBorder="1" applyAlignment="1">
      <alignment vertical="center"/>
    </xf>
    <xf numFmtId="0" fontId="24" fillId="3" borderId="0" xfId="0" applyFont="1" applyFill="1"/>
    <xf numFmtId="0" fontId="25" fillId="3" borderId="0" xfId="0" applyFont="1" applyFill="1"/>
    <xf numFmtId="0" fontId="27" fillId="3" borderId="0" xfId="0" applyFont="1" applyFill="1" applyAlignment="1">
      <alignment vertical="top" wrapText="1"/>
    </xf>
    <xf numFmtId="0" fontId="30" fillId="3" borderId="0" xfId="0" applyFont="1" applyFill="1" applyAlignment="1">
      <alignment vertical="top" wrapText="1"/>
    </xf>
    <xf numFmtId="0" fontId="25" fillId="3" borderId="0" xfId="0" applyFont="1" applyFill="1" applyAlignment="1">
      <alignment horizontal="left" indent="4"/>
    </xf>
    <xf numFmtId="0" fontId="25" fillId="10" borderId="0" xfId="0" applyFont="1" applyFill="1"/>
    <xf numFmtId="0" fontId="32" fillId="3" borderId="0" xfId="0" applyFont="1" applyFill="1"/>
    <xf numFmtId="0" fontId="33" fillId="3" borderId="0" xfId="0" applyFont="1" applyFill="1" applyAlignment="1">
      <alignment vertical="top" wrapText="1"/>
    </xf>
    <xf numFmtId="0" fontId="34" fillId="3" borderId="0" xfId="0" applyFont="1" applyFill="1" applyAlignment="1"/>
    <xf numFmtId="0" fontId="17" fillId="3" borderId="0" xfId="0" applyFont="1" applyFill="1" applyAlignment="1">
      <alignment vertical="top" wrapText="1"/>
    </xf>
    <xf numFmtId="0" fontId="17" fillId="3" borderId="0" xfId="0" applyFont="1" applyFill="1"/>
    <xf numFmtId="44" fontId="0" fillId="7" borderId="19" xfId="0" applyNumberFormat="1" applyFill="1" applyBorder="1" applyProtection="1">
      <protection locked="0"/>
    </xf>
    <xf numFmtId="44" fontId="14" fillId="7" borderId="19" xfId="0" applyNumberFormat="1" applyFont="1" applyFill="1" applyBorder="1" applyProtection="1">
      <protection locked="0"/>
    </xf>
    <xf numFmtId="10" fontId="14" fillId="3" borderId="19" xfId="0" applyNumberFormat="1" applyFont="1" applyFill="1" applyBorder="1" applyAlignment="1" applyProtection="1">
      <alignment horizontal="right"/>
    </xf>
    <xf numFmtId="0" fontId="17" fillId="3" borderId="0" xfId="0" applyFont="1" applyFill="1" applyBorder="1" applyAlignment="1">
      <alignment vertical="center"/>
    </xf>
    <xf numFmtId="0" fontId="17"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36" fillId="3" borderId="20" xfId="0" applyFont="1" applyFill="1" applyBorder="1" applyAlignment="1">
      <alignment horizontal="center"/>
    </xf>
    <xf numFmtId="0" fontId="0" fillId="3" borderId="20" xfId="0" applyFill="1" applyBorder="1"/>
    <xf numFmtId="0" fontId="4" fillId="3" borderId="0" xfId="0" applyFont="1" applyFill="1" applyBorder="1" applyAlignment="1">
      <alignment horizontal="center" vertical="center" wrapText="1"/>
    </xf>
    <xf numFmtId="0" fontId="17" fillId="3" borderId="0" xfId="0" applyFont="1" applyFill="1" applyAlignment="1">
      <alignment horizontal="center" vertical="center" wrapText="1"/>
    </xf>
    <xf numFmtId="0" fontId="18" fillId="3" borderId="4" xfId="0" applyFont="1" applyFill="1" applyBorder="1" applyAlignment="1">
      <alignment vertical="center" wrapText="1"/>
    </xf>
    <xf numFmtId="171" fontId="0" fillId="3" borderId="4" xfId="0" applyNumberFormat="1" applyFill="1" applyBorder="1" applyAlignment="1">
      <alignment horizontal="center" vertical="center"/>
    </xf>
    <xf numFmtId="172" fontId="0" fillId="3" borderId="4" xfId="0" applyNumberFormat="1" applyFill="1" applyBorder="1" applyAlignment="1">
      <alignment horizontal="center" vertical="center"/>
    </xf>
    <xf numFmtId="0" fontId="18" fillId="3" borderId="21" xfId="0" applyFont="1" applyFill="1" applyBorder="1" applyAlignment="1">
      <alignment vertical="center" wrapText="1"/>
    </xf>
    <xf numFmtId="171" fontId="0" fillId="3" borderId="21" xfId="0" applyNumberFormat="1" applyFill="1" applyBorder="1" applyAlignment="1">
      <alignment horizontal="center" vertical="center"/>
    </xf>
    <xf numFmtId="172" fontId="0" fillId="3" borderId="21" xfId="0" applyNumberFormat="1" applyFill="1" applyBorder="1" applyAlignment="1">
      <alignment horizontal="center" vertical="center"/>
    </xf>
    <xf numFmtId="44" fontId="0" fillId="3" borderId="0" xfId="2" applyFont="1" applyFill="1"/>
    <xf numFmtId="44" fontId="0" fillId="3" borderId="0" xfId="0" applyNumberFormat="1" applyFill="1"/>
    <xf numFmtId="0" fontId="18" fillId="3" borderId="0" xfId="0" applyFont="1" applyFill="1"/>
    <xf numFmtId="173" fontId="0" fillId="3" borderId="0" xfId="0" applyNumberFormat="1" applyFill="1"/>
    <xf numFmtId="37" fontId="17" fillId="3" borderId="1" xfId="0" applyNumberFormat="1" applyFont="1" applyFill="1" applyBorder="1" applyAlignment="1" applyProtection="1">
      <alignment horizontal="center" vertical="center" wrapText="1"/>
    </xf>
    <xf numFmtId="0" fontId="0" fillId="0" borderId="1" xfId="0" applyBorder="1" applyAlignment="1" applyProtection="1"/>
    <xf numFmtId="0" fontId="3" fillId="3" borderId="0" xfId="0" applyFont="1" applyFill="1" applyAlignment="1" applyProtection="1">
      <alignment horizontal="left"/>
    </xf>
    <xf numFmtId="0" fontId="17" fillId="0" borderId="0" xfId="0" applyFont="1" applyBorder="1" applyAlignment="1">
      <alignment horizontal="center" vertical="center" wrapText="1"/>
    </xf>
    <xf numFmtId="0" fontId="17" fillId="0" borderId="4" xfId="0" applyFont="1" applyBorder="1" applyAlignment="1">
      <alignment horizontal="center" wrapText="1"/>
    </xf>
    <xf numFmtId="0" fontId="17" fillId="0" borderId="12" xfId="0" applyFont="1" applyBorder="1" applyAlignment="1">
      <alignment horizontal="center" vertical="center" wrapText="1"/>
    </xf>
    <xf numFmtId="0" fontId="17" fillId="0" borderId="12" xfId="0" applyFont="1" applyBorder="1" applyAlignment="1"/>
    <xf numFmtId="0" fontId="17" fillId="0" borderId="1" xfId="0" applyFont="1" applyBorder="1" applyAlignment="1">
      <alignment horizontal="center" vertical="center" wrapText="1"/>
    </xf>
    <xf numFmtId="0" fontId="17" fillId="0" borderId="1" xfId="0" applyFont="1" applyBorder="1" applyAlignment="1"/>
    <xf numFmtId="0" fontId="17" fillId="0" borderId="13" xfId="0" applyFont="1" applyBorder="1" applyAlignment="1">
      <alignment horizontal="center" vertical="center" wrapText="1"/>
    </xf>
    <xf numFmtId="0" fontId="17" fillId="0" borderId="13" xfId="0" applyFont="1" applyBorder="1" applyAlignment="1"/>
    <xf numFmtId="0" fontId="17" fillId="3" borderId="0" xfId="0" applyFont="1" applyFill="1" applyAlignment="1">
      <alignment horizontal="left" vertical="top" wrapText="1"/>
    </xf>
    <xf numFmtId="0" fontId="17" fillId="3" borderId="0"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26" fillId="3" borderId="0" xfId="0" applyFont="1" applyFill="1" applyAlignment="1">
      <alignment horizontal="left" vertical="top" wrapText="1"/>
    </xf>
    <xf numFmtId="0" fontId="28" fillId="3" borderId="0" xfId="0" applyFont="1" applyFill="1" applyAlignment="1">
      <alignment horizontal="left"/>
    </xf>
    <xf numFmtId="0" fontId="29" fillId="3" borderId="0" xfId="0" applyFont="1" applyFill="1" applyAlignment="1">
      <alignment horizontal="left" wrapText="1"/>
    </xf>
    <xf numFmtId="170" fontId="29" fillId="3" borderId="0" xfId="0" applyNumberFormat="1" applyFont="1" applyFill="1" applyAlignment="1">
      <alignment horizontal="left"/>
    </xf>
    <xf numFmtId="0" fontId="31" fillId="3" borderId="0" xfId="0" applyFont="1" applyFill="1" applyAlignment="1">
      <alignment horizontal="left" wrapText="1"/>
    </xf>
    <xf numFmtId="0" fontId="33" fillId="3" borderId="0" xfId="0" applyFont="1" applyFill="1" applyAlignment="1">
      <alignment horizontal="left" vertical="top" wrapText="1"/>
    </xf>
    <xf numFmtId="0" fontId="17" fillId="0" borderId="0" xfId="0" applyFont="1" applyAlignment="1">
      <alignment horizontal="left"/>
    </xf>
    <xf numFmtId="0" fontId="39" fillId="0" borderId="0" xfId="0" applyFont="1" applyAlignment="1">
      <alignment horizontal="right" vertical="top"/>
    </xf>
    <xf numFmtId="0" fontId="39" fillId="12" borderId="22" xfId="0" applyFont="1" applyFill="1" applyBorder="1" applyAlignment="1">
      <alignment horizontal="right" vertical="top"/>
    </xf>
    <xf numFmtId="0" fontId="39" fillId="12" borderId="0" xfId="0" applyFont="1" applyFill="1" applyAlignment="1">
      <alignment horizontal="right" vertical="top"/>
    </xf>
    <xf numFmtId="175" fontId="39" fillId="12" borderId="0" xfId="0" applyNumberFormat="1" applyFont="1" applyFill="1" applyAlignment="1">
      <alignment horizontal="right" vertical="top"/>
    </xf>
    <xf numFmtId="0" fontId="12" fillId="0" borderId="0" xfId="0" applyFont="1" applyAlignment="1">
      <alignment horizontal="center"/>
    </xf>
    <xf numFmtId="0" fontId="0" fillId="0" borderId="0" xfId="0" applyAlignment="1">
      <alignment wrapText="1"/>
    </xf>
    <xf numFmtId="0" fontId="17" fillId="0" borderId="23" xfId="0" applyFont="1" applyFill="1" applyBorder="1" applyAlignment="1">
      <alignment vertical="center" wrapText="1"/>
    </xf>
    <xf numFmtId="0" fontId="17" fillId="0" borderId="24" xfId="0" applyFont="1" applyFill="1" applyBorder="1" applyAlignment="1">
      <alignment vertical="center" wrapText="1"/>
    </xf>
    <xf numFmtId="0" fontId="0" fillId="0" borderId="25" xfId="0" applyBorder="1"/>
    <xf numFmtId="0" fontId="17" fillId="0" borderId="26" xfId="0" applyFont="1" applyFill="1" applyBorder="1" applyAlignment="1">
      <alignment horizontal="center"/>
    </xf>
    <xf numFmtId="0" fontId="17" fillId="0" borderId="27" xfId="0" applyFont="1" applyFill="1" applyBorder="1" applyAlignment="1">
      <alignment vertical="center" wrapText="1"/>
    </xf>
    <xf numFmtId="0" fontId="17" fillId="0" borderId="0" xfId="0" applyFont="1" applyFill="1" applyBorder="1" applyAlignment="1">
      <alignment vertical="center" wrapText="1"/>
    </xf>
    <xf numFmtId="0" fontId="17" fillId="0" borderId="28" xfId="0" applyFont="1" applyFill="1" applyBorder="1" applyAlignment="1">
      <alignment horizontal="center"/>
    </xf>
    <xf numFmtId="0" fontId="17" fillId="0" borderId="29" xfId="0" applyFont="1" applyFill="1" applyBorder="1" applyAlignment="1">
      <alignment vertical="center" wrapText="1"/>
    </xf>
    <xf numFmtId="0" fontId="17" fillId="0" borderId="4" xfId="0" applyFont="1" applyFill="1" applyBorder="1" applyAlignment="1">
      <alignment vertical="center" wrapText="1"/>
    </xf>
    <xf numFmtId="0" fontId="17" fillId="12" borderId="30" xfId="0" applyFont="1" applyFill="1" applyBorder="1" applyAlignment="1">
      <alignment horizontal="center"/>
    </xf>
    <xf numFmtId="0" fontId="0" fillId="0" borderId="27" xfId="0" applyBorder="1" applyAlignment="1">
      <alignment horizontal="left" wrapText="1"/>
    </xf>
    <xf numFmtId="0" fontId="0" fillId="0" borderId="0" xfId="0" applyBorder="1" applyAlignment="1">
      <alignment horizontal="left" wrapText="1"/>
    </xf>
    <xf numFmtId="0" fontId="0" fillId="0" borderId="11" xfId="0" applyBorder="1" applyAlignment="1">
      <alignment horizontal="left" wrapText="1"/>
    </xf>
    <xf numFmtId="0" fontId="0" fillId="0" borderId="3" xfId="0" applyBorder="1"/>
    <xf numFmtId="176" fontId="0" fillId="12" borderId="31" xfId="2" applyNumberFormat="1" applyFont="1" applyFill="1" applyBorder="1"/>
    <xf numFmtId="0" fontId="0" fillId="0" borderId="32" xfId="0" applyBorder="1" applyAlignment="1">
      <alignment horizontal="left" wrapText="1"/>
    </xf>
    <xf numFmtId="0" fontId="0" fillId="0" borderId="21" xfId="0" applyBorder="1" applyAlignment="1">
      <alignment horizontal="left" wrapText="1"/>
    </xf>
    <xf numFmtId="0" fontId="0" fillId="0" borderId="33" xfId="0" applyBorder="1" applyAlignment="1">
      <alignment horizontal="left" wrapText="1"/>
    </xf>
    <xf numFmtId="0" fontId="0" fillId="0" borderId="34"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14" fillId="0" borderId="32" xfId="0" applyFont="1" applyBorder="1" applyAlignment="1">
      <alignment horizontal="left" wrapText="1"/>
    </xf>
    <xf numFmtId="0" fontId="0" fillId="12" borderId="35" xfId="0" applyFill="1" applyBorder="1" applyAlignment="1">
      <alignment horizontal="left" wrapText="1"/>
    </xf>
    <xf numFmtId="0" fontId="0" fillId="12" borderId="36" xfId="0" applyFill="1" applyBorder="1" applyAlignment="1">
      <alignment horizontal="left" wrapText="1"/>
    </xf>
    <xf numFmtId="0" fontId="0" fillId="12" borderId="37" xfId="0" applyFill="1" applyBorder="1" applyAlignment="1">
      <alignment horizontal="left" wrapText="1"/>
    </xf>
    <xf numFmtId="176" fontId="0" fillId="12" borderId="38" xfId="2" applyNumberFormat="1" applyFont="1" applyFill="1" applyBorder="1"/>
    <xf numFmtId="0" fontId="17" fillId="0" borderId="39" xfId="0" applyFont="1" applyBorder="1" applyAlignment="1">
      <alignment horizontal="left" wrapText="1"/>
    </xf>
    <xf numFmtId="0" fontId="17" fillId="0" borderId="20" xfId="0" applyFont="1" applyBorder="1" applyAlignment="1">
      <alignment horizontal="left" wrapText="1"/>
    </xf>
    <xf numFmtId="0" fontId="17" fillId="0" borderId="40" xfId="0" applyFont="1" applyBorder="1" applyAlignment="1">
      <alignment horizontal="left" wrapText="1"/>
    </xf>
    <xf numFmtId="0" fontId="0" fillId="0" borderId="41" xfId="0" applyBorder="1"/>
    <xf numFmtId="176" fontId="0" fillId="0" borderId="42" xfId="2" applyNumberFormat="1" applyFont="1" applyBorder="1"/>
    <xf numFmtId="0" fontId="17" fillId="0" borderId="0" xfId="0" applyFont="1"/>
    <xf numFmtId="0" fontId="14" fillId="0" borderId="0" xfId="0" applyFont="1"/>
    <xf numFmtId="0" fontId="14" fillId="0" borderId="0" xfId="0" applyFont="1" applyAlignment="1">
      <alignment horizontal="center" vertical="top"/>
    </xf>
    <xf numFmtId="0" fontId="14" fillId="0" borderId="0" xfId="0" applyFont="1" applyAlignment="1">
      <alignment horizontal="left" wrapText="1"/>
    </xf>
    <xf numFmtId="0" fontId="14" fillId="0" borderId="0" xfId="0" applyFont="1" applyAlignment="1">
      <alignment wrapText="1"/>
    </xf>
    <xf numFmtId="0" fontId="14" fillId="0" borderId="0" xfId="0" applyFont="1" applyAlignment="1">
      <alignment horizontal="center"/>
    </xf>
    <xf numFmtId="0" fontId="14" fillId="0" borderId="0" xfId="0" applyFont="1" applyAlignment="1">
      <alignment vertical="top" wrapText="1"/>
    </xf>
    <xf numFmtId="0" fontId="14" fillId="0" borderId="0" xfId="0" applyFont="1" applyAlignment="1">
      <alignment wrapText="1"/>
    </xf>
    <xf numFmtId="0" fontId="14" fillId="0" borderId="0" xfId="0" applyFont="1" applyAlignment="1">
      <alignment horizontal="center" vertical="top" wrapText="1"/>
    </xf>
    <xf numFmtId="3" fontId="38" fillId="11" borderId="1" xfId="6" applyNumberFormat="1" applyBorder="1" applyAlignment="1" applyProtection="1">
      <alignment vertical="top"/>
    </xf>
    <xf numFmtId="169" fontId="38" fillId="11" borderId="1" xfId="6" applyNumberFormat="1" applyBorder="1" applyAlignment="1">
      <alignment vertical="center"/>
    </xf>
    <xf numFmtId="0" fontId="5" fillId="0" borderId="0" xfId="0" applyFont="1"/>
    <xf numFmtId="0" fontId="39" fillId="0" borderId="0" xfId="0" applyFont="1"/>
    <xf numFmtId="0" fontId="35" fillId="0" borderId="0" xfId="0" applyFont="1" applyBorder="1" applyAlignment="1">
      <alignment horizontal="center" wrapText="1"/>
    </xf>
    <xf numFmtId="0" fontId="35" fillId="0" borderId="0" xfId="0" applyFont="1" applyAlignment="1">
      <alignment horizontal="center"/>
    </xf>
    <xf numFmtId="0" fontId="35" fillId="0" borderId="20" xfId="0" applyFont="1" applyBorder="1" applyAlignment="1">
      <alignment horizontal="left" wrapText="1"/>
    </xf>
    <xf numFmtId="0" fontId="35" fillId="0" borderId="20" xfId="0" applyFont="1" applyBorder="1" applyAlignment="1">
      <alignment horizontal="center" wrapText="1"/>
    </xf>
    <xf numFmtId="177" fontId="39" fillId="0" borderId="0" xfId="0" applyNumberFormat="1" applyFont="1"/>
    <xf numFmtId="169" fontId="39" fillId="0" borderId="0" xfId="0" applyNumberFormat="1" applyFont="1"/>
    <xf numFmtId="169" fontId="39" fillId="0" borderId="0" xfId="1" applyNumberFormat="1" applyFont="1"/>
    <xf numFmtId="0" fontId="39" fillId="0" borderId="0" xfId="0" applyFont="1" applyAlignment="1">
      <alignment horizontal="center"/>
    </xf>
    <xf numFmtId="15" fontId="17" fillId="9" borderId="43" xfId="0" applyNumberFormat="1" applyFont="1" applyFill="1" applyBorder="1" applyAlignment="1">
      <alignment horizontal="center"/>
    </xf>
    <xf numFmtId="0" fontId="14" fillId="9" borderId="44" xfId="0" applyFont="1" applyFill="1" applyBorder="1" applyAlignment="1">
      <alignment horizontal="center"/>
    </xf>
    <xf numFmtId="0" fontId="14" fillId="9" borderId="45" xfId="0" applyFont="1" applyFill="1" applyBorder="1" applyAlignment="1">
      <alignment horizontal="center"/>
    </xf>
    <xf numFmtId="15" fontId="35" fillId="0" borderId="0" xfId="0" applyNumberFormat="1" applyFont="1" applyAlignment="1">
      <alignment horizontal="left"/>
    </xf>
    <xf numFmtId="15" fontId="39" fillId="0" borderId="0" xfId="0" applyNumberFormat="1" applyFont="1" applyAlignment="1">
      <alignment horizontal="center"/>
    </xf>
    <xf numFmtId="168" fontId="40" fillId="0" borderId="0" xfId="2" applyNumberFormat="1" applyFont="1"/>
    <xf numFmtId="169" fontId="40" fillId="0" borderId="0" xfId="1" applyNumberFormat="1" applyFont="1"/>
    <xf numFmtId="177" fontId="39" fillId="0" borderId="0" xfId="0" applyNumberFormat="1" applyFont="1" applyAlignment="1">
      <alignment horizontal="center"/>
    </xf>
    <xf numFmtId="169" fontId="40" fillId="0" borderId="0" xfId="1" applyNumberFormat="1" applyFont="1" applyAlignment="1">
      <alignment horizontal="center"/>
    </xf>
    <xf numFmtId="169" fontId="40" fillId="0" borderId="0" xfId="1" applyNumberFormat="1" applyFont="1" applyAlignment="1"/>
    <xf numFmtId="168" fontId="40" fillId="0" borderId="36" xfId="2" applyNumberFormat="1" applyFont="1" applyBorder="1"/>
    <xf numFmtId="168" fontId="40" fillId="0" borderId="0" xfId="2" applyNumberFormat="1" applyFont="1" applyBorder="1"/>
    <xf numFmtId="15" fontId="41" fillId="0" borderId="0" xfId="0" applyNumberFormat="1" applyFont="1" applyAlignment="1">
      <alignment horizontal="left"/>
    </xf>
    <xf numFmtId="0" fontId="42" fillId="0" borderId="0" xfId="0" applyFont="1" applyAlignment="1">
      <alignment horizontal="center"/>
    </xf>
    <xf numFmtId="0" fontId="35" fillId="0" borderId="0" xfId="0" applyFont="1" applyAlignment="1">
      <alignment horizontal="center"/>
    </xf>
    <xf numFmtId="0" fontId="35" fillId="10" borderId="6" xfId="0" applyFont="1" applyFill="1" applyBorder="1" applyAlignment="1">
      <alignment horizontal="center"/>
    </xf>
    <xf numFmtId="0" fontId="35" fillId="10" borderId="6" xfId="0" applyFont="1" applyFill="1" applyBorder="1" applyAlignment="1">
      <alignment horizontal="center" wrapText="1"/>
    </xf>
    <xf numFmtId="0" fontId="43" fillId="0" borderId="0" xfId="0" applyFont="1" applyAlignment="1">
      <alignment horizontal="center"/>
    </xf>
    <xf numFmtId="0" fontId="35" fillId="0" borderId="0" xfId="0" applyFont="1" applyAlignment="1">
      <alignment horizontal="center" wrapText="1"/>
    </xf>
    <xf numFmtId="1" fontId="40" fillId="0" borderId="0" xfId="2" applyNumberFormat="1" applyFont="1" applyAlignment="1">
      <alignment horizontal="center"/>
    </xf>
    <xf numFmtId="10" fontId="40" fillId="0" borderId="0" xfId="5" applyNumberFormat="1" applyFont="1"/>
    <xf numFmtId="43" fontId="39" fillId="0" borderId="0" xfId="1" applyFont="1"/>
    <xf numFmtId="169" fontId="39" fillId="10" borderId="0" xfId="0" applyNumberFormat="1" applyFont="1" applyFill="1"/>
    <xf numFmtId="169" fontId="40" fillId="10" borderId="0" xfId="1" applyNumberFormat="1" applyFont="1" applyFill="1"/>
    <xf numFmtId="10" fontId="39" fillId="0" borderId="0" xfId="5" applyNumberFormat="1" applyFont="1" applyFill="1"/>
    <xf numFmtId="177" fontId="39" fillId="0" borderId="4" xfId="0" applyNumberFormat="1" applyFont="1" applyFill="1" applyBorder="1" applyAlignment="1">
      <alignment horizontal="center"/>
    </xf>
    <xf numFmtId="169" fontId="39" fillId="0" borderId="4" xfId="1" applyNumberFormat="1" applyFont="1" applyFill="1" applyBorder="1"/>
    <xf numFmtId="169" fontId="39" fillId="0" borderId="4" xfId="0" applyNumberFormat="1" applyFont="1" applyFill="1" applyBorder="1"/>
    <xf numFmtId="169" fontId="40" fillId="0" borderId="4" xfId="1" applyNumberFormat="1" applyFont="1" applyFill="1" applyBorder="1"/>
    <xf numFmtId="1" fontId="40" fillId="0" borderId="4" xfId="2" applyNumberFormat="1" applyFont="1" applyFill="1" applyBorder="1" applyAlignment="1">
      <alignment horizontal="center"/>
    </xf>
    <xf numFmtId="10" fontId="39" fillId="0" borderId="4" xfId="5" applyNumberFormat="1" applyFont="1" applyFill="1" applyBorder="1"/>
    <xf numFmtId="43" fontId="39" fillId="0" borderId="4" xfId="1" applyFont="1" applyFill="1" applyBorder="1"/>
    <xf numFmtId="17" fontId="39" fillId="0" borderId="0" xfId="0" applyNumberFormat="1" applyFont="1"/>
    <xf numFmtId="1" fontId="39" fillId="0" borderId="0" xfId="0" applyNumberFormat="1" applyFont="1" applyFill="1" applyAlignment="1">
      <alignment horizontal="center"/>
    </xf>
    <xf numFmtId="17" fontId="39" fillId="13" borderId="4" xfId="0" applyNumberFormat="1" applyFont="1" applyFill="1" applyBorder="1"/>
    <xf numFmtId="169" fontId="39" fillId="13" borderId="4" xfId="1" applyNumberFormat="1" applyFont="1" applyFill="1" applyBorder="1"/>
    <xf numFmtId="169" fontId="39" fillId="13" borderId="4" xfId="0" applyNumberFormat="1" applyFont="1" applyFill="1" applyBorder="1"/>
    <xf numFmtId="169" fontId="40" fillId="13" borderId="4" xfId="1" applyNumberFormat="1" applyFont="1" applyFill="1" applyBorder="1"/>
    <xf numFmtId="1" fontId="39" fillId="13" borderId="4" xfId="0" applyNumberFormat="1" applyFont="1" applyFill="1" applyBorder="1" applyAlignment="1">
      <alignment horizontal="center"/>
    </xf>
    <xf numFmtId="10" fontId="39" fillId="13" borderId="4" xfId="5" applyNumberFormat="1" applyFont="1" applyFill="1" applyBorder="1"/>
    <xf numFmtId="43" fontId="39" fillId="13" borderId="4" xfId="1" applyFont="1" applyFill="1" applyBorder="1"/>
    <xf numFmtId="17" fontId="39" fillId="0" borderId="0" xfId="0" applyNumberFormat="1" applyFont="1" applyFill="1"/>
    <xf numFmtId="10" fontId="39" fillId="0" borderId="0" xfId="5" applyNumberFormat="1" applyFont="1" applyFill="1" applyBorder="1"/>
    <xf numFmtId="17" fontId="38" fillId="11" borderId="0" xfId="6" applyNumberFormat="1"/>
    <xf numFmtId="169" fontId="38" fillId="11" borderId="0" xfId="6" applyNumberFormat="1"/>
    <xf numFmtId="1" fontId="38" fillId="11" borderId="0" xfId="6" applyNumberFormat="1" applyAlignment="1">
      <alignment horizontal="center"/>
    </xf>
    <xf numFmtId="10" fontId="38" fillId="11" borderId="0" xfId="6" applyNumberFormat="1"/>
    <xf numFmtId="43" fontId="38" fillId="11" borderId="0" xfId="6" applyNumberFormat="1"/>
  </cellXfs>
  <cellStyles count="7">
    <cellStyle name="Bad" xfId="3" builtinId="27"/>
    <cellStyle name="Comma" xfId="1" builtinId="3"/>
    <cellStyle name="Currency" xfId="2" builtinId="4"/>
    <cellStyle name="Good" xfId="6" builtinId="26"/>
    <cellStyle name="Normal" xfId="0" builtinId="0"/>
    <cellStyle name="Normal_SIMPIL_MODEL_2004_ver2.6 (for rates application)" xfId="4"/>
    <cellStyle name="Percent" xfId="5" builtinId="5"/>
  </cellStyles>
  <dxfs count="1">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IG13" lockText="1"/>
</file>

<file path=xl/ctrlProps/ctrlProp2.xml><?xml version="1.0" encoding="utf-8"?>
<formControlPr xmlns="http://schemas.microsoft.com/office/spreadsheetml/2009/9/main" objectType="CheckBox" fmlaLink="$IG$12"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0</xdr:col>
      <xdr:colOff>1038225</xdr:colOff>
      <xdr:row>0</xdr:row>
      <xdr:rowOff>38100</xdr:rowOff>
    </xdr:from>
    <xdr:to>
      <xdr:col>4</xdr:col>
      <xdr:colOff>742950</xdr:colOff>
      <xdr:row>1</xdr:row>
      <xdr:rowOff>133350</xdr:rowOff>
    </xdr:to>
    <xdr:sp macro="" textlink="">
      <xdr:nvSpPr>
        <xdr:cNvPr id="2" name="WordArt 2"/>
        <xdr:cNvSpPr>
          <a:spLocks noChangeArrowheads="1" noChangeShapeType="1" noTextEdit="1"/>
        </xdr:cNvSpPr>
      </xdr:nvSpPr>
      <xdr:spPr bwMode="auto">
        <a:xfrm>
          <a:off x="1038225" y="38100"/>
          <a:ext cx="5486400"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CA" sz="1800" b="1" kern="10" spc="0">
              <a:ln w="9525">
                <a:solidFill>
                  <a:srgbClr val="000000"/>
                </a:solidFill>
                <a:round/>
                <a:headEnd/>
                <a:tailEnd/>
              </a:ln>
              <a:solidFill>
                <a:srgbClr val="0099FF"/>
              </a:solidFill>
              <a:effectLst/>
              <a:latin typeface="Times New Roman"/>
              <a:cs typeface="Times New Roman"/>
            </a:rPr>
            <a:t>Ontario Capital Tax, Large Corporation Tax</a:t>
          </a:r>
        </a:p>
      </xdr:txBody>
    </xdr:sp>
    <xdr:clientData/>
  </xdr:twoCellAnchor>
  <xdr:twoCellAnchor>
    <xdr:from>
      <xdr:col>0</xdr:col>
      <xdr:colOff>19050</xdr:colOff>
      <xdr:row>0</xdr:row>
      <xdr:rowOff>0</xdr:rowOff>
    </xdr:from>
    <xdr:to>
      <xdr:col>0</xdr:col>
      <xdr:colOff>1000125</xdr:colOff>
      <xdr:row>5</xdr:row>
      <xdr:rowOff>152400</xdr:rowOff>
    </xdr:to>
    <xdr:pic>
      <xdr:nvPicPr>
        <xdr:cNvPr id="3" name="Picture 3" descr="powerlogosmalle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98107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0</xdr:row>
          <xdr:rowOff>28575</xdr:rowOff>
        </xdr:from>
        <xdr:to>
          <xdr:col>1</xdr:col>
          <xdr:colOff>609600</xdr:colOff>
          <xdr:row>5</xdr:row>
          <xdr:rowOff>0</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7</xdr:row>
          <xdr:rowOff>57150</xdr:rowOff>
        </xdr:from>
        <xdr:to>
          <xdr:col>4</xdr:col>
          <xdr:colOff>971550</xdr:colOff>
          <xdr:row>9</xdr:row>
          <xdr:rowOff>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xdr:row>
          <xdr:rowOff>57150</xdr:rowOff>
        </xdr:from>
        <xdr:to>
          <xdr:col>5</xdr:col>
          <xdr:colOff>609600</xdr:colOff>
          <xdr:row>9</xdr:row>
          <xdr:rowOff>0</xdr:rowOff>
        </xdr:to>
        <xdr:sp macro="" textlink="">
          <xdr:nvSpPr>
            <xdr:cNvPr id="3075" name="Check Box 3" hidden="1">
              <a:extLst>
                <a:ext uri="{63B3BB69-23CF-44E3-9099-C40C66FF867C}">
                  <a14:compatExt spid="_x0000_s3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 NO</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Regulatory%20files/Rate%20Applications/Year%202006%20Rate%20Application/OEB%20Application%20Files/Original%20Filing%20-%20Aug%202,%202005/5%20-%202006%20OEB%20Tax%20Model%20V2.1_July1920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Regulatory%20files/RRR%20-%20Recording%20and%20Recording%20Keeping/2007/Quarter%202%20-%202007/Item%202%201%201%201st%20QTR%20Variance%20and%20deferral%20accoun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Regulatory%20files/Rate%20Applications/Year%202007%20Rate%20Application/2007%20IRM%20Rate%20Adjustment/Board%20Files/London_2007IRMmodel_200701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Index"/>
      <sheetName val="Title Page"/>
      <sheetName val="Input Information Summary"/>
      <sheetName val="Tax Rates &amp; Exemptions"/>
      <sheetName val="2004 Adjusted Taxable Income"/>
      <sheetName val="Test Year  Sch 8 and 10 UCC&amp;CEC"/>
      <sheetName val="Test Year Tier 1&amp;2  UCC and CEC"/>
      <sheetName val="Test Year Schedule 8 CCA "/>
      <sheetName val="Test Year Schedule 10 CEC"/>
      <sheetName val="Test Year Sch 13 Tax Reserves"/>
      <sheetName val="Test Year Sch 7-1 Loss Cfwd"/>
      <sheetName val="Test Year Sch 7-3 Interest"/>
      <sheetName val="Test Year Taxable Income"/>
      <sheetName val="Test Year OCT, LCT"/>
      <sheetName val="Test Year PILs,Tax Provision"/>
      <sheetName val="Test Year PILs Variance "/>
      <sheetName val="2001 Schedule 7-2 FMV"/>
      <sheetName val="2001 Schedule 7-2  suppl"/>
    </sheetNames>
    <sheetDataSet>
      <sheetData sheetId="0"/>
      <sheetData sheetId="1">
        <row r="10">
          <cell r="C10" t="str">
            <v>London Hydro Inc.</v>
          </cell>
        </row>
        <row r="12">
          <cell r="C12" t="str">
            <v>ED-2002-0557</v>
          </cell>
        </row>
        <row r="14">
          <cell r="C14" t="str">
            <v>RP-2005-0020</v>
          </cell>
        </row>
        <row r="16">
          <cell r="C16" t="str">
            <v>EB-2005-0389</v>
          </cell>
        </row>
        <row r="18">
          <cell r="C18" t="str">
            <v>Ian McKenzie</v>
          </cell>
        </row>
        <row r="20">
          <cell r="C20" t="str">
            <v>(519) 661-5800</v>
          </cell>
        </row>
      </sheetData>
      <sheetData sheetId="2">
        <row r="13">
          <cell r="C13">
            <v>199770610</v>
          </cell>
        </row>
      </sheetData>
      <sheetData sheetId="3">
        <row r="13">
          <cell r="E13">
            <v>10000000</v>
          </cell>
          <cell r="G13">
            <v>50000000</v>
          </cell>
        </row>
        <row r="37">
          <cell r="C37">
            <v>3.0000000000000001E-3</v>
          </cell>
        </row>
        <row r="38">
          <cell r="C38">
            <v>1.25E-3</v>
          </cell>
        </row>
        <row r="39">
          <cell r="C39">
            <v>1.12E-2</v>
          </cell>
        </row>
      </sheetData>
      <sheetData sheetId="4"/>
      <sheetData sheetId="5"/>
      <sheetData sheetId="6"/>
      <sheetData sheetId="7"/>
      <sheetData sheetId="8"/>
      <sheetData sheetId="9"/>
      <sheetData sheetId="10"/>
      <sheetData sheetId="11"/>
      <sheetData sheetId="12">
        <row r="92">
          <cell r="C92">
            <v>9292698.6500000004</v>
          </cell>
        </row>
      </sheetData>
      <sheetData sheetId="13"/>
      <sheetData sheetId="14">
        <row r="14">
          <cell r="D14">
            <v>0.36120000000000002</v>
          </cell>
        </row>
      </sheetData>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VA "/>
      <sheetName val="RSVA  "/>
      <sheetName val="Other"/>
    </sheetNames>
    <sheetDataSet>
      <sheetData sheetId="0">
        <row r="53">
          <cell r="K53">
            <v>-28041.828414096912</v>
          </cell>
        </row>
        <row r="59">
          <cell r="K59">
            <v>-2482.9300000000003</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 val="London_2007IRMmodel_20070126"/>
    </sheetNames>
    <definedNames>
      <definedName name="checkbox_No2"/>
      <definedName name="checkbox_Yes2"/>
    </definedNames>
    <sheetDataSet>
      <sheetData sheetId="0">
        <row r="2">
          <cell r="B2" t="str">
            <v>2007 INCENTIVE RATE MECHANISM ADJUSTMENT MODEL</v>
          </cell>
        </row>
        <row r="12">
          <cell r="C12" t="str">
            <v>London Hydro Inc.</v>
          </cell>
        </row>
        <row r="16">
          <cell r="C16" t="str">
            <v>EB-2007-0552</v>
          </cell>
        </row>
        <row r="18">
          <cell r="E18" t="str">
            <v>EB-2005-0389</v>
          </cell>
        </row>
        <row r="20">
          <cell r="C20">
            <v>39108</v>
          </cell>
        </row>
      </sheetData>
      <sheetData sheetId="1">
        <row r="32">
          <cell r="B32" t="str">
            <v>Residential</v>
          </cell>
          <cell r="C32" t="str">
            <v>Yes</v>
          </cell>
        </row>
        <row r="33">
          <cell r="B33" t="str">
            <v>General Service less than 50 kW</v>
          </cell>
          <cell r="C33" t="str">
            <v>Yes</v>
          </cell>
        </row>
        <row r="34">
          <cell r="B34" t="str">
            <v>General Service 50 to 4,999 kW</v>
          </cell>
          <cell r="C34" t="str">
            <v>Yes</v>
          </cell>
        </row>
        <row r="35">
          <cell r="B35" t="str">
            <v>General Service 50 - 4,999 kW (CoGeneration)</v>
          </cell>
          <cell r="C35" t="str">
            <v>Yes</v>
          </cell>
        </row>
        <row r="36">
          <cell r="B36" t="str">
            <v>Standby Power - (APPROVED ON AN INTERIM BASIS)</v>
          </cell>
          <cell r="C36" t="str">
            <v>Yes</v>
          </cell>
        </row>
        <row r="37">
          <cell r="B37" t="str">
            <v>Large Use</v>
          </cell>
          <cell r="C37" t="str">
            <v>Yes</v>
          </cell>
        </row>
        <row r="38">
          <cell r="B38" t="str">
            <v>Unmetered Scattered Load</v>
          </cell>
          <cell r="C38" t="str">
            <v>Yes</v>
          </cell>
        </row>
        <row r="39">
          <cell r="B39" t="str">
            <v>Sentinel Lighting</v>
          </cell>
          <cell r="C39" t="str">
            <v>Yes</v>
          </cell>
        </row>
        <row r="40">
          <cell r="B40" t="str">
            <v>Street Lighting</v>
          </cell>
          <cell r="C40" t="str">
            <v>Yes</v>
          </cell>
        </row>
        <row r="41">
          <cell r="B41" t="str">
            <v>Rate Class 10</v>
          </cell>
          <cell r="C41" t="str">
            <v>No</v>
          </cell>
        </row>
        <row r="42">
          <cell r="B42" t="str">
            <v>Rate Class 11</v>
          </cell>
          <cell r="C42" t="str">
            <v>No</v>
          </cell>
        </row>
        <row r="43">
          <cell r="B43" t="str">
            <v>Rate Class 12</v>
          </cell>
          <cell r="C43" t="str">
            <v>No</v>
          </cell>
        </row>
        <row r="44">
          <cell r="B44" t="str">
            <v>Rate Class 13</v>
          </cell>
          <cell r="C44" t="str">
            <v>No</v>
          </cell>
        </row>
        <row r="45">
          <cell r="B45" t="str">
            <v>Rate Class 14</v>
          </cell>
          <cell r="C45" t="str">
            <v>No</v>
          </cell>
        </row>
        <row r="46">
          <cell r="B46" t="str">
            <v>Rate Class 15</v>
          </cell>
          <cell r="C46" t="str">
            <v>No</v>
          </cell>
        </row>
        <row r="47">
          <cell r="B47" t="str">
            <v>Rate Class 16</v>
          </cell>
          <cell r="C47" t="str">
            <v>No</v>
          </cell>
        </row>
      </sheetData>
      <sheetData sheetId="2"/>
      <sheetData sheetId="3"/>
      <sheetData sheetId="4"/>
      <sheetData sheetId="5">
        <row r="19">
          <cell r="B19" t="str">
            <v>Class</v>
          </cell>
          <cell r="C19" t="str">
            <v>Monthly Service Charge (without smart meter rate adder)</v>
          </cell>
          <cell r="D19" t="str">
            <v>Unchanged Volumetric Rates from Sheet 5</v>
          </cell>
          <cell r="E19" t="e">
            <v>#N/A</v>
          </cell>
          <cell r="F19" t="e">
            <v>#N/A</v>
          </cell>
          <cell r="G19" t="str">
            <v>Adjusted Monthly Service Charge</v>
          </cell>
          <cell r="H19" t="str">
            <v>Adjusted Volumetric Rate</v>
          </cell>
        </row>
        <row r="20">
          <cell r="D20" t="str">
            <v>kW / kWh</v>
          </cell>
          <cell r="F20" t="str">
            <v>kW / kWh</v>
          </cell>
          <cell r="H20" t="str">
            <v>kW / kWh</v>
          </cell>
        </row>
        <row r="22">
          <cell r="B22" t="str">
            <v>Residential</v>
          </cell>
          <cell r="C22">
            <v>11.73</v>
          </cell>
          <cell r="D22">
            <v>1.2999999999999999E-2</v>
          </cell>
          <cell r="G22">
            <v>11.73</v>
          </cell>
          <cell r="H22">
            <v>1.2999999999999999E-2</v>
          </cell>
        </row>
        <row r="23">
          <cell r="B23" t="str">
            <v>General Service less than 50 kW</v>
          </cell>
          <cell r="C23">
            <v>32</v>
          </cell>
          <cell r="D23">
            <v>9.7000000000000003E-3</v>
          </cell>
          <cell r="G23">
            <v>32</v>
          </cell>
          <cell r="H23">
            <v>9.7000000000000003E-3</v>
          </cell>
        </row>
        <row r="24">
          <cell r="B24" t="str">
            <v>General Service 50 to 4,999 kW</v>
          </cell>
          <cell r="C24">
            <v>236.78</v>
          </cell>
          <cell r="D24">
            <v>1.2894000000000001</v>
          </cell>
          <cell r="G24">
            <v>236.78</v>
          </cell>
          <cell r="H24">
            <v>1.2894000000000001</v>
          </cell>
        </row>
        <row r="25">
          <cell r="B25" t="str">
            <v>General Service 50 - 4,999 kW (CoGeneration)</v>
          </cell>
          <cell r="C25">
            <v>3001.12</v>
          </cell>
          <cell r="D25">
            <v>4.5860000000000003</v>
          </cell>
          <cell r="G25">
            <v>3001.12</v>
          </cell>
          <cell r="H25">
            <v>4.5860000000000003</v>
          </cell>
        </row>
        <row r="26">
          <cell r="B26" t="str">
            <v>Standby Power - (APPROVED ON AN INTERIM BASIS)</v>
          </cell>
          <cell r="C26">
            <v>0</v>
          </cell>
          <cell r="D26">
            <v>0</v>
          </cell>
          <cell r="G26">
            <v>0</v>
          </cell>
          <cell r="H26">
            <v>0</v>
          </cell>
        </row>
        <row r="27">
          <cell r="B27" t="str">
            <v>Large Use</v>
          </cell>
          <cell r="C27">
            <v>13401.869999999999</v>
          </cell>
          <cell r="D27">
            <v>1.4463999999999999</v>
          </cell>
          <cell r="G27">
            <v>13401.869999999999</v>
          </cell>
          <cell r="H27">
            <v>1.4463999999999999</v>
          </cell>
        </row>
        <row r="28">
          <cell r="B28" t="str">
            <v>Unmetered Scattered Load</v>
          </cell>
          <cell r="C28">
            <v>0.42</v>
          </cell>
          <cell r="D28">
            <v>8.5000000000000006E-3</v>
          </cell>
          <cell r="G28">
            <v>0.42</v>
          </cell>
          <cell r="H28">
            <v>8.5000000000000006E-3</v>
          </cell>
        </row>
        <row r="29">
          <cell r="B29" t="str">
            <v>Sentinel Lighting</v>
          </cell>
          <cell r="C29">
            <v>0.49</v>
          </cell>
          <cell r="D29">
            <v>1.5873999999999999</v>
          </cell>
          <cell r="G29">
            <v>0.49</v>
          </cell>
          <cell r="H29">
            <v>1.5873999999999999</v>
          </cell>
        </row>
        <row r="30">
          <cell r="B30" t="str">
            <v>Street Lighting</v>
          </cell>
          <cell r="C30">
            <v>0.28000000000000003</v>
          </cell>
          <cell r="D30">
            <v>1.4144000000000001</v>
          </cell>
          <cell r="G30">
            <v>0.28000000000000003</v>
          </cell>
          <cell r="H30">
            <v>1.4144000000000001</v>
          </cell>
        </row>
        <row r="31">
          <cell r="B31" t="str">
            <v/>
          </cell>
          <cell r="C31">
            <v>0</v>
          </cell>
          <cell r="D31">
            <v>0</v>
          </cell>
          <cell r="G31">
            <v>0</v>
          </cell>
          <cell r="H31">
            <v>0</v>
          </cell>
        </row>
        <row r="32">
          <cell r="B32" t="str">
            <v/>
          </cell>
          <cell r="C32">
            <v>0</v>
          </cell>
          <cell r="D32">
            <v>0</v>
          </cell>
          <cell r="G32">
            <v>0</v>
          </cell>
          <cell r="H32">
            <v>0</v>
          </cell>
        </row>
        <row r="33">
          <cell r="B33" t="str">
            <v/>
          </cell>
          <cell r="C33">
            <v>0</v>
          </cell>
          <cell r="D33">
            <v>0</v>
          </cell>
          <cell r="G33">
            <v>0</v>
          </cell>
          <cell r="H33">
            <v>0</v>
          </cell>
        </row>
        <row r="34">
          <cell r="B34" t="str">
            <v/>
          </cell>
          <cell r="C34">
            <v>0</v>
          </cell>
          <cell r="D34">
            <v>0</v>
          </cell>
          <cell r="G34">
            <v>0</v>
          </cell>
          <cell r="H34">
            <v>0</v>
          </cell>
        </row>
        <row r="35">
          <cell r="B35" t="str">
            <v/>
          </cell>
          <cell r="C35">
            <v>0</v>
          </cell>
          <cell r="D35">
            <v>0</v>
          </cell>
          <cell r="G35">
            <v>0</v>
          </cell>
          <cell r="H35">
            <v>0</v>
          </cell>
        </row>
        <row r="36">
          <cell r="B36" t="str">
            <v/>
          </cell>
          <cell r="C36">
            <v>0</v>
          </cell>
          <cell r="D36">
            <v>0</v>
          </cell>
          <cell r="G36">
            <v>0</v>
          </cell>
          <cell r="H36">
            <v>0</v>
          </cell>
        </row>
        <row r="37">
          <cell r="B37" t="str">
            <v/>
          </cell>
          <cell r="C37">
            <v>0</v>
          </cell>
          <cell r="D37">
            <v>0</v>
          </cell>
          <cell r="G37">
            <v>0</v>
          </cell>
          <cell r="H37">
            <v>0</v>
          </cell>
        </row>
      </sheetData>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xml"/><Relationship Id="rId5" Type="http://schemas.openxmlformats.org/officeDocument/2006/relationships/image" Target="../media/image2.w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topLeftCell="A7" workbookViewId="0">
      <selection activeCell="B44" sqref="B44:E45"/>
    </sheetView>
  </sheetViews>
  <sheetFormatPr defaultRowHeight="15" x14ac:dyDescent="0.25"/>
  <cols>
    <col min="1" max="1" width="5" customWidth="1"/>
    <col min="2" max="2" width="62" customWidth="1"/>
    <col min="3" max="3" width="12.7109375" bestFit="1" customWidth="1"/>
    <col min="4" max="4" width="1.7109375" customWidth="1"/>
    <col min="5" max="5" width="16.7109375" customWidth="1"/>
  </cols>
  <sheetData>
    <row r="1" spans="1:5" x14ac:dyDescent="0.25">
      <c r="C1" s="169" t="s">
        <v>160</v>
      </c>
      <c r="E1" s="170" t="s">
        <v>161</v>
      </c>
    </row>
    <row r="2" spans="1:5" x14ac:dyDescent="0.25">
      <c r="C2" s="169" t="s">
        <v>162</v>
      </c>
      <c r="E2" s="171">
        <v>9</v>
      </c>
    </row>
    <row r="3" spans="1:5" x14ac:dyDescent="0.25">
      <c r="C3" s="169" t="s">
        <v>163</v>
      </c>
      <c r="E3" s="171"/>
    </row>
    <row r="4" spans="1:5" x14ac:dyDescent="0.25">
      <c r="C4" s="169" t="s">
        <v>164</v>
      </c>
      <c r="E4" s="171"/>
    </row>
    <row r="5" spans="1:5" x14ac:dyDescent="0.25">
      <c r="C5" s="169" t="s">
        <v>165</v>
      </c>
      <c r="E5" s="172"/>
    </row>
    <row r="6" spans="1:5" x14ac:dyDescent="0.25">
      <c r="C6" s="169"/>
      <c r="E6" s="170"/>
    </row>
    <row r="7" spans="1:5" x14ac:dyDescent="0.25">
      <c r="C7" s="169" t="s">
        <v>166</v>
      </c>
      <c r="E7" s="173">
        <v>41282</v>
      </c>
    </row>
    <row r="9" spans="1:5" ht="18" x14ac:dyDescent="0.25">
      <c r="A9" s="174" t="s">
        <v>167</v>
      </c>
      <c r="B9" s="174"/>
      <c r="C9" s="174"/>
      <c r="D9" s="174"/>
      <c r="E9" s="174"/>
    </row>
    <row r="10" spans="1:5" ht="18" x14ac:dyDescent="0.25">
      <c r="A10" s="174" t="s">
        <v>168</v>
      </c>
      <c r="B10" s="174"/>
      <c r="C10" s="174"/>
      <c r="D10" s="174"/>
      <c r="E10" s="174"/>
    </row>
    <row r="12" spans="1:5" x14ac:dyDescent="0.25">
      <c r="A12" s="175" t="s">
        <v>169</v>
      </c>
      <c r="B12" s="175"/>
      <c r="C12" s="175"/>
      <c r="D12" s="175"/>
      <c r="E12" s="175"/>
    </row>
    <row r="13" spans="1:5" ht="15.75" thickBot="1" x14ac:dyDescent="0.3"/>
    <row r="14" spans="1:5" x14ac:dyDescent="0.25">
      <c r="A14" s="176" t="s">
        <v>170</v>
      </c>
      <c r="B14" s="177"/>
      <c r="C14" s="177"/>
      <c r="D14" s="178"/>
      <c r="E14" s="179" t="s">
        <v>171</v>
      </c>
    </row>
    <row r="15" spans="1:5" x14ac:dyDescent="0.25">
      <c r="A15" s="180"/>
      <c r="B15" s="181"/>
      <c r="C15" s="181"/>
      <c r="D15" s="84"/>
      <c r="E15" s="182" t="s">
        <v>172</v>
      </c>
    </row>
    <row r="16" spans="1:5" x14ac:dyDescent="0.25">
      <c r="A16" s="183"/>
      <c r="B16" s="184"/>
      <c r="C16" s="184"/>
      <c r="D16" s="84"/>
      <c r="E16" s="185">
        <v>2011</v>
      </c>
    </row>
    <row r="17" spans="1:5" x14ac:dyDescent="0.25">
      <c r="A17" s="186" t="s">
        <v>173</v>
      </c>
      <c r="B17" s="187"/>
      <c r="C17" s="188"/>
      <c r="D17" s="189"/>
      <c r="E17" s="190">
        <v>-130133</v>
      </c>
    </row>
    <row r="18" spans="1:5" x14ac:dyDescent="0.25">
      <c r="A18" s="191" t="s">
        <v>174</v>
      </c>
      <c r="B18" s="192"/>
      <c r="C18" s="193"/>
      <c r="D18" s="189"/>
      <c r="E18" s="190"/>
    </row>
    <row r="19" spans="1:5" x14ac:dyDescent="0.25">
      <c r="A19" s="186" t="s">
        <v>175</v>
      </c>
      <c r="B19" s="187"/>
      <c r="C19" s="188"/>
      <c r="D19" s="189"/>
      <c r="E19" s="190"/>
    </row>
    <row r="20" spans="1:5" x14ac:dyDescent="0.25">
      <c r="A20" s="194" t="s">
        <v>176</v>
      </c>
      <c r="B20" s="195"/>
      <c r="C20" s="196"/>
      <c r="D20" s="189"/>
      <c r="E20" s="190"/>
    </row>
    <row r="21" spans="1:5" x14ac:dyDescent="0.25">
      <c r="A21" s="191" t="s">
        <v>177</v>
      </c>
      <c r="B21" s="192"/>
      <c r="C21" s="193"/>
      <c r="D21" s="189"/>
      <c r="E21" s="190"/>
    </row>
    <row r="22" spans="1:5" x14ac:dyDescent="0.25">
      <c r="A22" s="186" t="s">
        <v>178</v>
      </c>
      <c r="B22" s="187"/>
      <c r="C22" s="188"/>
      <c r="D22" s="189"/>
      <c r="E22" s="190"/>
    </row>
    <row r="23" spans="1:5" x14ac:dyDescent="0.25">
      <c r="A23" s="194" t="s">
        <v>179</v>
      </c>
      <c r="B23" s="195"/>
      <c r="C23" s="196"/>
      <c r="D23" s="189"/>
      <c r="E23" s="190"/>
    </row>
    <row r="24" spans="1:5" x14ac:dyDescent="0.25">
      <c r="A24" s="194" t="s">
        <v>180</v>
      </c>
      <c r="B24" s="195"/>
      <c r="C24" s="196"/>
      <c r="D24" s="189"/>
      <c r="E24" s="190"/>
    </row>
    <row r="25" spans="1:5" x14ac:dyDescent="0.25">
      <c r="A25" s="191" t="s">
        <v>181</v>
      </c>
      <c r="B25" s="192"/>
      <c r="C25" s="193"/>
      <c r="D25" s="189"/>
      <c r="E25" s="190"/>
    </row>
    <row r="26" spans="1:5" x14ac:dyDescent="0.25">
      <c r="A26" s="186" t="s">
        <v>182</v>
      </c>
      <c r="B26" s="187"/>
      <c r="C26" s="188"/>
      <c r="D26" s="189"/>
      <c r="E26" s="190"/>
    </row>
    <row r="27" spans="1:5" x14ac:dyDescent="0.25">
      <c r="A27" s="191" t="s">
        <v>183</v>
      </c>
      <c r="B27" s="192"/>
      <c r="C27" s="193"/>
      <c r="D27" s="189"/>
      <c r="E27" s="190"/>
    </row>
    <row r="28" spans="1:5" x14ac:dyDescent="0.25">
      <c r="A28" s="197" t="s">
        <v>184</v>
      </c>
      <c r="B28" s="192"/>
      <c r="C28" s="193"/>
      <c r="D28" s="189"/>
      <c r="E28" s="190"/>
    </row>
    <row r="29" spans="1:5" x14ac:dyDescent="0.25">
      <c r="A29" s="191" t="s">
        <v>185</v>
      </c>
      <c r="B29" s="192"/>
      <c r="C29" s="193"/>
      <c r="D29" s="189"/>
      <c r="E29" s="190"/>
    </row>
    <row r="30" spans="1:5" x14ac:dyDescent="0.25">
      <c r="A30" s="191" t="s">
        <v>186</v>
      </c>
      <c r="B30" s="192"/>
      <c r="C30" s="193"/>
      <c r="D30" s="189"/>
      <c r="E30" s="190">
        <v>-185546</v>
      </c>
    </row>
    <row r="31" spans="1:5" ht="15.75" thickBot="1" x14ac:dyDescent="0.3">
      <c r="A31" s="198" t="s">
        <v>187</v>
      </c>
      <c r="B31" s="199"/>
      <c r="C31" s="200"/>
      <c r="D31" s="189"/>
      <c r="E31" s="201"/>
    </row>
    <row r="32" spans="1:5" ht="16.5" thickTop="1" thickBot="1" x14ac:dyDescent="0.3">
      <c r="A32" s="202" t="s">
        <v>188</v>
      </c>
      <c r="B32" s="203"/>
      <c r="C32" s="204"/>
      <c r="D32" s="205"/>
      <c r="E32" s="206">
        <f>SUM(E17:E31)</f>
        <v>-315679</v>
      </c>
    </row>
    <row r="34" spans="1:5" x14ac:dyDescent="0.25">
      <c r="A34" s="207" t="s">
        <v>189</v>
      </c>
      <c r="B34" s="207"/>
      <c r="C34" s="207"/>
      <c r="D34" s="208"/>
      <c r="E34" s="208"/>
    </row>
    <row r="35" spans="1:5" x14ac:dyDescent="0.25">
      <c r="A35" s="208"/>
      <c r="B35" s="208"/>
      <c r="C35" s="208"/>
      <c r="D35" s="208"/>
      <c r="E35" s="208"/>
    </row>
    <row r="36" spans="1:5" x14ac:dyDescent="0.25">
      <c r="A36" s="209">
        <v>1</v>
      </c>
      <c r="B36" s="210" t="s">
        <v>190</v>
      </c>
      <c r="C36" s="211"/>
      <c r="D36" s="211"/>
      <c r="E36" s="211"/>
    </row>
    <row r="37" spans="1:5" x14ac:dyDescent="0.25">
      <c r="A37" s="209"/>
      <c r="B37" s="211"/>
      <c r="C37" s="211"/>
      <c r="D37" s="211"/>
      <c r="E37" s="211"/>
    </row>
    <row r="38" spans="1:5" x14ac:dyDescent="0.25">
      <c r="A38" s="212"/>
      <c r="B38" s="208"/>
      <c r="C38" s="208"/>
      <c r="D38" s="208"/>
      <c r="E38" s="208"/>
    </row>
    <row r="39" spans="1:5" x14ac:dyDescent="0.25">
      <c r="A39" s="209">
        <v>2</v>
      </c>
      <c r="B39" s="210" t="s">
        <v>191</v>
      </c>
      <c r="C39" s="210"/>
      <c r="D39" s="210"/>
      <c r="E39" s="210"/>
    </row>
    <row r="40" spans="1:5" x14ac:dyDescent="0.25">
      <c r="A40" s="209"/>
      <c r="B40" s="208"/>
      <c r="C40" s="208"/>
      <c r="D40" s="208"/>
      <c r="E40" s="208"/>
    </row>
    <row r="41" spans="1:5" x14ac:dyDescent="0.25">
      <c r="A41" s="209">
        <v>3</v>
      </c>
      <c r="B41" s="213" t="s">
        <v>192</v>
      </c>
      <c r="C41" s="213"/>
      <c r="D41" s="213"/>
      <c r="E41" s="213"/>
    </row>
    <row r="42" spans="1:5" x14ac:dyDescent="0.25">
      <c r="A42" s="209"/>
      <c r="B42" s="213"/>
      <c r="C42" s="213"/>
      <c r="D42" s="213"/>
      <c r="E42" s="213"/>
    </row>
    <row r="43" spans="1:5" x14ac:dyDescent="0.25">
      <c r="A43" s="212"/>
      <c r="B43" s="208"/>
      <c r="C43" s="208"/>
      <c r="D43" s="208"/>
      <c r="E43" s="208"/>
    </row>
    <row r="44" spans="1:5" x14ac:dyDescent="0.25">
      <c r="A44" s="209">
        <v>4</v>
      </c>
      <c r="B44" s="213" t="s">
        <v>193</v>
      </c>
      <c r="C44" s="213"/>
      <c r="D44" s="213"/>
      <c r="E44" s="213"/>
    </row>
    <row r="45" spans="1:5" x14ac:dyDescent="0.25">
      <c r="A45" s="209"/>
      <c r="B45" s="211"/>
      <c r="C45" s="211"/>
      <c r="D45" s="211"/>
      <c r="E45" s="211"/>
    </row>
    <row r="46" spans="1:5" x14ac:dyDescent="0.25">
      <c r="A46" s="212"/>
      <c r="B46" s="214"/>
      <c r="C46" s="214"/>
      <c r="D46" s="214"/>
      <c r="E46" s="214"/>
    </row>
    <row r="47" spans="1:5" x14ac:dyDescent="0.25">
      <c r="A47" s="215">
        <v>5</v>
      </c>
      <c r="B47" s="213" t="s">
        <v>194</v>
      </c>
      <c r="C47" s="213"/>
      <c r="D47" s="213"/>
      <c r="E47" s="213"/>
    </row>
    <row r="48" spans="1:5" x14ac:dyDescent="0.25">
      <c r="A48" s="215"/>
      <c r="B48" s="213"/>
      <c r="C48" s="213"/>
      <c r="D48" s="213"/>
      <c r="E48" s="213"/>
    </row>
    <row r="49" spans="1:5" x14ac:dyDescent="0.25">
      <c r="A49" s="215"/>
      <c r="B49" s="211"/>
      <c r="C49" s="211"/>
      <c r="D49" s="211"/>
      <c r="E49" s="211"/>
    </row>
    <row r="50" spans="1:5" x14ac:dyDescent="0.25">
      <c r="A50" s="215"/>
      <c r="B50" s="211"/>
      <c r="C50" s="211"/>
      <c r="D50" s="211"/>
      <c r="E50" s="211"/>
    </row>
    <row r="51" spans="1:5" x14ac:dyDescent="0.25">
      <c r="A51" s="212"/>
      <c r="B51" s="208"/>
      <c r="C51" s="208"/>
      <c r="D51" s="208"/>
      <c r="E51" s="208"/>
    </row>
    <row r="52" spans="1:5" x14ac:dyDescent="0.25">
      <c r="A52" s="209">
        <v>6</v>
      </c>
      <c r="B52" s="213" t="s">
        <v>195</v>
      </c>
      <c r="C52" s="213"/>
      <c r="D52" s="213"/>
      <c r="E52" s="213"/>
    </row>
    <row r="53" spans="1:5" x14ac:dyDescent="0.25">
      <c r="A53" s="209"/>
      <c r="B53" s="213"/>
      <c r="C53" s="213"/>
      <c r="D53" s="213"/>
      <c r="E53" s="213"/>
    </row>
  </sheetData>
  <mergeCells count="32">
    <mergeCell ref="A52:A53"/>
    <mergeCell ref="B52:E53"/>
    <mergeCell ref="A41:A42"/>
    <mergeCell ref="B41:E42"/>
    <mergeCell ref="A44:A45"/>
    <mergeCell ref="B44:E45"/>
    <mergeCell ref="A47:A50"/>
    <mergeCell ref="B47:E50"/>
    <mergeCell ref="A31:C31"/>
    <mergeCell ref="A32:C32"/>
    <mergeCell ref="A36:A37"/>
    <mergeCell ref="B36:E37"/>
    <mergeCell ref="A39:A40"/>
    <mergeCell ref="B39:E39"/>
    <mergeCell ref="A25:C25"/>
    <mergeCell ref="A26:C26"/>
    <mergeCell ref="A27:C27"/>
    <mergeCell ref="A28:C28"/>
    <mergeCell ref="A29:C29"/>
    <mergeCell ref="A30:C30"/>
    <mergeCell ref="A19:C19"/>
    <mergeCell ref="A20:C20"/>
    <mergeCell ref="A21:C21"/>
    <mergeCell ref="A22:C22"/>
    <mergeCell ref="A23:C23"/>
    <mergeCell ref="A24:C24"/>
    <mergeCell ref="A9:E9"/>
    <mergeCell ref="A10:E10"/>
    <mergeCell ref="A12:E12"/>
    <mergeCell ref="A14:C16"/>
    <mergeCell ref="A17:C17"/>
    <mergeCell ref="A18:C18"/>
  </mergeCells>
  <dataValidations count="1">
    <dataValidation allowBlank="1" showInputMessage="1" showErrorMessage="1" promptTitle="Date Format" prompt="E.g:  &quot;August 1, 2011&quot;" sqref="E7"/>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6"/>
  <sheetViews>
    <sheetView workbookViewId="0">
      <selection activeCell="E38" sqref="E38"/>
    </sheetView>
  </sheetViews>
  <sheetFormatPr defaultRowHeight="15" x14ac:dyDescent="0.25"/>
  <cols>
    <col min="1" max="1" width="45.5703125" style="2" customWidth="1"/>
    <col min="2" max="2" width="9.140625" style="2"/>
    <col min="3" max="3" width="16.42578125" style="78" bestFit="1" customWidth="1"/>
    <col min="4" max="4" width="15.5703125" style="78" customWidth="1"/>
    <col min="5" max="5" width="18" style="78" customWidth="1"/>
    <col min="6" max="6" width="14.7109375" style="2" customWidth="1"/>
    <col min="7" max="7" width="15" style="2" customWidth="1"/>
    <col min="8" max="256" width="9.140625" style="2"/>
    <col min="257" max="257" width="45.5703125" style="2" customWidth="1"/>
    <col min="258" max="258" width="9.140625" style="2"/>
    <col min="259" max="259" width="16.42578125" style="2" bestFit="1" customWidth="1"/>
    <col min="260" max="260" width="15.5703125" style="2" customWidth="1"/>
    <col min="261" max="261" width="18" style="2" customWidth="1"/>
    <col min="262" max="262" width="14.7109375" style="2" customWidth="1"/>
    <col min="263" max="263" width="15" style="2" customWidth="1"/>
    <col min="264" max="512" width="9.140625" style="2"/>
    <col min="513" max="513" width="45.5703125" style="2" customWidth="1"/>
    <col min="514" max="514" width="9.140625" style="2"/>
    <col min="515" max="515" width="16.42578125" style="2" bestFit="1" customWidth="1"/>
    <col min="516" max="516" width="15.5703125" style="2" customWidth="1"/>
    <col min="517" max="517" width="18" style="2" customWidth="1"/>
    <col min="518" max="518" width="14.7109375" style="2" customWidth="1"/>
    <col min="519" max="519" width="15" style="2" customWidth="1"/>
    <col min="520" max="768" width="9.140625" style="2"/>
    <col min="769" max="769" width="45.5703125" style="2" customWidth="1"/>
    <col min="770" max="770" width="9.140625" style="2"/>
    <col min="771" max="771" width="16.42578125" style="2" bestFit="1" customWidth="1"/>
    <col min="772" max="772" width="15.5703125" style="2" customWidth="1"/>
    <col min="773" max="773" width="18" style="2" customWidth="1"/>
    <col min="774" max="774" width="14.7109375" style="2" customWidth="1"/>
    <col min="775" max="775" width="15" style="2" customWidth="1"/>
    <col min="776" max="1024" width="9.140625" style="2"/>
    <col min="1025" max="1025" width="45.5703125" style="2" customWidth="1"/>
    <col min="1026" max="1026" width="9.140625" style="2"/>
    <col min="1027" max="1027" width="16.42578125" style="2" bestFit="1" customWidth="1"/>
    <col min="1028" max="1028" width="15.5703125" style="2" customWidth="1"/>
    <col min="1029" max="1029" width="18" style="2" customWidth="1"/>
    <col min="1030" max="1030" width="14.7109375" style="2" customWidth="1"/>
    <col min="1031" max="1031" width="15" style="2" customWidth="1"/>
    <col min="1032" max="1280" width="9.140625" style="2"/>
    <col min="1281" max="1281" width="45.5703125" style="2" customWidth="1"/>
    <col min="1282" max="1282" width="9.140625" style="2"/>
    <col min="1283" max="1283" width="16.42578125" style="2" bestFit="1" customWidth="1"/>
    <col min="1284" max="1284" width="15.5703125" style="2" customWidth="1"/>
    <col min="1285" max="1285" width="18" style="2" customWidth="1"/>
    <col min="1286" max="1286" width="14.7109375" style="2" customWidth="1"/>
    <col min="1287" max="1287" width="15" style="2" customWidth="1"/>
    <col min="1288" max="1536" width="9.140625" style="2"/>
    <col min="1537" max="1537" width="45.5703125" style="2" customWidth="1"/>
    <col min="1538" max="1538" width="9.140625" style="2"/>
    <col min="1539" max="1539" width="16.42578125" style="2" bestFit="1" customWidth="1"/>
    <col min="1540" max="1540" width="15.5703125" style="2" customWidth="1"/>
    <col min="1541" max="1541" width="18" style="2" customWidth="1"/>
    <col min="1542" max="1542" width="14.7109375" style="2" customWidth="1"/>
    <col min="1543" max="1543" width="15" style="2" customWidth="1"/>
    <col min="1544" max="1792" width="9.140625" style="2"/>
    <col min="1793" max="1793" width="45.5703125" style="2" customWidth="1"/>
    <col min="1794" max="1794" width="9.140625" style="2"/>
    <col min="1795" max="1795" width="16.42578125" style="2" bestFit="1" customWidth="1"/>
    <col min="1796" max="1796" width="15.5703125" style="2" customWidth="1"/>
    <col min="1797" max="1797" width="18" style="2" customWidth="1"/>
    <col min="1798" max="1798" width="14.7109375" style="2" customWidth="1"/>
    <col min="1799" max="1799" width="15" style="2" customWidth="1"/>
    <col min="1800" max="2048" width="9.140625" style="2"/>
    <col min="2049" max="2049" width="45.5703125" style="2" customWidth="1"/>
    <col min="2050" max="2050" width="9.140625" style="2"/>
    <col min="2051" max="2051" width="16.42578125" style="2" bestFit="1" customWidth="1"/>
    <col min="2052" max="2052" width="15.5703125" style="2" customWidth="1"/>
    <col min="2053" max="2053" width="18" style="2" customWidth="1"/>
    <col min="2054" max="2054" width="14.7109375" style="2" customWidth="1"/>
    <col min="2055" max="2055" width="15" style="2" customWidth="1"/>
    <col min="2056" max="2304" width="9.140625" style="2"/>
    <col min="2305" max="2305" width="45.5703125" style="2" customWidth="1"/>
    <col min="2306" max="2306" width="9.140625" style="2"/>
    <col min="2307" max="2307" width="16.42578125" style="2" bestFit="1" customWidth="1"/>
    <col min="2308" max="2308" width="15.5703125" style="2" customWidth="1"/>
    <col min="2309" max="2309" width="18" style="2" customWidth="1"/>
    <col min="2310" max="2310" width="14.7109375" style="2" customWidth="1"/>
    <col min="2311" max="2311" width="15" style="2" customWidth="1"/>
    <col min="2312" max="2560" width="9.140625" style="2"/>
    <col min="2561" max="2561" width="45.5703125" style="2" customWidth="1"/>
    <col min="2562" max="2562" width="9.140625" style="2"/>
    <col min="2563" max="2563" width="16.42578125" style="2" bestFit="1" customWidth="1"/>
    <col min="2564" max="2564" width="15.5703125" style="2" customWidth="1"/>
    <col min="2565" max="2565" width="18" style="2" customWidth="1"/>
    <col min="2566" max="2566" width="14.7109375" style="2" customWidth="1"/>
    <col min="2567" max="2567" width="15" style="2" customWidth="1"/>
    <col min="2568" max="2816" width="9.140625" style="2"/>
    <col min="2817" max="2817" width="45.5703125" style="2" customWidth="1"/>
    <col min="2818" max="2818" width="9.140625" style="2"/>
    <col min="2819" max="2819" width="16.42578125" style="2" bestFit="1" customWidth="1"/>
    <col min="2820" max="2820" width="15.5703125" style="2" customWidth="1"/>
    <col min="2821" max="2821" width="18" style="2" customWidth="1"/>
    <col min="2822" max="2822" width="14.7109375" style="2" customWidth="1"/>
    <col min="2823" max="2823" width="15" style="2" customWidth="1"/>
    <col min="2824" max="3072" width="9.140625" style="2"/>
    <col min="3073" max="3073" width="45.5703125" style="2" customWidth="1"/>
    <col min="3074" max="3074" width="9.140625" style="2"/>
    <col min="3075" max="3075" width="16.42578125" style="2" bestFit="1" customWidth="1"/>
    <col min="3076" max="3076" width="15.5703125" style="2" customWidth="1"/>
    <col min="3077" max="3077" width="18" style="2" customWidth="1"/>
    <col min="3078" max="3078" width="14.7109375" style="2" customWidth="1"/>
    <col min="3079" max="3079" width="15" style="2" customWidth="1"/>
    <col min="3080" max="3328" width="9.140625" style="2"/>
    <col min="3329" max="3329" width="45.5703125" style="2" customWidth="1"/>
    <col min="3330" max="3330" width="9.140625" style="2"/>
    <col min="3331" max="3331" width="16.42578125" style="2" bestFit="1" customWidth="1"/>
    <col min="3332" max="3332" width="15.5703125" style="2" customWidth="1"/>
    <col min="3333" max="3333" width="18" style="2" customWidth="1"/>
    <col min="3334" max="3334" width="14.7109375" style="2" customWidth="1"/>
    <col min="3335" max="3335" width="15" style="2" customWidth="1"/>
    <col min="3336" max="3584" width="9.140625" style="2"/>
    <col min="3585" max="3585" width="45.5703125" style="2" customWidth="1"/>
    <col min="3586" max="3586" width="9.140625" style="2"/>
    <col min="3587" max="3587" width="16.42578125" style="2" bestFit="1" customWidth="1"/>
    <col min="3588" max="3588" width="15.5703125" style="2" customWidth="1"/>
    <col min="3589" max="3589" width="18" style="2" customWidth="1"/>
    <col min="3590" max="3590" width="14.7109375" style="2" customWidth="1"/>
    <col min="3591" max="3591" width="15" style="2" customWidth="1"/>
    <col min="3592" max="3840" width="9.140625" style="2"/>
    <col min="3841" max="3841" width="45.5703125" style="2" customWidth="1"/>
    <col min="3842" max="3842" width="9.140625" style="2"/>
    <col min="3843" max="3843" width="16.42578125" style="2" bestFit="1" customWidth="1"/>
    <col min="3844" max="3844" width="15.5703125" style="2" customWidth="1"/>
    <col min="3845" max="3845" width="18" style="2" customWidth="1"/>
    <col min="3846" max="3846" width="14.7109375" style="2" customWidth="1"/>
    <col min="3847" max="3847" width="15" style="2" customWidth="1"/>
    <col min="3848" max="4096" width="9.140625" style="2"/>
    <col min="4097" max="4097" width="45.5703125" style="2" customWidth="1"/>
    <col min="4098" max="4098" width="9.140625" style="2"/>
    <col min="4099" max="4099" width="16.42578125" style="2" bestFit="1" customWidth="1"/>
    <col min="4100" max="4100" width="15.5703125" style="2" customWidth="1"/>
    <col min="4101" max="4101" width="18" style="2" customWidth="1"/>
    <col min="4102" max="4102" width="14.7109375" style="2" customWidth="1"/>
    <col min="4103" max="4103" width="15" style="2" customWidth="1"/>
    <col min="4104" max="4352" width="9.140625" style="2"/>
    <col min="4353" max="4353" width="45.5703125" style="2" customWidth="1"/>
    <col min="4354" max="4354" width="9.140625" style="2"/>
    <col min="4355" max="4355" width="16.42578125" style="2" bestFit="1" customWidth="1"/>
    <col min="4356" max="4356" width="15.5703125" style="2" customWidth="1"/>
    <col min="4357" max="4357" width="18" style="2" customWidth="1"/>
    <col min="4358" max="4358" width="14.7109375" style="2" customWidth="1"/>
    <col min="4359" max="4359" width="15" style="2" customWidth="1"/>
    <col min="4360" max="4608" width="9.140625" style="2"/>
    <col min="4609" max="4609" width="45.5703125" style="2" customWidth="1"/>
    <col min="4610" max="4610" width="9.140625" style="2"/>
    <col min="4611" max="4611" width="16.42578125" style="2" bestFit="1" customWidth="1"/>
    <col min="4612" max="4612" width="15.5703125" style="2" customWidth="1"/>
    <col min="4613" max="4613" width="18" style="2" customWidth="1"/>
    <col min="4614" max="4614" width="14.7109375" style="2" customWidth="1"/>
    <col min="4615" max="4615" width="15" style="2" customWidth="1"/>
    <col min="4616" max="4864" width="9.140625" style="2"/>
    <col min="4865" max="4865" width="45.5703125" style="2" customWidth="1"/>
    <col min="4866" max="4866" width="9.140625" style="2"/>
    <col min="4867" max="4867" width="16.42578125" style="2" bestFit="1" customWidth="1"/>
    <col min="4868" max="4868" width="15.5703125" style="2" customWidth="1"/>
    <col min="4869" max="4869" width="18" style="2" customWidth="1"/>
    <col min="4870" max="4870" width="14.7109375" style="2" customWidth="1"/>
    <col min="4871" max="4871" width="15" style="2" customWidth="1"/>
    <col min="4872" max="5120" width="9.140625" style="2"/>
    <col min="5121" max="5121" width="45.5703125" style="2" customWidth="1"/>
    <col min="5122" max="5122" width="9.140625" style="2"/>
    <col min="5123" max="5123" width="16.42578125" style="2" bestFit="1" customWidth="1"/>
    <col min="5124" max="5124" width="15.5703125" style="2" customWidth="1"/>
    <col min="5125" max="5125" width="18" style="2" customWidth="1"/>
    <col min="5126" max="5126" width="14.7109375" style="2" customWidth="1"/>
    <col min="5127" max="5127" width="15" style="2" customWidth="1"/>
    <col min="5128" max="5376" width="9.140625" style="2"/>
    <col min="5377" max="5377" width="45.5703125" style="2" customWidth="1"/>
    <col min="5378" max="5378" width="9.140625" style="2"/>
    <col min="5379" max="5379" width="16.42578125" style="2" bestFit="1" customWidth="1"/>
    <col min="5380" max="5380" width="15.5703125" style="2" customWidth="1"/>
    <col min="5381" max="5381" width="18" style="2" customWidth="1"/>
    <col min="5382" max="5382" width="14.7109375" style="2" customWidth="1"/>
    <col min="5383" max="5383" width="15" style="2" customWidth="1"/>
    <col min="5384" max="5632" width="9.140625" style="2"/>
    <col min="5633" max="5633" width="45.5703125" style="2" customWidth="1"/>
    <col min="5634" max="5634" width="9.140625" style="2"/>
    <col min="5635" max="5635" width="16.42578125" style="2" bestFit="1" customWidth="1"/>
    <col min="5636" max="5636" width="15.5703125" style="2" customWidth="1"/>
    <col min="5637" max="5637" width="18" style="2" customWidth="1"/>
    <col min="5638" max="5638" width="14.7109375" style="2" customWidth="1"/>
    <col min="5639" max="5639" width="15" style="2" customWidth="1"/>
    <col min="5640" max="5888" width="9.140625" style="2"/>
    <col min="5889" max="5889" width="45.5703125" style="2" customWidth="1"/>
    <col min="5890" max="5890" width="9.140625" style="2"/>
    <col min="5891" max="5891" width="16.42578125" style="2" bestFit="1" customWidth="1"/>
    <col min="5892" max="5892" width="15.5703125" style="2" customWidth="1"/>
    <col min="5893" max="5893" width="18" style="2" customWidth="1"/>
    <col min="5894" max="5894" width="14.7109375" style="2" customWidth="1"/>
    <col min="5895" max="5895" width="15" style="2" customWidth="1"/>
    <col min="5896" max="6144" width="9.140625" style="2"/>
    <col min="6145" max="6145" width="45.5703125" style="2" customWidth="1"/>
    <col min="6146" max="6146" width="9.140625" style="2"/>
    <col min="6147" max="6147" width="16.42578125" style="2" bestFit="1" customWidth="1"/>
    <col min="6148" max="6148" width="15.5703125" style="2" customWidth="1"/>
    <col min="6149" max="6149" width="18" style="2" customWidth="1"/>
    <col min="6150" max="6150" width="14.7109375" style="2" customWidth="1"/>
    <col min="6151" max="6151" width="15" style="2" customWidth="1"/>
    <col min="6152" max="6400" width="9.140625" style="2"/>
    <col min="6401" max="6401" width="45.5703125" style="2" customWidth="1"/>
    <col min="6402" max="6402" width="9.140625" style="2"/>
    <col min="6403" max="6403" width="16.42578125" style="2" bestFit="1" customWidth="1"/>
    <col min="6404" max="6404" width="15.5703125" style="2" customWidth="1"/>
    <col min="6405" max="6405" width="18" style="2" customWidth="1"/>
    <col min="6406" max="6406" width="14.7109375" style="2" customWidth="1"/>
    <col min="6407" max="6407" width="15" style="2" customWidth="1"/>
    <col min="6408" max="6656" width="9.140625" style="2"/>
    <col min="6657" max="6657" width="45.5703125" style="2" customWidth="1"/>
    <col min="6658" max="6658" width="9.140625" style="2"/>
    <col min="6659" max="6659" width="16.42578125" style="2" bestFit="1" customWidth="1"/>
    <col min="6660" max="6660" width="15.5703125" style="2" customWidth="1"/>
    <col min="6661" max="6661" width="18" style="2" customWidth="1"/>
    <col min="6662" max="6662" width="14.7109375" style="2" customWidth="1"/>
    <col min="6663" max="6663" width="15" style="2" customWidth="1"/>
    <col min="6664" max="6912" width="9.140625" style="2"/>
    <col min="6913" max="6913" width="45.5703125" style="2" customWidth="1"/>
    <col min="6914" max="6914" width="9.140625" style="2"/>
    <col min="6915" max="6915" width="16.42578125" style="2" bestFit="1" customWidth="1"/>
    <col min="6916" max="6916" width="15.5703125" style="2" customWidth="1"/>
    <col min="6917" max="6917" width="18" style="2" customWidth="1"/>
    <col min="6918" max="6918" width="14.7109375" style="2" customWidth="1"/>
    <col min="6919" max="6919" width="15" style="2" customWidth="1"/>
    <col min="6920" max="7168" width="9.140625" style="2"/>
    <col min="7169" max="7169" width="45.5703125" style="2" customWidth="1"/>
    <col min="7170" max="7170" width="9.140625" style="2"/>
    <col min="7171" max="7171" width="16.42578125" style="2" bestFit="1" customWidth="1"/>
    <col min="7172" max="7172" width="15.5703125" style="2" customWidth="1"/>
    <col min="7173" max="7173" width="18" style="2" customWidth="1"/>
    <col min="7174" max="7174" width="14.7109375" style="2" customWidth="1"/>
    <col min="7175" max="7175" width="15" style="2" customWidth="1"/>
    <col min="7176" max="7424" width="9.140625" style="2"/>
    <col min="7425" max="7425" width="45.5703125" style="2" customWidth="1"/>
    <col min="7426" max="7426" width="9.140625" style="2"/>
    <col min="7427" max="7427" width="16.42578125" style="2" bestFit="1" customWidth="1"/>
    <col min="7428" max="7428" width="15.5703125" style="2" customWidth="1"/>
    <col min="7429" max="7429" width="18" style="2" customWidth="1"/>
    <col min="7430" max="7430" width="14.7109375" style="2" customWidth="1"/>
    <col min="7431" max="7431" width="15" style="2" customWidth="1"/>
    <col min="7432" max="7680" width="9.140625" style="2"/>
    <col min="7681" max="7681" width="45.5703125" style="2" customWidth="1"/>
    <col min="7682" max="7682" width="9.140625" style="2"/>
    <col min="7683" max="7683" width="16.42578125" style="2" bestFit="1" customWidth="1"/>
    <col min="7684" max="7684" width="15.5703125" style="2" customWidth="1"/>
    <col min="7685" max="7685" width="18" style="2" customWidth="1"/>
    <col min="7686" max="7686" width="14.7109375" style="2" customWidth="1"/>
    <col min="7687" max="7687" width="15" style="2" customWidth="1"/>
    <col min="7688" max="7936" width="9.140625" style="2"/>
    <col min="7937" max="7937" width="45.5703125" style="2" customWidth="1"/>
    <col min="7938" max="7938" width="9.140625" style="2"/>
    <col min="7939" max="7939" width="16.42578125" style="2" bestFit="1" customWidth="1"/>
    <col min="7940" max="7940" width="15.5703125" style="2" customWidth="1"/>
    <col min="7941" max="7941" width="18" style="2" customWidth="1"/>
    <col min="7942" max="7942" width="14.7109375" style="2" customWidth="1"/>
    <col min="7943" max="7943" width="15" style="2" customWidth="1"/>
    <col min="7944" max="8192" width="9.140625" style="2"/>
    <col min="8193" max="8193" width="45.5703125" style="2" customWidth="1"/>
    <col min="8194" max="8194" width="9.140625" style="2"/>
    <col min="8195" max="8195" width="16.42578125" style="2" bestFit="1" customWidth="1"/>
    <col min="8196" max="8196" width="15.5703125" style="2" customWidth="1"/>
    <col min="8197" max="8197" width="18" style="2" customWidth="1"/>
    <col min="8198" max="8198" width="14.7109375" style="2" customWidth="1"/>
    <col min="8199" max="8199" width="15" style="2" customWidth="1"/>
    <col min="8200" max="8448" width="9.140625" style="2"/>
    <col min="8449" max="8449" width="45.5703125" style="2" customWidth="1"/>
    <col min="8450" max="8450" width="9.140625" style="2"/>
    <col min="8451" max="8451" width="16.42578125" style="2" bestFit="1" customWidth="1"/>
    <col min="8452" max="8452" width="15.5703125" style="2" customWidth="1"/>
    <col min="8453" max="8453" width="18" style="2" customWidth="1"/>
    <col min="8454" max="8454" width="14.7109375" style="2" customWidth="1"/>
    <col min="8455" max="8455" width="15" style="2" customWidth="1"/>
    <col min="8456" max="8704" width="9.140625" style="2"/>
    <col min="8705" max="8705" width="45.5703125" style="2" customWidth="1"/>
    <col min="8706" max="8706" width="9.140625" style="2"/>
    <col min="8707" max="8707" width="16.42578125" style="2" bestFit="1" customWidth="1"/>
    <col min="8708" max="8708" width="15.5703125" style="2" customWidth="1"/>
    <col min="8709" max="8709" width="18" style="2" customWidth="1"/>
    <col min="8710" max="8710" width="14.7109375" style="2" customWidth="1"/>
    <col min="8711" max="8711" width="15" style="2" customWidth="1"/>
    <col min="8712" max="8960" width="9.140625" style="2"/>
    <col min="8961" max="8961" width="45.5703125" style="2" customWidth="1"/>
    <col min="8962" max="8962" width="9.140625" style="2"/>
    <col min="8963" max="8963" width="16.42578125" style="2" bestFit="1" customWidth="1"/>
    <col min="8964" max="8964" width="15.5703125" style="2" customWidth="1"/>
    <col min="8965" max="8965" width="18" style="2" customWidth="1"/>
    <col min="8966" max="8966" width="14.7109375" style="2" customWidth="1"/>
    <col min="8967" max="8967" width="15" style="2" customWidth="1"/>
    <col min="8968" max="9216" width="9.140625" style="2"/>
    <col min="9217" max="9217" width="45.5703125" style="2" customWidth="1"/>
    <col min="9218" max="9218" width="9.140625" style="2"/>
    <col min="9219" max="9219" width="16.42578125" style="2" bestFit="1" customWidth="1"/>
    <col min="9220" max="9220" width="15.5703125" style="2" customWidth="1"/>
    <col min="9221" max="9221" width="18" style="2" customWidth="1"/>
    <col min="9222" max="9222" width="14.7109375" style="2" customWidth="1"/>
    <col min="9223" max="9223" width="15" style="2" customWidth="1"/>
    <col min="9224" max="9472" width="9.140625" style="2"/>
    <col min="9473" max="9473" width="45.5703125" style="2" customWidth="1"/>
    <col min="9474" max="9474" width="9.140625" style="2"/>
    <col min="9475" max="9475" width="16.42578125" style="2" bestFit="1" customWidth="1"/>
    <col min="9476" max="9476" width="15.5703125" style="2" customWidth="1"/>
    <col min="9477" max="9477" width="18" style="2" customWidth="1"/>
    <col min="9478" max="9478" width="14.7109375" style="2" customWidth="1"/>
    <col min="9479" max="9479" width="15" style="2" customWidth="1"/>
    <col min="9480" max="9728" width="9.140625" style="2"/>
    <col min="9729" max="9729" width="45.5703125" style="2" customWidth="1"/>
    <col min="9730" max="9730" width="9.140625" style="2"/>
    <col min="9731" max="9731" width="16.42578125" style="2" bestFit="1" customWidth="1"/>
    <col min="9732" max="9732" width="15.5703125" style="2" customWidth="1"/>
    <col min="9733" max="9733" width="18" style="2" customWidth="1"/>
    <col min="9734" max="9734" width="14.7109375" style="2" customWidth="1"/>
    <col min="9735" max="9735" width="15" style="2" customWidth="1"/>
    <col min="9736" max="9984" width="9.140625" style="2"/>
    <col min="9985" max="9985" width="45.5703125" style="2" customWidth="1"/>
    <col min="9986" max="9986" width="9.140625" style="2"/>
    <col min="9987" max="9987" width="16.42578125" style="2" bestFit="1" customWidth="1"/>
    <col min="9988" max="9988" width="15.5703125" style="2" customWidth="1"/>
    <col min="9989" max="9989" width="18" style="2" customWidth="1"/>
    <col min="9990" max="9990" width="14.7109375" style="2" customWidth="1"/>
    <col min="9991" max="9991" width="15" style="2" customWidth="1"/>
    <col min="9992" max="10240" width="9.140625" style="2"/>
    <col min="10241" max="10241" width="45.5703125" style="2" customWidth="1"/>
    <col min="10242" max="10242" width="9.140625" style="2"/>
    <col min="10243" max="10243" width="16.42578125" style="2" bestFit="1" customWidth="1"/>
    <col min="10244" max="10244" width="15.5703125" style="2" customWidth="1"/>
    <col min="10245" max="10245" width="18" style="2" customWidth="1"/>
    <col min="10246" max="10246" width="14.7109375" style="2" customWidth="1"/>
    <col min="10247" max="10247" width="15" style="2" customWidth="1"/>
    <col min="10248" max="10496" width="9.140625" style="2"/>
    <col min="10497" max="10497" width="45.5703125" style="2" customWidth="1"/>
    <col min="10498" max="10498" width="9.140625" style="2"/>
    <col min="10499" max="10499" width="16.42578125" style="2" bestFit="1" customWidth="1"/>
    <col min="10500" max="10500" width="15.5703125" style="2" customWidth="1"/>
    <col min="10501" max="10501" width="18" style="2" customWidth="1"/>
    <col min="10502" max="10502" width="14.7109375" style="2" customWidth="1"/>
    <col min="10503" max="10503" width="15" style="2" customWidth="1"/>
    <col min="10504" max="10752" width="9.140625" style="2"/>
    <col min="10753" max="10753" width="45.5703125" style="2" customWidth="1"/>
    <col min="10754" max="10754" width="9.140625" style="2"/>
    <col min="10755" max="10755" width="16.42578125" style="2" bestFit="1" customWidth="1"/>
    <col min="10756" max="10756" width="15.5703125" style="2" customWidth="1"/>
    <col min="10757" max="10757" width="18" style="2" customWidth="1"/>
    <col min="10758" max="10758" width="14.7109375" style="2" customWidth="1"/>
    <col min="10759" max="10759" width="15" style="2" customWidth="1"/>
    <col min="10760" max="11008" width="9.140625" style="2"/>
    <col min="11009" max="11009" width="45.5703125" style="2" customWidth="1"/>
    <col min="11010" max="11010" width="9.140625" style="2"/>
    <col min="11011" max="11011" width="16.42578125" style="2" bestFit="1" customWidth="1"/>
    <col min="11012" max="11012" width="15.5703125" style="2" customWidth="1"/>
    <col min="11013" max="11013" width="18" style="2" customWidth="1"/>
    <col min="11014" max="11014" width="14.7109375" style="2" customWidth="1"/>
    <col min="11015" max="11015" width="15" style="2" customWidth="1"/>
    <col min="11016" max="11264" width="9.140625" style="2"/>
    <col min="11265" max="11265" width="45.5703125" style="2" customWidth="1"/>
    <col min="11266" max="11266" width="9.140625" style="2"/>
    <col min="11267" max="11267" width="16.42578125" style="2" bestFit="1" customWidth="1"/>
    <col min="11268" max="11268" width="15.5703125" style="2" customWidth="1"/>
    <col min="11269" max="11269" width="18" style="2" customWidth="1"/>
    <col min="11270" max="11270" width="14.7109375" style="2" customWidth="1"/>
    <col min="11271" max="11271" width="15" style="2" customWidth="1"/>
    <col min="11272" max="11520" width="9.140625" style="2"/>
    <col min="11521" max="11521" width="45.5703125" style="2" customWidth="1"/>
    <col min="11522" max="11522" width="9.140625" style="2"/>
    <col min="11523" max="11523" width="16.42578125" style="2" bestFit="1" customWidth="1"/>
    <col min="11524" max="11524" width="15.5703125" style="2" customWidth="1"/>
    <col min="11525" max="11525" width="18" style="2" customWidth="1"/>
    <col min="11526" max="11526" width="14.7109375" style="2" customWidth="1"/>
    <col min="11527" max="11527" width="15" style="2" customWidth="1"/>
    <col min="11528" max="11776" width="9.140625" style="2"/>
    <col min="11777" max="11777" width="45.5703125" style="2" customWidth="1"/>
    <col min="11778" max="11778" width="9.140625" style="2"/>
    <col min="11779" max="11779" width="16.42578125" style="2" bestFit="1" customWidth="1"/>
    <col min="11780" max="11780" width="15.5703125" style="2" customWidth="1"/>
    <col min="11781" max="11781" width="18" style="2" customWidth="1"/>
    <col min="11782" max="11782" width="14.7109375" style="2" customWidth="1"/>
    <col min="11783" max="11783" width="15" style="2" customWidth="1"/>
    <col min="11784" max="12032" width="9.140625" style="2"/>
    <col min="12033" max="12033" width="45.5703125" style="2" customWidth="1"/>
    <col min="12034" max="12034" width="9.140625" style="2"/>
    <col min="12035" max="12035" width="16.42578125" style="2" bestFit="1" customWidth="1"/>
    <col min="12036" max="12036" width="15.5703125" style="2" customWidth="1"/>
    <col min="12037" max="12037" width="18" style="2" customWidth="1"/>
    <col min="12038" max="12038" width="14.7109375" style="2" customWidth="1"/>
    <col min="12039" max="12039" width="15" style="2" customWidth="1"/>
    <col min="12040" max="12288" width="9.140625" style="2"/>
    <col min="12289" max="12289" width="45.5703125" style="2" customWidth="1"/>
    <col min="12290" max="12290" width="9.140625" style="2"/>
    <col min="12291" max="12291" width="16.42578125" style="2" bestFit="1" customWidth="1"/>
    <col min="12292" max="12292" width="15.5703125" style="2" customWidth="1"/>
    <col min="12293" max="12293" width="18" style="2" customWidth="1"/>
    <col min="12294" max="12294" width="14.7109375" style="2" customWidth="1"/>
    <col min="12295" max="12295" width="15" style="2" customWidth="1"/>
    <col min="12296" max="12544" width="9.140625" style="2"/>
    <col min="12545" max="12545" width="45.5703125" style="2" customWidth="1"/>
    <col min="12546" max="12546" width="9.140625" style="2"/>
    <col min="12547" max="12547" width="16.42578125" style="2" bestFit="1" customWidth="1"/>
    <col min="12548" max="12548" width="15.5703125" style="2" customWidth="1"/>
    <col min="12549" max="12549" width="18" style="2" customWidth="1"/>
    <col min="12550" max="12550" width="14.7109375" style="2" customWidth="1"/>
    <col min="12551" max="12551" width="15" style="2" customWidth="1"/>
    <col min="12552" max="12800" width="9.140625" style="2"/>
    <col min="12801" max="12801" width="45.5703125" style="2" customWidth="1"/>
    <col min="12802" max="12802" width="9.140625" style="2"/>
    <col min="12803" max="12803" width="16.42578125" style="2" bestFit="1" customWidth="1"/>
    <col min="12804" max="12804" width="15.5703125" style="2" customWidth="1"/>
    <col min="12805" max="12805" width="18" style="2" customWidth="1"/>
    <col min="12806" max="12806" width="14.7109375" style="2" customWidth="1"/>
    <col min="12807" max="12807" width="15" style="2" customWidth="1"/>
    <col min="12808" max="13056" width="9.140625" style="2"/>
    <col min="13057" max="13057" width="45.5703125" style="2" customWidth="1"/>
    <col min="13058" max="13058" width="9.140625" style="2"/>
    <col min="13059" max="13059" width="16.42578125" style="2" bestFit="1" customWidth="1"/>
    <col min="13060" max="13060" width="15.5703125" style="2" customWidth="1"/>
    <col min="13061" max="13061" width="18" style="2" customWidth="1"/>
    <col min="13062" max="13062" width="14.7109375" style="2" customWidth="1"/>
    <col min="13063" max="13063" width="15" style="2" customWidth="1"/>
    <col min="13064" max="13312" width="9.140625" style="2"/>
    <col min="13313" max="13313" width="45.5703125" style="2" customWidth="1"/>
    <col min="13314" max="13314" width="9.140625" style="2"/>
    <col min="13315" max="13315" width="16.42578125" style="2" bestFit="1" customWidth="1"/>
    <col min="13316" max="13316" width="15.5703125" style="2" customWidth="1"/>
    <col min="13317" max="13317" width="18" style="2" customWidth="1"/>
    <col min="13318" max="13318" width="14.7109375" style="2" customWidth="1"/>
    <col min="13319" max="13319" width="15" style="2" customWidth="1"/>
    <col min="13320" max="13568" width="9.140625" style="2"/>
    <col min="13569" max="13569" width="45.5703125" style="2" customWidth="1"/>
    <col min="13570" max="13570" width="9.140625" style="2"/>
    <col min="13571" max="13571" width="16.42578125" style="2" bestFit="1" customWidth="1"/>
    <col min="13572" max="13572" width="15.5703125" style="2" customWidth="1"/>
    <col min="13573" max="13573" width="18" style="2" customWidth="1"/>
    <col min="13574" max="13574" width="14.7109375" style="2" customWidth="1"/>
    <col min="13575" max="13575" width="15" style="2" customWidth="1"/>
    <col min="13576" max="13824" width="9.140625" style="2"/>
    <col min="13825" max="13825" width="45.5703125" style="2" customWidth="1"/>
    <col min="13826" max="13826" width="9.140625" style="2"/>
    <col min="13827" max="13827" width="16.42578125" style="2" bestFit="1" customWidth="1"/>
    <col min="13828" max="13828" width="15.5703125" style="2" customWidth="1"/>
    <col min="13829" max="13829" width="18" style="2" customWidth="1"/>
    <col min="13830" max="13830" width="14.7109375" style="2" customWidth="1"/>
    <col min="13831" max="13831" width="15" style="2" customWidth="1"/>
    <col min="13832" max="14080" width="9.140625" style="2"/>
    <col min="14081" max="14081" width="45.5703125" style="2" customWidth="1"/>
    <col min="14082" max="14082" width="9.140625" style="2"/>
    <col min="14083" max="14083" width="16.42578125" style="2" bestFit="1" customWidth="1"/>
    <col min="14084" max="14084" width="15.5703125" style="2" customWidth="1"/>
    <col min="14085" max="14085" width="18" style="2" customWidth="1"/>
    <col min="14086" max="14086" width="14.7109375" style="2" customWidth="1"/>
    <col min="14087" max="14087" width="15" style="2" customWidth="1"/>
    <col min="14088" max="14336" width="9.140625" style="2"/>
    <col min="14337" max="14337" width="45.5703125" style="2" customWidth="1"/>
    <col min="14338" max="14338" width="9.140625" style="2"/>
    <col min="14339" max="14339" width="16.42578125" style="2" bestFit="1" customWidth="1"/>
    <col min="14340" max="14340" width="15.5703125" style="2" customWidth="1"/>
    <col min="14341" max="14341" width="18" style="2" customWidth="1"/>
    <col min="14342" max="14342" width="14.7109375" style="2" customWidth="1"/>
    <col min="14343" max="14343" width="15" style="2" customWidth="1"/>
    <col min="14344" max="14592" width="9.140625" style="2"/>
    <col min="14593" max="14593" width="45.5703125" style="2" customWidth="1"/>
    <col min="14594" max="14594" width="9.140625" style="2"/>
    <col min="14595" max="14595" width="16.42578125" style="2" bestFit="1" customWidth="1"/>
    <col min="14596" max="14596" width="15.5703125" style="2" customWidth="1"/>
    <col min="14597" max="14597" width="18" style="2" customWidth="1"/>
    <col min="14598" max="14598" width="14.7109375" style="2" customWidth="1"/>
    <col min="14599" max="14599" width="15" style="2" customWidth="1"/>
    <col min="14600" max="14848" width="9.140625" style="2"/>
    <col min="14849" max="14849" width="45.5703125" style="2" customWidth="1"/>
    <col min="14850" max="14850" width="9.140625" style="2"/>
    <col min="14851" max="14851" width="16.42578125" style="2" bestFit="1" customWidth="1"/>
    <col min="14852" max="14852" width="15.5703125" style="2" customWidth="1"/>
    <col min="14853" max="14853" width="18" style="2" customWidth="1"/>
    <col min="14854" max="14854" width="14.7109375" style="2" customWidth="1"/>
    <col min="14855" max="14855" width="15" style="2" customWidth="1"/>
    <col min="14856" max="15104" width="9.140625" style="2"/>
    <col min="15105" max="15105" width="45.5703125" style="2" customWidth="1"/>
    <col min="15106" max="15106" width="9.140625" style="2"/>
    <col min="15107" max="15107" width="16.42578125" style="2" bestFit="1" customWidth="1"/>
    <col min="15108" max="15108" width="15.5703125" style="2" customWidth="1"/>
    <col min="15109" max="15109" width="18" style="2" customWidth="1"/>
    <col min="15110" max="15110" width="14.7109375" style="2" customWidth="1"/>
    <col min="15111" max="15111" width="15" style="2" customWidth="1"/>
    <col min="15112" max="15360" width="9.140625" style="2"/>
    <col min="15361" max="15361" width="45.5703125" style="2" customWidth="1"/>
    <col min="15362" max="15362" width="9.140625" style="2"/>
    <col min="15363" max="15363" width="16.42578125" style="2" bestFit="1" customWidth="1"/>
    <col min="15364" max="15364" width="15.5703125" style="2" customWidth="1"/>
    <col min="15365" max="15365" width="18" style="2" customWidth="1"/>
    <col min="15366" max="15366" width="14.7109375" style="2" customWidth="1"/>
    <col min="15367" max="15367" width="15" style="2" customWidth="1"/>
    <col min="15368" max="15616" width="9.140625" style="2"/>
    <col min="15617" max="15617" width="45.5703125" style="2" customWidth="1"/>
    <col min="15618" max="15618" width="9.140625" style="2"/>
    <col min="15619" max="15619" width="16.42578125" style="2" bestFit="1" customWidth="1"/>
    <col min="15620" max="15620" width="15.5703125" style="2" customWidth="1"/>
    <col min="15621" max="15621" width="18" style="2" customWidth="1"/>
    <col min="15622" max="15622" width="14.7109375" style="2" customWidth="1"/>
    <col min="15623" max="15623" width="15" style="2" customWidth="1"/>
    <col min="15624" max="15872" width="9.140625" style="2"/>
    <col min="15873" max="15873" width="45.5703125" style="2" customWidth="1"/>
    <col min="15874" max="15874" width="9.140625" style="2"/>
    <col min="15875" max="15875" width="16.42578125" style="2" bestFit="1" customWidth="1"/>
    <col min="15876" max="15876" width="15.5703125" style="2" customWidth="1"/>
    <col min="15877" max="15877" width="18" style="2" customWidth="1"/>
    <col min="15878" max="15878" width="14.7109375" style="2" customWidth="1"/>
    <col min="15879" max="15879" width="15" style="2" customWidth="1"/>
    <col min="15880" max="16128" width="9.140625" style="2"/>
    <col min="16129" max="16129" width="45.5703125" style="2" customWidth="1"/>
    <col min="16130" max="16130" width="9.140625" style="2"/>
    <col min="16131" max="16131" width="16.42578125" style="2" bestFit="1" customWidth="1"/>
    <col min="16132" max="16132" width="15.5703125" style="2" customWidth="1"/>
    <col min="16133" max="16133" width="18" style="2" customWidth="1"/>
    <col min="16134" max="16134" width="14.7109375" style="2" customWidth="1"/>
    <col min="16135" max="16135" width="15" style="2" customWidth="1"/>
    <col min="16136" max="16384" width="9.140625" style="2"/>
  </cols>
  <sheetData>
    <row r="1" spans="1:8" x14ac:dyDescent="0.25">
      <c r="A1" s="1"/>
      <c r="B1" s="1"/>
      <c r="C1" s="1"/>
      <c r="D1" s="1"/>
      <c r="E1" s="1"/>
      <c r="F1" s="1"/>
      <c r="G1" s="1"/>
      <c r="H1" s="1"/>
    </row>
    <row r="2" spans="1:8" x14ac:dyDescent="0.25">
      <c r="A2" s="1"/>
      <c r="B2" s="1"/>
      <c r="C2" s="1"/>
      <c r="D2" s="1"/>
      <c r="E2" s="1"/>
      <c r="F2" s="1"/>
      <c r="G2" s="1"/>
      <c r="H2" s="1"/>
    </row>
    <row r="3" spans="1:8" x14ac:dyDescent="0.25">
      <c r="A3" s="3" t="s">
        <v>0</v>
      </c>
      <c r="B3" s="4" t="str">
        <f>IF(ISBLANK('[1]Title Page'!C10), "", '[1]Title Page'!C10)</f>
        <v>London Hydro Inc.</v>
      </c>
      <c r="C3" s="4"/>
      <c r="D3" s="4"/>
      <c r="E3" s="4"/>
      <c r="F3" s="4"/>
      <c r="G3" s="4"/>
      <c r="H3" s="1"/>
    </row>
    <row r="4" spans="1:8" x14ac:dyDescent="0.25">
      <c r="A4" s="3" t="s">
        <v>1</v>
      </c>
      <c r="B4" s="4" t="str">
        <f>'[1]Title Page'!C12</f>
        <v>ED-2002-0557</v>
      </c>
      <c r="C4" s="4"/>
      <c r="D4" s="4"/>
      <c r="E4" s="4"/>
      <c r="F4" s="4"/>
      <c r="G4" s="4"/>
      <c r="H4" s="1"/>
    </row>
    <row r="5" spans="1:8" x14ac:dyDescent="0.25">
      <c r="A5" s="3" t="s">
        <v>2</v>
      </c>
      <c r="B5" s="4" t="str">
        <f>'[1]Title Page'!C14 &amp; ", " &amp; '[1]Title Page'!C16</f>
        <v>RP-2005-0020, EB-2005-0389</v>
      </c>
      <c r="C5" s="4"/>
      <c r="D5" s="4"/>
      <c r="E5" s="4"/>
      <c r="F5" s="4"/>
      <c r="G5" s="1"/>
      <c r="H5" s="1"/>
    </row>
    <row r="6" spans="1:8" x14ac:dyDescent="0.25">
      <c r="A6" s="3" t="s">
        <v>3</v>
      </c>
      <c r="B6" s="4" t="str">
        <f>IF(ISBLANK('[1]Title Page'!C18), "", '[1]Title Page'!C18)</f>
        <v>Ian McKenzie</v>
      </c>
      <c r="C6" s="4"/>
      <c r="D6" s="3" t="s">
        <v>4</v>
      </c>
      <c r="E6" s="151" t="str">
        <f>IF(ISBLANK('[1]Title Page'!$C$20), "", '[1]Title Page'!$C$20)</f>
        <v>(519) 661-5800</v>
      </c>
      <c r="F6" s="151"/>
      <c r="G6" s="1"/>
      <c r="H6" s="1"/>
    </row>
    <row r="7" spans="1:8" ht="5.25" customHeight="1" x14ac:dyDescent="0.25">
      <c r="A7" s="5"/>
      <c r="B7" s="5"/>
      <c r="C7" s="5"/>
      <c r="D7" s="5"/>
      <c r="E7" s="5"/>
      <c r="F7" s="1"/>
      <c r="G7" s="1"/>
      <c r="H7" s="1"/>
    </row>
    <row r="8" spans="1:8" x14ac:dyDescent="0.25">
      <c r="A8" s="1"/>
      <c r="B8" s="1"/>
      <c r="C8" s="6"/>
      <c r="D8" s="6"/>
      <c r="E8" s="6"/>
      <c r="F8" s="1"/>
      <c r="G8" s="1"/>
      <c r="H8" s="1"/>
    </row>
    <row r="9" spans="1:8" x14ac:dyDescent="0.25">
      <c r="A9" s="7" t="s">
        <v>5</v>
      </c>
      <c r="B9" s="7"/>
      <c r="C9" s="8"/>
      <c r="D9" s="6"/>
      <c r="E9" s="6"/>
      <c r="F9" s="1"/>
      <c r="G9" s="1"/>
      <c r="H9" s="1"/>
    </row>
    <row r="10" spans="1:8" x14ac:dyDescent="0.25">
      <c r="A10" s="7" t="s">
        <v>6</v>
      </c>
      <c r="B10" s="9"/>
      <c r="C10" s="10"/>
      <c r="D10" s="6"/>
      <c r="E10" s="6"/>
      <c r="F10" s="1"/>
      <c r="G10" s="1"/>
      <c r="H10" s="1"/>
    </row>
    <row r="11" spans="1:8" x14ac:dyDescent="0.25">
      <c r="A11" s="11" t="s">
        <v>7</v>
      </c>
      <c r="B11" s="1"/>
      <c r="C11" s="6"/>
      <c r="D11" s="6"/>
      <c r="E11" s="6"/>
      <c r="F11" s="1"/>
      <c r="G11" s="1"/>
      <c r="H11" s="1"/>
    </row>
    <row r="12" spans="1:8" x14ac:dyDescent="0.25">
      <c r="A12" s="1"/>
      <c r="B12" s="1"/>
      <c r="C12" s="6"/>
      <c r="D12" s="6"/>
      <c r="E12" s="6"/>
      <c r="F12" s="1"/>
      <c r="G12" s="1"/>
      <c r="H12" s="1"/>
    </row>
    <row r="13" spans="1:8" ht="18" x14ac:dyDescent="0.25">
      <c r="A13" s="12" t="s">
        <v>8</v>
      </c>
      <c r="B13" s="13"/>
      <c r="C13" s="6"/>
      <c r="D13" s="6"/>
      <c r="E13" s="14" t="s">
        <v>9</v>
      </c>
      <c r="F13" s="1"/>
      <c r="G13" s="1"/>
      <c r="H13" s="1"/>
    </row>
    <row r="14" spans="1:8" x14ac:dyDescent="0.25">
      <c r="A14" s="15"/>
      <c r="B14" s="16"/>
      <c r="C14" s="6"/>
      <c r="D14" s="6"/>
      <c r="E14" s="17"/>
      <c r="F14" s="1"/>
      <c r="G14" s="1"/>
      <c r="H14" s="1"/>
    </row>
    <row r="15" spans="1:8" x14ac:dyDescent="0.25">
      <c r="A15" s="15" t="s">
        <v>10</v>
      </c>
      <c r="B15" s="16"/>
      <c r="C15" s="6"/>
      <c r="D15" s="6"/>
      <c r="E15" s="18"/>
      <c r="F15" s="1"/>
      <c r="G15" s="1"/>
      <c r="H15" s="1"/>
    </row>
    <row r="16" spans="1:8" x14ac:dyDescent="0.25">
      <c r="A16" s="19"/>
      <c r="B16" s="16"/>
      <c r="C16" s="6"/>
      <c r="D16" s="6"/>
      <c r="E16" s="18"/>
      <c r="F16" s="1"/>
      <c r="G16" s="1"/>
      <c r="H16" s="1"/>
    </row>
    <row r="17" spans="1:8" x14ac:dyDescent="0.25">
      <c r="A17" s="16" t="s">
        <v>11</v>
      </c>
      <c r="B17" s="16"/>
      <c r="C17" s="6"/>
      <c r="D17" s="6"/>
      <c r="E17" s="20">
        <f>'[1]Input Information Summary'!$C$13</f>
        <v>199770610</v>
      </c>
      <c r="F17" s="1"/>
      <c r="G17" s="1"/>
      <c r="H17" s="1"/>
    </row>
    <row r="18" spans="1:8" x14ac:dyDescent="0.25">
      <c r="A18" s="16" t="s">
        <v>12</v>
      </c>
      <c r="B18" s="16"/>
      <c r="C18" s="6"/>
      <c r="D18" s="6"/>
      <c r="E18" s="21">
        <f>'[1]Tax Rates &amp; Exemptions'!$E$13</f>
        <v>10000000</v>
      </c>
      <c r="F18" s="1"/>
      <c r="G18" s="1"/>
      <c r="H18" s="1"/>
    </row>
    <row r="19" spans="1:8" x14ac:dyDescent="0.25">
      <c r="A19" s="16" t="s">
        <v>13</v>
      </c>
      <c r="B19" s="16"/>
      <c r="C19" s="6"/>
      <c r="D19" s="6"/>
      <c r="E19" s="20">
        <f>E17-E18</f>
        <v>189770610</v>
      </c>
      <c r="F19" s="1"/>
      <c r="G19" s="1"/>
      <c r="H19" s="1"/>
    </row>
    <row r="20" spans="1:8" x14ac:dyDescent="0.25">
      <c r="A20" s="16"/>
      <c r="B20" s="16"/>
      <c r="C20" s="6"/>
      <c r="D20" s="6"/>
      <c r="E20" s="18"/>
      <c r="F20" s="1"/>
      <c r="G20" s="1"/>
      <c r="H20" s="1"/>
    </row>
    <row r="21" spans="1:8" x14ac:dyDescent="0.25">
      <c r="A21" s="16" t="s">
        <v>14</v>
      </c>
      <c r="B21" s="16"/>
      <c r="C21" s="6"/>
      <c r="D21" s="6"/>
      <c r="E21" s="22">
        <f>'[1]Tax Rates &amp; Exemptions'!C37</f>
        <v>3.0000000000000001E-3</v>
      </c>
      <c r="F21" s="1"/>
      <c r="G21" s="1"/>
      <c r="H21" s="1"/>
    </row>
    <row r="22" spans="1:8" x14ac:dyDescent="0.25">
      <c r="A22" s="16"/>
      <c r="B22" s="16"/>
      <c r="C22" s="6"/>
      <c r="D22" s="6"/>
      <c r="E22" s="18"/>
      <c r="F22" s="1"/>
      <c r="G22" s="1"/>
      <c r="H22" s="1"/>
    </row>
    <row r="23" spans="1:8" x14ac:dyDescent="0.25">
      <c r="A23" s="16" t="s">
        <v>15</v>
      </c>
      <c r="B23" s="16"/>
      <c r="C23" s="6"/>
      <c r="D23" s="6"/>
      <c r="E23" s="20">
        <f>E19*E21</f>
        <v>569311.82999999996</v>
      </c>
      <c r="F23" s="1"/>
      <c r="G23" s="1"/>
      <c r="H23" s="1"/>
    </row>
    <row r="24" spans="1:8" x14ac:dyDescent="0.25">
      <c r="A24" s="16"/>
      <c r="B24" s="16"/>
      <c r="C24" s="6"/>
      <c r="D24" s="6"/>
      <c r="E24" s="18"/>
      <c r="F24" s="1"/>
      <c r="G24" s="1"/>
      <c r="H24" s="1"/>
    </row>
    <row r="25" spans="1:8" x14ac:dyDescent="0.25">
      <c r="A25" s="15" t="s">
        <v>16</v>
      </c>
      <c r="B25" s="16"/>
      <c r="C25" s="6"/>
      <c r="D25" s="6"/>
      <c r="E25" s="18"/>
      <c r="F25" s="1"/>
      <c r="G25" s="1"/>
      <c r="H25" s="1"/>
    </row>
    <row r="26" spans="1:8" x14ac:dyDescent="0.25">
      <c r="A26" s="23"/>
      <c r="B26" s="16"/>
      <c r="C26" s="6"/>
      <c r="D26" s="6"/>
      <c r="E26" s="18"/>
      <c r="F26" s="1"/>
      <c r="G26" s="1"/>
      <c r="H26" s="1"/>
    </row>
    <row r="27" spans="1:8" x14ac:dyDescent="0.25">
      <c r="A27" s="16" t="s">
        <v>17</v>
      </c>
      <c r="B27" s="16"/>
      <c r="C27" s="6"/>
      <c r="D27" s="6"/>
      <c r="E27" s="20">
        <f>+E17</f>
        <v>199770610</v>
      </c>
      <c r="F27" s="1"/>
      <c r="G27" s="1"/>
      <c r="H27" s="1"/>
    </row>
    <row r="28" spans="1:8" x14ac:dyDescent="0.25">
      <c r="A28" s="16" t="s">
        <v>12</v>
      </c>
      <c r="B28" s="16"/>
      <c r="C28" s="6"/>
      <c r="D28" s="6"/>
      <c r="E28" s="24">
        <f>'[1]Tax Rates &amp; Exemptions'!$G$13</f>
        <v>50000000</v>
      </c>
      <c r="F28" s="1"/>
      <c r="G28" s="1"/>
      <c r="H28" s="1"/>
    </row>
    <row r="29" spans="1:8" x14ac:dyDescent="0.25">
      <c r="A29" s="16" t="s">
        <v>13</v>
      </c>
      <c r="B29" s="16"/>
      <c r="C29" s="6"/>
      <c r="D29" s="6"/>
      <c r="E29" s="20">
        <f>IF((E27-E28)&gt;0,E27-E28,0)</f>
        <v>149770610</v>
      </c>
      <c r="F29" s="1"/>
      <c r="G29" s="1"/>
      <c r="H29" s="1"/>
    </row>
    <row r="30" spans="1:8" x14ac:dyDescent="0.25">
      <c r="A30" s="16"/>
      <c r="B30" s="16"/>
      <c r="C30" s="6"/>
      <c r="D30" s="6"/>
      <c r="E30" s="18"/>
      <c r="F30" s="1"/>
      <c r="G30" s="1"/>
      <c r="H30" s="1"/>
    </row>
    <row r="31" spans="1:8" x14ac:dyDescent="0.25">
      <c r="A31" s="16" t="s">
        <v>14</v>
      </c>
      <c r="B31" s="16"/>
      <c r="C31" s="6"/>
      <c r="D31" s="6"/>
      <c r="E31" s="22">
        <f>'[1]Tax Rates &amp; Exemptions'!C38</f>
        <v>1.25E-3</v>
      </c>
      <c r="F31" s="1"/>
      <c r="G31" s="1"/>
      <c r="H31" s="1"/>
    </row>
    <row r="32" spans="1:8" x14ac:dyDescent="0.25">
      <c r="A32" s="16"/>
      <c r="B32" s="16"/>
      <c r="C32" s="6"/>
      <c r="D32" s="6"/>
      <c r="E32" s="18"/>
      <c r="F32" s="1"/>
      <c r="G32" s="1"/>
      <c r="H32" s="1"/>
    </row>
    <row r="33" spans="1:8" x14ac:dyDescent="0.25">
      <c r="A33" s="16" t="s">
        <v>18</v>
      </c>
      <c r="B33" s="16"/>
      <c r="C33" s="6"/>
      <c r="D33" s="6"/>
      <c r="E33" s="20">
        <f>E29*E31</f>
        <v>187213.26250000001</v>
      </c>
      <c r="F33" s="1"/>
      <c r="G33" s="1"/>
      <c r="H33" s="1"/>
    </row>
    <row r="34" spans="1:8" x14ac:dyDescent="0.25">
      <c r="A34" s="16" t="s">
        <v>19</v>
      </c>
      <c r="B34" s="16"/>
      <c r="C34" s="6"/>
      <c r="D34" s="6"/>
      <c r="E34" s="20">
        <f>'[1]Tax Rates &amp; Exemptions'!C39*'[1]Test Year Taxable Income'!C92</f>
        <v>104078.22488000001</v>
      </c>
      <c r="F34" s="1"/>
      <c r="G34" s="1"/>
      <c r="H34" s="1"/>
    </row>
    <row r="35" spans="1:8" x14ac:dyDescent="0.25">
      <c r="A35" s="16"/>
      <c r="B35" s="16"/>
      <c r="C35" s="6"/>
      <c r="D35" s="6"/>
      <c r="E35" s="18"/>
      <c r="F35" s="1"/>
      <c r="G35" s="1"/>
      <c r="H35" s="1"/>
    </row>
    <row r="36" spans="1:8" x14ac:dyDescent="0.25">
      <c r="A36" s="16" t="s">
        <v>20</v>
      </c>
      <c r="B36" s="16"/>
      <c r="C36" s="6"/>
      <c r="D36" s="6"/>
      <c r="E36" s="20">
        <f>IF(E33-E34&gt;=0,E33-E34,0)</f>
        <v>83135.037620000003</v>
      </c>
      <c r="F36" s="1"/>
      <c r="G36" s="1"/>
      <c r="H36" s="1"/>
    </row>
    <row r="37" spans="1:8" x14ac:dyDescent="0.25">
      <c r="A37" s="16"/>
      <c r="B37" s="16"/>
      <c r="C37" s="18"/>
      <c r="D37" s="25"/>
      <c r="E37" s="25"/>
      <c r="F37" s="1"/>
      <c r="G37" s="1"/>
      <c r="H37" s="1"/>
    </row>
    <row r="38" spans="1:8" x14ac:dyDescent="0.25">
      <c r="A38" s="1" t="s">
        <v>21</v>
      </c>
      <c r="B38" s="1"/>
      <c r="C38" s="1"/>
      <c r="D38" s="25"/>
      <c r="E38" s="216">
        <f>$E$36/(1-'[1]Test Year PILs,Tax Provision'!D14)</f>
        <v>130142.51349405134</v>
      </c>
      <c r="F38" s="1"/>
      <c r="G38" s="1"/>
      <c r="H38" s="1"/>
    </row>
    <row r="39" spans="1:8" x14ac:dyDescent="0.25">
      <c r="A39" s="1"/>
      <c r="B39" s="1"/>
      <c r="C39" s="1"/>
      <c r="D39" s="25"/>
      <c r="E39" s="25"/>
      <c r="F39" s="1"/>
      <c r="G39" s="1"/>
      <c r="H39" s="1"/>
    </row>
    <row r="40" spans="1:8" ht="18" x14ac:dyDescent="0.25">
      <c r="A40" s="12" t="s">
        <v>22</v>
      </c>
      <c r="B40" s="1"/>
      <c r="C40" s="1"/>
      <c r="D40" s="25"/>
      <c r="E40" s="25"/>
      <c r="F40" s="1"/>
      <c r="G40" s="1"/>
      <c r="H40" s="1"/>
    </row>
    <row r="41" spans="1:8" x14ac:dyDescent="0.25">
      <c r="A41" s="26" t="s">
        <v>23</v>
      </c>
      <c r="B41" s="1"/>
      <c r="C41" s="1"/>
      <c r="D41" s="25"/>
      <c r="E41" s="25"/>
      <c r="F41" s="1"/>
      <c r="G41" s="1"/>
      <c r="H41" s="1"/>
    </row>
    <row r="42" spans="1:8" x14ac:dyDescent="0.25">
      <c r="A42" s="1"/>
      <c r="B42" s="1"/>
      <c r="C42" s="1"/>
      <c r="D42" s="25"/>
      <c r="E42" s="25"/>
      <c r="F42" s="1"/>
      <c r="G42" s="1"/>
      <c r="H42" s="1"/>
    </row>
    <row r="43" spans="1:8" x14ac:dyDescent="0.25">
      <c r="A43" s="27" t="s">
        <v>24</v>
      </c>
      <c r="B43" s="28"/>
      <c r="C43" s="29"/>
      <c r="D43" s="29"/>
      <c r="E43" s="29"/>
      <c r="F43" s="1"/>
      <c r="G43" s="1"/>
      <c r="H43" s="1"/>
    </row>
    <row r="44" spans="1:8" x14ac:dyDescent="0.25">
      <c r="A44" s="30" t="s">
        <v>25</v>
      </c>
      <c r="B44" s="28"/>
      <c r="C44" s="29"/>
      <c r="D44" s="29"/>
      <c r="E44" s="29"/>
      <c r="F44" s="1"/>
      <c r="G44" s="1"/>
      <c r="H44" s="1"/>
    </row>
    <row r="45" spans="1:8" x14ac:dyDescent="0.25">
      <c r="A45" s="27" t="s">
        <v>26</v>
      </c>
      <c r="B45" s="28"/>
      <c r="C45" s="29"/>
      <c r="D45" s="29"/>
      <c r="E45" s="29"/>
      <c r="F45" s="1"/>
      <c r="G45" s="1"/>
      <c r="H45" s="1"/>
    </row>
    <row r="46" spans="1:8" ht="25.5" x14ac:dyDescent="0.25">
      <c r="A46" s="30"/>
      <c r="B46" s="28"/>
      <c r="C46" s="31" t="s">
        <v>27</v>
      </c>
      <c r="D46" s="31" t="s">
        <v>28</v>
      </c>
      <c r="E46" s="31" t="s">
        <v>9</v>
      </c>
      <c r="F46" s="32"/>
      <c r="G46" s="32"/>
      <c r="H46" s="1"/>
    </row>
    <row r="47" spans="1:8" x14ac:dyDescent="0.25">
      <c r="A47" s="1" t="s">
        <v>29</v>
      </c>
      <c r="B47" s="33"/>
      <c r="C47" s="34"/>
      <c r="D47" s="34"/>
      <c r="E47" s="35">
        <f>C47-D47</f>
        <v>0</v>
      </c>
      <c r="F47" s="32"/>
      <c r="G47" s="32"/>
      <c r="H47" s="1"/>
    </row>
    <row r="48" spans="1:8" x14ac:dyDescent="0.25">
      <c r="A48" s="1" t="s">
        <v>30</v>
      </c>
      <c r="B48" s="33"/>
      <c r="C48" s="34"/>
      <c r="D48" s="34"/>
      <c r="E48" s="35">
        <f t="shared" ref="E48:E58" si="0">C48-D48</f>
        <v>0</v>
      </c>
      <c r="F48" s="32"/>
      <c r="G48" s="32"/>
      <c r="H48" s="1"/>
    </row>
    <row r="49" spans="1:8" x14ac:dyDescent="0.25">
      <c r="A49" s="1" t="s">
        <v>31</v>
      </c>
      <c r="B49" s="33"/>
      <c r="C49" s="34"/>
      <c r="D49" s="34"/>
      <c r="E49" s="35">
        <f t="shared" si="0"/>
        <v>0</v>
      </c>
      <c r="F49" s="32"/>
      <c r="G49" s="32"/>
      <c r="H49" s="1"/>
    </row>
    <row r="50" spans="1:8" x14ac:dyDescent="0.25">
      <c r="A50" s="1" t="s">
        <v>32</v>
      </c>
      <c r="B50" s="33"/>
      <c r="C50" s="34"/>
      <c r="D50" s="34"/>
      <c r="E50" s="35">
        <f t="shared" si="0"/>
        <v>0</v>
      </c>
      <c r="F50" s="32"/>
      <c r="G50" s="32"/>
      <c r="H50" s="1"/>
    </row>
    <row r="51" spans="1:8" x14ac:dyDescent="0.25">
      <c r="A51" s="1" t="s">
        <v>33</v>
      </c>
      <c r="B51" s="33"/>
      <c r="C51" s="34"/>
      <c r="D51" s="34"/>
      <c r="E51" s="35">
        <f t="shared" si="0"/>
        <v>0</v>
      </c>
      <c r="F51" s="32"/>
      <c r="G51" s="32"/>
      <c r="H51" s="1"/>
    </row>
    <row r="52" spans="1:8" x14ac:dyDescent="0.25">
      <c r="A52" s="1" t="s">
        <v>34</v>
      </c>
      <c r="B52" s="33"/>
      <c r="C52" s="34"/>
      <c r="D52" s="34"/>
      <c r="E52" s="35">
        <f t="shared" si="0"/>
        <v>0</v>
      </c>
      <c r="F52" s="32"/>
      <c r="G52" s="32"/>
      <c r="H52" s="1"/>
    </row>
    <row r="53" spans="1:8" x14ac:dyDescent="0.25">
      <c r="A53" s="1" t="s">
        <v>35</v>
      </c>
      <c r="B53" s="33"/>
      <c r="C53" s="34"/>
      <c r="D53" s="34"/>
      <c r="E53" s="35">
        <f t="shared" si="0"/>
        <v>0</v>
      </c>
      <c r="F53" s="32"/>
      <c r="G53" s="32"/>
      <c r="H53" s="1"/>
    </row>
    <row r="54" spans="1:8" x14ac:dyDescent="0.25">
      <c r="A54" s="1" t="s">
        <v>36</v>
      </c>
      <c r="B54" s="33"/>
      <c r="C54" s="34"/>
      <c r="D54" s="34"/>
      <c r="E54" s="35">
        <f t="shared" si="0"/>
        <v>0</v>
      </c>
      <c r="F54" s="32"/>
      <c r="G54" s="32"/>
      <c r="H54" s="1"/>
    </row>
    <row r="55" spans="1:8" x14ac:dyDescent="0.25">
      <c r="A55" s="1" t="s">
        <v>37</v>
      </c>
      <c r="B55" s="33"/>
      <c r="C55" s="34"/>
      <c r="D55" s="34"/>
      <c r="E55" s="35">
        <f t="shared" si="0"/>
        <v>0</v>
      </c>
      <c r="F55" s="32"/>
      <c r="G55" s="32"/>
      <c r="H55" s="1"/>
    </row>
    <row r="56" spans="1:8" x14ac:dyDescent="0.25">
      <c r="A56" s="1" t="s">
        <v>38</v>
      </c>
      <c r="B56" s="33"/>
      <c r="C56" s="34"/>
      <c r="D56" s="34"/>
      <c r="E56" s="35">
        <f t="shared" si="0"/>
        <v>0</v>
      </c>
      <c r="F56" s="32"/>
      <c r="G56" s="32"/>
      <c r="H56" s="1"/>
    </row>
    <row r="57" spans="1:8" x14ac:dyDescent="0.25">
      <c r="A57" s="1" t="s">
        <v>39</v>
      </c>
      <c r="B57" s="33"/>
      <c r="C57" s="34"/>
      <c r="D57" s="34"/>
      <c r="E57" s="35">
        <f t="shared" si="0"/>
        <v>0</v>
      </c>
      <c r="F57" s="32"/>
      <c r="G57" s="32"/>
      <c r="H57" s="1"/>
    </row>
    <row r="58" spans="1:8" x14ac:dyDescent="0.25">
      <c r="A58" s="1" t="s">
        <v>40</v>
      </c>
      <c r="B58" s="33"/>
      <c r="C58" s="34"/>
      <c r="D58" s="34"/>
      <c r="E58" s="35">
        <f t="shared" si="0"/>
        <v>0</v>
      </c>
      <c r="F58" s="32"/>
      <c r="G58" s="32"/>
      <c r="H58" s="1"/>
    </row>
    <row r="59" spans="1:8" x14ac:dyDescent="0.25">
      <c r="A59" s="1" t="s">
        <v>41</v>
      </c>
      <c r="B59" s="33"/>
      <c r="C59" s="34"/>
      <c r="D59" s="34"/>
      <c r="E59" s="35">
        <f>C59-D59</f>
        <v>0</v>
      </c>
      <c r="F59" s="32"/>
      <c r="G59" s="32"/>
      <c r="H59" s="1"/>
    </row>
    <row r="60" spans="1:8" x14ac:dyDescent="0.25">
      <c r="A60" s="1" t="s">
        <v>42</v>
      </c>
      <c r="B60" s="33"/>
      <c r="C60" s="34"/>
      <c r="D60" s="34"/>
      <c r="E60" s="35">
        <f>C60-D60</f>
        <v>0</v>
      </c>
      <c r="F60" s="32"/>
      <c r="G60" s="32"/>
      <c r="H60" s="1"/>
    </row>
    <row r="61" spans="1:8" x14ac:dyDescent="0.25">
      <c r="A61" s="30" t="s">
        <v>43</v>
      </c>
      <c r="B61" s="33"/>
      <c r="C61" s="36">
        <f>SUM(C47:C60)</f>
        <v>0</v>
      </c>
      <c r="D61" s="36">
        <f>SUM(D47:D60)</f>
        <v>0</v>
      </c>
      <c r="E61" s="36">
        <f>SUM(E47:E60)</f>
        <v>0</v>
      </c>
      <c r="F61" s="32"/>
      <c r="G61" s="32"/>
      <c r="H61" s="1"/>
    </row>
    <row r="62" spans="1:8" x14ac:dyDescent="0.25">
      <c r="A62" s="30"/>
      <c r="B62" s="33"/>
      <c r="C62" s="37"/>
      <c r="D62" s="37"/>
      <c r="E62" s="37"/>
      <c r="F62" s="32"/>
      <c r="G62" s="32"/>
      <c r="H62" s="1"/>
    </row>
    <row r="63" spans="1:8" x14ac:dyDescent="0.25">
      <c r="A63" s="30" t="s">
        <v>44</v>
      </c>
      <c r="B63" s="28"/>
      <c r="C63" s="6"/>
      <c r="D63" s="6"/>
      <c r="E63" s="6"/>
      <c r="F63" s="32"/>
      <c r="G63" s="32"/>
      <c r="H63" s="1"/>
    </row>
    <row r="64" spans="1:8" ht="30" x14ac:dyDescent="0.25">
      <c r="A64" s="38" t="s">
        <v>45</v>
      </c>
      <c r="B64" s="33"/>
      <c r="C64" s="34"/>
      <c r="D64" s="34"/>
      <c r="E64" s="35">
        <f>C64-D64</f>
        <v>0</v>
      </c>
      <c r="F64" s="32"/>
      <c r="G64" s="32"/>
      <c r="H64" s="1"/>
    </row>
    <row r="65" spans="1:8" ht="30" x14ac:dyDescent="0.25">
      <c r="A65" s="38" t="s">
        <v>46</v>
      </c>
      <c r="B65" s="33"/>
      <c r="C65" s="34"/>
      <c r="D65" s="34"/>
      <c r="E65" s="35">
        <f>C65-D65</f>
        <v>0</v>
      </c>
      <c r="F65" s="32"/>
      <c r="G65" s="32"/>
      <c r="H65" s="1"/>
    </row>
    <row r="66" spans="1:8" x14ac:dyDescent="0.25">
      <c r="A66" s="30" t="s">
        <v>47</v>
      </c>
      <c r="B66" s="33"/>
      <c r="C66" s="36">
        <f>C61-C64-C65</f>
        <v>0</v>
      </c>
      <c r="D66" s="36">
        <f>D61-D64-D65</f>
        <v>0</v>
      </c>
      <c r="E66" s="36">
        <f>E61-E64-E65</f>
        <v>0</v>
      </c>
      <c r="F66" s="32"/>
      <c r="G66" s="32"/>
      <c r="H66" s="1"/>
    </row>
    <row r="67" spans="1:8" x14ac:dyDescent="0.25">
      <c r="A67" s="1"/>
      <c r="B67" s="28"/>
      <c r="C67" s="29"/>
      <c r="D67" s="29"/>
      <c r="E67" s="29"/>
      <c r="F67" s="32"/>
      <c r="G67" s="32"/>
      <c r="H67" s="1"/>
    </row>
    <row r="68" spans="1:8" x14ac:dyDescent="0.25">
      <c r="A68" s="27" t="s">
        <v>48</v>
      </c>
      <c r="B68" s="28"/>
      <c r="C68" s="29"/>
      <c r="D68" s="29"/>
      <c r="E68" s="29"/>
      <c r="F68" s="32"/>
      <c r="G68" s="32"/>
      <c r="H68" s="1"/>
    </row>
    <row r="69" spans="1:8" x14ac:dyDescent="0.25">
      <c r="A69" s="1"/>
      <c r="B69" s="28"/>
      <c r="C69" s="29"/>
      <c r="D69" s="29"/>
      <c r="E69" s="29"/>
      <c r="F69" s="32"/>
      <c r="G69" s="32"/>
      <c r="H69" s="1"/>
    </row>
    <row r="70" spans="1:8" x14ac:dyDescent="0.25">
      <c r="A70" s="1" t="s">
        <v>49</v>
      </c>
      <c r="B70" s="33"/>
      <c r="C70" s="34"/>
      <c r="D70" s="34"/>
      <c r="E70" s="35">
        <f t="shared" ref="E70:E76" si="1">C70-D70</f>
        <v>0</v>
      </c>
      <c r="F70" s="32"/>
      <c r="G70" s="32"/>
      <c r="H70" s="1"/>
    </row>
    <row r="71" spans="1:8" x14ac:dyDescent="0.25">
      <c r="A71" s="1" t="s">
        <v>50</v>
      </c>
      <c r="B71" s="33"/>
      <c r="C71" s="34"/>
      <c r="D71" s="34"/>
      <c r="E71" s="35">
        <f t="shared" si="1"/>
        <v>0</v>
      </c>
      <c r="F71" s="32"/>
      <c r="G71" s="32"/>
      <c r="H71" s="1"/>
    </row>
    <row r="72" spans="1:8" x14ac:dyDescent="0.25">
      <c r="A72" s="1" t="s">
        <v>51</v>
      </c>
      <c r="B72" s="33"/>
      <c r="C72" s="34"/>
      <c r="D72" s="34"/>
      <c r="E72" s="35">
        <f t="shared" si="1"/>
        <v>0</v>
      </c>
      <c r="F72" s="32"/>
      <c r="G72" s="32"/>
      <c r="H72" s="1"/>
    </row>
    <row r="73" spans="1:8" x14ac:dyDescent="0.25">
      <c r="A73" s="1" t="s">
        <v>52</v>
      </c>
      <c r="B73" s="33"/>
      <c r="C73" s="34"/>
      <c r="D73" s="34"/>
      <c r="E73" s="35">
        <f t="shared" si="1"/>
        <v>0</v>
      </c>
      <c r="F73" s="32"/>
      <c r="G73" s="32"/>
      <c r="H73" s="1"/>
    </row>
    <row r="74" spans="1:8" x14ac:dyDescent="0.25">
      <c r="A74" s="1" t="s">
        <v>53</v>
      </c>
      <c r="B74" s="33"/>
      <c r="C74" s="34"/>
      <c r="D74" s="34"/>
      <c r="E74" s="35">
        <f t="shared" si="1"/>
        <v>0</v>
      </c>
      <c r="F74" s="32"/>
      <c r="G74" s="32"/>
      <c r="H74" s="1"/>
    </row>
    <row r="75" spans="1:8" x14ac:dyDescent="0.25">
      <c r="A75" s="1" t="s">
        <v>54</v>
      </c>
      <c r="B75" s="33"/>
      <c r="C75" s="34"/>
      <c r="D75" s="34"/>
      <c r="E75" s="35">
        <f t="shared" si="1"/>
        <v>0</v>
      </c>
      <c r="F75" s="32"/>
      <c r="G75" s="32"/>
      <c r="H75" s="1"/>
    </row>
    <row r="76" spans="1:8" x14ac:dyDescent="0.25">
      <c r="A76" s="1"/>
      <c r="B76" s="28"/>
      <c r="C76" s="39"/>
      <c r="D76" s="39"/>
      <c r="E76" s="35">
        <f t="shared" si="1"/>
        <v>0</v>
      </c>
      <c r="F76" s="32"/>
      <c r="G76" s="32"/>
      <c r="H76" s="1"/>
    </row>
    <row r="77" spans="1:8" x14ac:dyDescent="0.25">
      <c r="A77" s="30" t="s">
        <v>55</v>
      </c>
      <c r="B77" s="33"/>
      <c r="C77" s="36">
        <f>SUM(C70:C76)</f>
        <v>0</v>
      </c>
      <c r="D77" s="36">
        <f>SUM(D70:D76)</f>
        <v>0</v>
      </c>
      <c r="E77" s="36">
        <f>SUM(E70:E76)</f>
        <v>0</v>
      </c>
      <c r="F77" s="32"/>
      <c r="G77" s="32"/>
      <c r="H77" s="1"/>
    </row>
    <row r="78" spans="1:8" x14ac:dyDescent="0.25">
      <c r="A78" s="30"/>
      <c r="B78" s="28"/>
      <c r="C78" s="29"/>
      <c r="D78" s="29"/>
      <c r="E78" s="29"/>
      <c r="F78" s="32"/>
      <c r="G78" s="32"/>
      <c r="H78" s="1"/>
    </row>
    <row r="79" spans="1:8" x14ac:dyDescent="0.25">
      <c r="A79" s="30"/>
      <c r="B79" s="28"/>
      <c r="C79" s="29"/>
      <c r="D79" s="29"/>
      <c r="E79" s="29"/>
      <c r="F79" s="32"/>
      <c r="G79" s="32"/>
      <c r="H79" s="1"/>
    </row>
    <row r="80" spans="1:8" ht="12.75" customHeight="1" x14ac:dyDescent="0.25">
      <c r="A80" s="27" t="s">
        <v>56</v>
      </c>
      <c r="B80" s="28"/>
      <c r="C80" s="149" t="s">
        <v>27</v>
      </c>
      <c r="D80" s="149" t="s">
        <v>28</v>
      </c>
      <c r="E80" s="149" t="s">
        <v>9</v>
      </c>
      <c r="F80" s="32"/>
      <c r="G80" s="32"/>
      <c r="H80" s="1"/>
    </row>
    <row r="81" spans="1:8" ht="54.75" customHeight="1" x14ac:dyDescent="0.25">
      <c r="A81" s="1"/>
      <c r="B81" s="28"/>
      <c r="C81" s="150"/>
      <c r="D81" s="150"/>
      <c r="E81" s="150"/>
      <c r="F81" s="32"/>
      <c r="G81" s="32"/>
      <c r="H81" s="1"/>
    </row>
    <row r="82" spans="1:8" x14ac:dyDescent="0.25">
      <c r="A82" s="1" t="s">
        <v>57</v>
      </c>
      <c r="B82" s="33"/>
      <c r="C82" s="34"/>
      <c r="D82" s="34"/>
      <c r="E82" s="35">
        <f>C82-D82</f>
        <v>0</v>
      </c>
      <c r="F82" s="32"/>
      <c r="G82" s="32"/>
      <c r="H82" s="1"/>
    </row>
    <row r="83" spans="1:8" x14ac:dyDescent="0.25">
      <c r="A83" s="1" t="s">
        <v>58</v>
      </c>
      <c r="B83" s="33"/>
      <c r="C83" s="34"/>
      <c r="D83" s="34"/>
      <c r="E83" s="35">
        <f>C83-D83</f>
        <v>0</v>
      </c>
      <c r="F83" s="32"/>
      <c r="G83" s="32"/>
      <c r="H83" s="1"/>
    </row>
    <row r="84" spans="1:8" x14ac:dyDescent="0.25">
      <c r="A84" s="1" t="s">
        <v>59</v>
      </c>
      <c r="B84" s="33"/>
      <c r="C84" s="34"/>
      <c r="D84" s="34"/>
      <c r="E84" s="35">
        <f>C84-D84</f>
        <v>0</v>
      </c>
      <c r="F84" s="32"/>
      <c r="G84" s="32"/>
      <c r="H84" s="1"/>
    </row>
    <row r="85" spans="1:8" x14ac:dyDescent="0.25">
      <c r="A85" s="1"/>
      <c r="B85" s="33"/>
      <c r="C85" s="40"/>
      <c r="D85" s="40"/>
      <c r="E85" s="40"/>
      <c r="F85" s="32"/>
      <c r="G85" s="32"/>
      <c r="H85" s="1"/>
    </row>
    <row r="86" spans="1:8" x14ac:dyDescent="0.25">
      <c r="A86" s="1" t="s">
        <v>60</v>
      </c>
      <c r="B86" s="33"/>
      <c r="C86" s="41"/>
      <c r="D86" s="41"/>
      <c r="E86" s="41"/>
      <c r="F86" s="32"/>
      <c r="G86" s="32"/>
      <c r="H86" s="1"/>
    </row>
    <row r="87" spans="1:8" x14ac:dyDescent="0.25">
      <c r="A87" s="1" t="s">
        <v>61</v>
      </c>
      <c r="B87" s="33"/>
      <c r="C87" s="34"/>
      <c r="D87" s="34"/>
      <c r="E87" s="35">
        <f>C87-D87</f>
        <v>0</v>
      </c>
      <c r="F87" s="32"/>
      <c r="G87" s="32"/>
      <c r="H87" s="1"/>
    </row>
    <row r="88" spans="1:8" x14ac:dyDescent="0.25">
      <c r="A88" s="1"/>
      <c r="B88" s="28"/>
      <c r="C88" s="42"/>
      <c r="D88" s="42"/>
      <c r="E88" s="42"/>
      <c r="F88" s="32"/>
      <c r="G88" s="32"/>
      <c r="H88" s="1"/>
    </row>
    <row r="89" spans="1:8" x14ac:dyDescent="0.25">
      <c r="A89" s="30" t="s">
        <v>62</v>
      </c>
      <c r="B89" s="33"/>
      <c r="C89" s="36">
        <f>SUM(C82:C84)-C87</f>
        <v>0</v>
      </c>
      <c r="D89" s="36">
        <f>SUM(D82:D84)-D87</f>
        <v>0</v>
      </c>
      <c r="E89" s="36">
        <f>SUM(E82:E84)-E87</f>
        <v>0</v>
      </c>
      <c r="F89" s="32"/>
      <c r="G89" s="32"/>
      <c r="H89" s="1"/>
    </row>
    <row r="90" spans="1:8" x14ac:dyDescent="0.25">
      <c r="A90" s="1"/>
      <c r="B90" s="28"/>
      <c r="C90" s="43"/>
      <c r="D90" s="43"/>
      <c r="E90" s="43"/>
      <c r="F90" s="32"/>
      <c r="G90" s="32"/>
      <c r="H90" s="1"/>
    </row>
    <row r="91" spans="1:8" x14ac:dyDescent="0.25">
      <c r="A91" s="1" t="s">
        <v>63</v>
      </c>
      <c r="B91" s="28"/>
      <c r="C91" s="43"/>
      <c r="D91" s="43"/>
      <c r="E91" s="43"/>
      <c r="F91" s="32"/>
      <c r="G91" s="32"/>
      <c r="H91" s="1"/>
    </row>
    <row r="92" spans="1:8" x14ac:dyDescent="0.25">
      <c r="A92" s="1" t="s">
        <v>64</v>
      </c>
      <c r="B92" s="33"/>
      <c r="C92" s="44"/>
      <c r="D92" s="44"/>
      <c r="E92" s="35">
        <f>C92-D92</f>
        <v>0</v>
      </c>
      <c r="F92" s="32"/>
      <c r="G92" s="32"/>
      <c r="H92" s="1"/>
    </row>
    <row r="93" spans="1:8" x14ac:dyDescent="0.25">
      <c r="A93" s="1" t="s">
        <v>65</v>
      </c>
      <c r="B93" s="33"/>
      <c r="C93" s="34"/>
      <c r="D93" s="34"/>
      <c r="E93" s="35">
        <f>C93-D93</f>
        <v>0</v>
      </c>
      <c r="F93" s="32"/>
      <c r="G93" s="32"/>
      <c r="H93" s="1"/>
    </row>
    <row r="94" spans="1:8" x14ac:dyDescent="0.25">
      <c r="A94" s="1"/>
      <c r="B94" s="1"/>
      <c r="C94" s="45"/>
      <c r="D94" s="45"/>
      <c r="E94" s="45"/>
      <c r="F94" s="32"/>
      <c r="G94" s="32"/>
      <c r="H94" s="1"/>
    </row>
    <row r="95" spans="1:8" x14ac:dyDescent="0.25">
      <c r="A95" s="1" t="s">
        <v>60</v>
      </c>
      <c r="B95" s="28"/>
      <c r="C95" s="46"/>
      <c r="D95" s="46"/>
      <c r="E95" s="46"/>
      <c r="F95" s="32"/>
      <c r="G95" s="32"/>
      <c r="H95" s="1"/>
    </row>
    <row r="96" spans="1:8" ht="30" x14ac:dyDescent="0.25">
      <c r="A96" s="38" t="s">
        <v>45</v>
      </c>
      <c r="B96" s="47"/>
      <c r="C96" s="44"/>
      <c r="D96" s="44"/>
      <c r="E96" s="35">
        <f>C96-D96</f>
        <v>0</v>
      </c>
      <c r="F96" s="32"/>
      <c r="G96" s="32"/>
      <c r="H96" s="1"/>
    </row>
    <row r="97" spans="1:8" ht="30" x14ac:dyDescent="0.25">
      <c r="A97" s="38" t="s">
        <v>66</v>
      </c>
      <c r="B97" s="33"/>
      <c r="C97" s="34"/>
      <c r="D97" s="34"/>
      <c r="E97" s="35">
        <f>C97-D97</f>
        <v>0</v>
      </c>
      <c r="F97" s="32"/>
      <c r="G97" s="32"/>
      <c r="H97" s="1"/>
    </row>
    <row r="98" spans="1:8" x14ac:dyDescent="0.25">
      <c r="A98" s="38"/>
      <c r="B98" s="33"/>
      <c r="C98" s="46"/>
      <c r="D98" s="46"/>
      <c r="E98" s="46"/>
      <c r="F98" s="32"/>
      <c r="G98" s="32"/>
      <c r="H98" s="1"/>
    </row>
    <row r="99" spans="1:8" x14ac:dyDescent="0.25">
      <c r="A99" s="38" t="s">
        <v>60</v>
      </c>
      <c r="B99" s="33"/>
      <c r="C99" s="46"/>
      <c r="D99" s="46"/>
      <c r="E99" s="46"/>
      <c r="F99" s="32"/>
      <c r="G99" s="32"/>
      <c r="H99" s="1"/>
    </row>
    <row r="100" spans="1:8" x14ac:dyDescent="0.25">
      <c r="A100" s="1" t="s">
        <v>67</v>
      </c>
      <c r="B100" s="33"/>
      <c r="C100" s="34"/>
      <c r="D100" s="34"/>
      <c r="E100" s="35">
        <f>C100-D100</f>
        <v>0</v>
      </c>
      <c r="F100" s="32"/>
      <c r="G100" s="32"/>
      <c r="H100" s="1"/>
    </row>
    <row r="101" spans="1:8" x14ac:dyDescent="0.25">
      <c r="A101" s="1"/>
      <c r="B101" s="33"/>
      <c r="C101" s="46"/>
      <c r="D101" s="46"/>
      <c r="E101" s="46"/>
      <c r="F101" s="32"/>
      <c r="G101" s="32"/>
      <c r="H101" s="1"/>
    </row>
    <row r="102" spans="1:8" x14ac:dyDescent="0.25">
      <c r="A102" s="1" t="s">
        <v>68</v>
      </c>
      <c r="B102" s="33"/>
      <c r="C102" s="34"/>
      <c r="D102" s="34"/>
      <c r="E102" s="35">
        <f>C102-D102</f>
        <v>0</v>
      </c>
      <c r="F102" s="32"/>
      <c r="G102" s="32"/>
      <c r="H102" s="1"/>
    </row>
    <row r="103" spans="1:8" x14ac:dyDescent="0.25">
      <c r="A103" s="1"/>
      <c r="B103" s="28"/>
      <c r="C103" s="42"/>
      <c r="D103" s="42"/>
      <c r="E103" s="42"/>
      <c r="F103" s="32"/>
      <c r="G103" s="32"/>
      <c r="H103" s="1"/>
    </row>
    <row r="104" spans="1:8" x14ac:dyDescent="0.25">
      <c r="A104" s="30" t="s">
        <v>69</v>
      </c>
      <c r="B104" s="28"/>
      <c r="C104" s="36">
        <f>C89+SUM(C92:C93)-C96-C97-C100+C102</f>
        <v>0</v>
      </c>
      <c r="D104" s="36">
        <f>D89+SUM(D92:D93)-D96-D97-D100+D102</f>
        <v>0</v>
      </c>
      <c r="E104" s="36">
        <f>E89+SUM(E92:E93)-E96-E97-E100+E102</f>
        <v>0</v>
      </c>
      <c r="F104" s="32"/>
      <c r="G104" s="32"/>
      <c r="H104" s="46"/>
    </row>
    <row r="105" spans="1:8" x14ac:dyDescent="0.25">
      <c r="A105" s="1"/>
      <c r="B105" s="28"/>
      <c r="C105" s="43"/>
      <c r="D105" s="43"/>
      <c r="E105" s="43"/>
      <c r="F105" s="32"/>
      <c r="G105" s="32"/>
      <c r="H105" s="1"/>
    </row>
    <row r="106" spans="1:8" x14ac:dyDescent="0.25">
      <c r="A106" s="1"/>
      <c r="B106" s="28"/>
      <c r="C106" s="48"/>
      <c r="D106" s="48"/>
      <c r="E106" s="48"/>
      <c r="F106" s="32"/>
      <c r="G106" s="32"/>
      <c r="H106" s="1"/>
    </row>
    <row r="107" spans="1:8" x14ac:dyDescent="0.25">
      <c r="A107" s="30" t="s">
        <v>70</v>
      </c>
      <c r="B107" s="28"/>
      <c r="C107" s="35">
        <f>IF(C104&lt;&gt;0,IF(((C77/C104)*C66)&gt;C77, C77, (C77/C104)*C66),0)</f>
        <v>0</v>
      </c>
      <c r="D107" s="35">
        <f>IF(D104&lt;&gt;0,IF(((D77/D104)*D66)&gt;D77, D77, (D77/D104)*D66),0)</f>
        <v>0</v>
      </c>
      <c r="E107" s="35">
        <f>IF(E104&lt;&gt;0,IF(((E77/E104)*E66)&gt;E77, E77, (E77/E104)*E66),0)</f>
        <v>0</v>
      </c>
      <c r="F107" s="32"/>
      <c r="G107" s="32"/>
      <c r="H107" s="1"/>
    </row>
    <row r="108" spans="1:8" x14ac:dyDescent="0.25">
      <c r="A108" s="1"/>
      <c r="B108" s="28"/>
      <c r="C108" s="43"/>
      <c r="D108" s="43"/>
      <c r="E108" s="43"/>
      <c r="F108" s="32"/>
      <c r="G108" s="32"/>
      <c r="H108" s="1"/>
    </row>
    <row r="109" spans="1:8" x14ac:dyDescent="0.25">
      <c r="A109" s="27" t="s">
        <v>71</v>
      </c>
      <c r="B109" s="28"/>
      <c r="C109" s="43"/>
      <c r="D109" s="43"/>
      <c r="E109" s="43"/>
      <c r="F109" s="32"/>
      <c r="G109" s="32"/>
      <c r="H109" s="1"/>
    </row>
    <row r="110" spans="1:8" x14ac:dyDescent="0.25">
      <c r="A110" s="30"/>
      <c r="B110" s="28"/>
      <c r="C110" s="43"/>
      <c r="D110" s="43"/>
      <c r="E110" s="43"/>
      <c r="F110" s="32"/>
      <c r="G110" s="32"/>
      <c r="H110" s="1"/>
    </row>
    <row r="111" spans="1:8" x14ac:dyDescent="0.25">
      <c r="A111" s="49" t="s">
        <v>72</v>
      </c>
      <c r="B111" s="33"/>
      <c r="C111" s="35">
        <f>C66</f>
        <v>0</v>
      </c>
      <c r="D111" s="35">
        <f>D66</f>
        <v>0</v>
      </c>
      <c r="E111" s="35">
        <f>E66</f>
        <v>0</v>
      </c>
      <c r="F111" s="32"/>
      <c r="G111" s="32"/>
      <c r="H111" s="1"/>
    </row>
    <row r="112" spans="1:8" x14ac:dyDescent="0.25">
      <c r="A112" s="49" t="s">
        <v>70</v>
      </c>
      <c r="B112" s="33"/>
      <c r="C112" s="50">
        <f>C107</f>
        <v>0</v>
      </c>
      <c r="D112" s="50">
        <f>D107</f>
        <v>0</v>
      </c>
      <c r="E112" s="50">
        <f>E107</f>
        <v>0</v>
      </c>
      <c r="F112" s="32"/>
      <c r="G112" s="32"/>
      <c r="H112" s="1"/>
    </row>
    <row r="113" spans="1:8" x14ac:dyDescent="0.25">
      <c r="A113" s="49"/>
      <c r="B113" s="51"/>
      <c r="C113" s="52"/>
      <c r="D113" s="52"/>
      <c r="E113" s="52"/>
      <c r="F113" s="32"/>
      <c r="G113" s="32"/>
      <c r="H113" s="1"/>
    </row>
    <row r="114" spans="1:8" x14ac:dyDescent="0.25">
      <c r="A114" s="30" t="s">
        <v>71</v>
      </c>
      <c r="B114" s="28"/>
      <c r="C114" s="35">
        <f>C111-C112</f>
        <v>0</v>
      </c>
      <c r="D114" s="35">
        <f>D111-D112</f>
        <v>0</v>
      </c>
      <c r="E114" s="35">
        <f>E111-E112</f>
        <v>0</v>
      </c>
      <c r="F114" s="32"/>
      <c r="G114" s="32"/>
      <c r="H114" s="1"/>
    </row>
    <row r="115" spans="1:8" x14ac:dyDescent="0.25">
      <c r="A115" s="49"/>
      <c r="B115" s="28"/>
      <c r="C115" s="29"/>
      <c r="D115" s="29"/>
      <c r="E115" s="29"/>
      <c r="F115" s="32"/>
      <c r="G115" s="32"/>
      <c r="H115" s="1"/>
    </row>
    <row r="116" spans="1:8" x14ac:dyDescent="0.25">
      <c r="A116" s="27" t="s">
        <v>73</v>
      </c>
      <c r="B116" s="28"/>
      <c r="C116" s="29"/>
      <c r="D116" s="29"/>
      <c r="E116" s="29"/>
      <c r="F116" s="32"/>
      <c r="G116" s="32"/>
      <c r="H116" s="1"/>
    </row>
    <row r="117" spans="1:8" x14ac:dyDescent="0.25">
      <c r="A117" s="49" t="s">
        <v>74</v>
      </c>
      <c r="B117" s="28"/>
      <c r="C117" s="53">
        <f>'[1]Tax Rates &amp; Exemptions'!E13</f>
        <v>10000000</v>
      </c>
      <c r="D117" s="54"/>
      <c r="E117" s="35">
        <f>C117-D117</f>
        <v>10000000</v>
      </c>
      <c r="F117" s="32"/>
      <c r="G117" s="32"/>
      <c r="H117" s="1"/>
    </row>
    <row r="118" spans="1:8" x14ac:dyDescent="0.25">
      <c r="A118" s="49"/>
      <c r="B118" s="28"/>
      <c r="C118" s="6"/>
      <c r="D118" s="6"/>
      <c r="E118" s="6"/>
      <c r="F118" s="32"/>
      <c r="G118" s="32"/>
      <c r="H118" s="1"/>
    </row>
    <row r="119" spans="1:8" x14ac:dyDescent="0.25">
      <c r="A119" s="49" t="s">
        <v>75</v>
      </c>
      <c r="B119" s="28"/>
      <c r="C119" s="55"/>
      <c r="D119" s="55"/>
      <c r="E119" s="56">
        <f>IF(E114-E117&lt;0,0,E114-E117)</f>
        <v>0</v>
      </c>
      <c r="F119" s="32"/>
      <c r="G119" s="32"/>
      <c r="H119" s="1"/>
    </row>
    <row r="120" spans="1:8" x14ac:dyDescent="0.25">
      <c r="A120" s="30"/>
      <c r="B120" s="28"/>
      <c r="C120" s="29"/>
      <c r="D120" s="29"/>
      <c r="E120" s="57"/>
      <c r="F120" s="32"/>
      <c r="G120" s="32"/>
      <c r="H120" s="1"/>
    </row>
    <row r="121" spans="1:8" x14ac:dyDescent="0.25">
      <c r="A121" s="49" t="s">
        <v>76</v>
      </c>
      <c r="B121" s="28"/>
      <c r="C121" s="55"/>
      <c r="D121" s="55"/>
      <c r="E121" s="58">
        <f>'[1]Tax Rates &amp; Exemptions'!$C$37</f>
        <v>3.0000000000000001E-3</v>
      </c>
      <c r="F121" s="32"/>
      <c r="G121" s="32"/>
      <c r="H121" s="1"/>
    </row>
    <row r="122" spans="1:8" x14ac:dyDescent="0.25">
      <c r="A122" s="49"/>
      <c r="B122" s="28"/>
      <c r="C122" s="29"/>
      <c r="D122" s="29"/>
      <c r="E122" s="57"/>
      <c r="F122" s="32"/>
      <c r="G122" s="32"/>
      <c r="H122" s="1"/>
    </row>
    <row r="123" spans="1:8" x14ac:dyDescent="0.25">
      <c r="A123" s="59" t="s">
        <v>77</v>
      </c>
      <c r="B123" s="28"/>
      <c r="C123" s="55"/>
      <c r="D123" s="55"/>
      <c r="E123" s="35">
        <f>E119*E121</f>
        <v>0</v>
      </c>
      <c r="F123" s="32"/>
      <c r="G123" s="32"/>
      <c r="H123" s="1"/>
    </row>
    <row r="124" spans="1:8" x14ac:dyDescent="0.25">
      <c r="A124" s="30"/>
      <c r="B124" s="28"/>
      <c r="C124" s="60"/>
      <c r="D124" s="60"/>
      <c r="E124" s="60"/>
      <c r="F124" s="32"/>
      <c r="G124" s="32"/>
      <c r="H124" s="1"/>
    </row>
    <row r="125" spans="1:8" x14ac:dyDescent="0.25">
      <c r="A125" s="1"/>
      <c r="B125" s="28"/>
      <c r="C125" s="29"/>
      <c r="D125" s="29"/>
      <c r="E125" s="29"/>
      <c r="F125" s="32"/>
      <c r="G125" s="32"/>
      <c r="H125" s="1"/>
    </row>
    <row r="126" spans="1:8" x14ac:dyDescent="0.25">
      <c r="A126" s="27" t="s">
        <v>78</v>
      </c>
      <c r="B126" s="28"/>
      <c r="C126" s="29"/>
      <c r="D126" s="29"/>
      <c r="E126" s="29"/>
      <c r="F126" s="32"/>
      <c r="G126" s="32"/>
      <c r="H126" s="1"/>
    </row>
    <row r="127" spans="1:8" x14ac:dyDescent="0.25">
      <c r="A127" s="61" t="s">
        <v>79</v>
      </c>
      <c r="B127" s="28"/>
      <c r="C127" s="29"/>
      <c r="D127" s="29"/>
      <c r="E127" s="29"/>
      <c r="F127" s="32"/>
      <c r="G127" s="32"/>
      <c r="H127" s="1"/>
    </row>
    <row r="128" spans="1:8" ht="21" customHeight="1" x14ac:dyDescent="0.25">
      <c r="A128" s="30" t="s">
        <v>80</v>
      </c>
      <c r="B128" s="28"/>
      <c r="C128" s="149" t="s">
        <v>27</v>
      </c>
      <c r="D128" s="149" t="s">
        <v>28</v>
      </c>
      <c r="E128" s="149" t="s">
        <v>9</v>
      </c>
      <c r="F128" s="32"/>
      <c r="G128" s="32"/>
      <c r="H128" s="1"/>
    </row>
    <row r="129" spans="1:8" ht="44.25" customHeight="1" x14ac:dyDescent="0.25">
      <c r="A129" s="62" t="s">
        <v>81</v>
      </c>
      <c r="B129" s="28"/>
      <c r="C129" s="150"/>
      <c r="D129" s="150"/>
      <c r="E129" s="150"/>
      <c r="F129" s="32"/>
      <c r="G129" s="32"/>
      <c r="H129" s="1"/>
    </row>
    <row r="130" spans="1:8" ht="30" x14ac:dyDescent="0.25">
      <c r="A130" s="38" t="s">
        <v>82</v>
      </c>
      <c r="B130" s="47"/>
      <c r="C130" s="34"/>
      <c r="D130" s="34"/>
      <c r="E130" s="35">
        <f t="shared" ref="E130:E139" si="2">C130-D130</f>
        <v>0</v>
      </c>
      <c r="F130" s="32"/>
      <c r="G130" s="32"/>
      <c r="H130" s="1"/>
    </row>
    <row r="131" spans="1:8" x14ac:dyDescent="0.25">
      <c r="A131" s="38" t="s">
        <v>83</v>
      </c>
      <c r="B131" s="47"/>
      <c r="C131" s="34"/>
      <c r="D131" s="34"/>
      <c r="E131" s="35">
        <f t="shared" si="2"/>
        <v>0</v>
      </c>
      <c r="F131" s="32"/>
      <c r="G131" s="32"/>
      <c r="H131" s="1"/>
    </row>
    <row r="132" spans="1:8" x14ac:dyDescent="0.25">
      <c r="A132" s="38" t="s">
        <v>84</v>
      </c>
      <c r="B132" s="47"/>
      <c r="C132" s="34"/>
      <c r="D132" s="34"/>
      <c r="E132" s="35">
        <f t="shared" si="2"/>
        <v>0</v>
      </c>
      <c r="F132" s="32"/>
      <c r="G132" s="32"/>
      <c r="H132" s="1"/>
    </row>
    <row r="133" spans="1:8" x14ac:dyDescent="0.25">
      <c r="A133" s="38" t="s">
        <v>85</v>
      </c>
      <c r="B133" s="47"/>
      <c r="C133" s="34"/>
      <c r="D133" s="34"/>
      <c r="E133" s="35">
        <f t="shared" si="2"/>
        <v>0</v>
      </c>
      <c r="F133" s="32"/>
      <c r="G133" s="32"/>
      <c r="H133" s="1"/>
    </row>
    <row r="134" spans="1:8" x14ac:dyDescent="0.25">
      <c r="A134" s="38" t="s">
        <v>86</v>
      </c>
      <c r="B134" s="47"/>
      <c r="C134" s="34"/>
      <c r="D134" s="34"/>
      <c r="E134" s="35">
        <f t="shared" si="2"/>
        <v>0</v>
      </c>
      <c r="F134" s="32"/>
      <c r="G134" s="32"/>
      <c r="H134" s="1"/>
    </row>
    <row r="135" spans="1:8" x14ac:dyDescent="0.25">
      <c r="A135" s="38" t="s">
        <v>87</v>
      </c>
      <c r="B135" s="47"/>
      <c r="C135" s="34"/>
      <c r="D135" s="34"/>
      <c r="E135" s="35">
        <f t="shared" si="2"/>
        <v>0</v>
      </c>
      <c r="F135" s="32"/>
      <c r="G135" s="32"/>
      <c r="H135" s="1"/>
    </row>
    <row r="136" spans="1:8" x14ac:dyDescent="0.25">
      <c r="A136" s="38" t="s">
        <v>88</v>
      </c>
      <c r="B136" s="47"/>
      <c r="C136" s="34"/>
      <c r="D136" s="34"/>
      <c r="E136" s="35">
        <f t="shared" si="2"/>
        <v>0</v>
      </c>
      <c r="F136" s="32"/>
      <c r="G136" s="32"/>
      <c r="H136" s="1"/>
    </row>
    <row r="137" spans="1:8" ht="45" x14ac:dyDescent="0.25">
      <c r="A137" s="38" t="s">
        <v>89</v>
      </c>
      <c r="B137" s="47"/>
      <c r="C137" s="34"/>
      <c r="D137" s="34"/>
      <c r="E137" s="35">
        <f t="shared" si="2"/>
        <v>0</v>
      </c>
      <c r="F137" s="32"/>
      <c r="G137" s="32"/>
      <c r="H137" s="1"/>
    </row>
    <row r="138" spans="1:8" x14ac:dyDescent="0.25">
      <c r="A138" s="38" t="s">
        <v>90</v>
      </c>
      <c r="B138" s="47"/>
      <c r="C138" s="34"/>
      <c r="D138" s="34"/>
      <c r="E138" s="35">
        <f t="shared" si="2"/>
        <v>0</v>
      </c>
      <c r="F138" s="32"/>
      <c r="G138" s="32"/>
      <c r="H138" s="1"/>
    </row>
    <row r="139" spans="1:8" ht="30" x14ac:dyDescent="0.25">
      <c r="A139" s="38" t="s">
        <v>91</v>
      </c>
      <c r="B139" s="47"/>
      <c r="C139" s="34"/>
      <c r="D139" s="34"/>
      <c r="E139" s="35">
        <f t="shared" si="2"/>
        <v>0</v>
      </c>
      <c r="F139" s="32"/>
      <c r="G139" s="32"/>
      <c r="H139" s="1"/>
    </row>
    <row r="140" spans="1:8" x14ac:dyDescent="0.25">
      <c r="A140" s="1"/>
      <c r="B140" s="28"/>
      <c r="C140" s="6"/>
      <c r="D140" s="6"/>
      <c r="E140" s="6"/>
      <c r="F140" s="32"/>
      <c r="G140" s="32"/>
      <c r="H140" s="1"/>
    </row>
    <row r="141" spans="1:8" x14ac:dyDescent="0.25">
      <c r="A141" s="30" t="s">
        <v>92</v>
      </c>
      <c r="B141" s="28"/>
      <c r="C141" s="36">
        <f>SUM(C130:C139)</f>
        <v>0</v>
      </c>
      <c r="D141" s="36">
        <f>SUM(D130:D139)</f>
        <v>0</v>
      </c>
      <c r="E141" s="36">
        <f>SUM(E130:E139)</f>
        <v>0</v>
      </c>
      <c r="F141" s="32"/>
      <c r="G141" s="32"/>
      <c r="H141" s="1"/>
    </row>
    <row r="142" spans="1:8" x14ac:dyDescent="0.25">
      <c r="A142" s="1"/>
      <c r="B142" s="28"/>
      <c r="C142" s="48"/>
      <c r="D142" s="48"/>
      <c r="E142" s="48"/>
      <c r="F142" s="32"/>
      <c r="G142" s="32"/>
      <c r="H142" s="1"/>
    </row>
    <row r="143" spans="1:8" x14ac:dyDescent="0.25">
      <c r="A143" s="62" t="s">
        <v>93</v>
      </c>
      <c r="B143" s="28"/>
      <c r="C143" s="48"/>
      <c r="D143" s="48"/>
      <c r="E143" s="48"/>
      <c r="F143" s="32"/>
      <c r="G143" s="32"/>
      <c r="H143" s="1"/>
    </row>
    <row r="144" spans="1:8" x14ac:dyDescent="0.25">
      <c r="A144" s="1" t="s">
        <v>94</v>
      </c>
      <c r="B144" s="33"/>
      <c r="C144" s="34"/>
      <c r="D144" s="34"/>
      <c r="E144" s="35">
        <f>C144-D144</f>
        <v>0</v>
      </c>
      <c r="F144" s="32"/>
      <c r="G144" s="32"/>
      <c r="H144" s="1"/>
    </row>
    <row r="145" spans="1:8" x14ac:dyDescent="0.25">
      <c r="A145" s="1" t="s">
        <v>95</v>
      </c>
      <c r="B145" s="33"/>
      <c r="C145" s="34"/>
      <c r="D145" s="34"/>
      <c r="E145" s="35">
        <f>C145-D145</f>
        <v>0</v>
      </c>
      <c r="F145" s="32"/>
      <c r="G145" s="32"/>
      <c r="H145" s="1"/>
    </row>
    <row r="146" spans="1:8" ht="45" x14ac:dyDescent="0.25">
      <c r="A146" s="63" t="s">
        <v>96</v>
      </c>
      <c r="B146" s="33"/>
      <c r="C146" s="34"/>
      <c r="D146" s="34"/>
      <c r="E146" s="35">
        <f>C146-D146</f>
        <v>0</v>
      </c>
      <c r="F146" s="32"/>
      <c r="G146" s="32"/>
      <c r="H146" s="1"/>
    </row>
    <row r="147" spans="1:8" x14ac:dyDescent="0.25">
      <c r="A147" s="1" t="s">
        <v>97</v>
      </c>
      <c r="B147" s="33"/>
      <c r="C147" s="34"/>
      <c r="D147" s="34"/>
      <c r="E147" s="35">
        <f>C147-D147</f>
        <v>0</v>
      </c>
      <c r="F147" s="32"/>
      <c r="G147" s="32"/>
      <c r="H147" s="1"/>
    </row>
    <row r="148" spans="1:8" x14ac:dyDescent="0.25">
      <c r="A148" s="1"/>
      <c r="B148" s="28"/>
      <c r="C148" s="64"/>
      <c r="D148" s="64"/>
      <c r="E148" s="35">
        <f>C148-D148</f>
        <v>0</v>
      </c>
      <c r="F148" s="32"/>
      <c r="G148" s="32"/>
      <c r="H148" s="1"/>
    </row>
    <row r="149" spans="1:8" x14ac:dyDescent="0.25">
      <c r="A149" s="30" t="s">
        <v>92</v>
      </c>
      <c r="B149" s="28"/>
      <c r="C149" s="36">
        <f>SUM(C144:C148)</f>
        <v>0</v>
      </c>
      <c r="D149" s="36">
        <f>SUM(D144:D148)</f>
        <v>0</v>
      </c>
      <c r="E149" s="36">
        <f>SUM(E144:E148)</f>
        <v>0</v>
      </c>
      <c r="F149" s="32"/>
      <c r="G149" s="32"/>
      <c r="H149" s="1"/>
    </row>
    <row r="150" spans="1:8" x14ac:dyDescent="0.25">
      <c r="A150" s="1"/>
      <c r="B150" s="28"/>
      <c r="C150" s="48"/>
      <c r="D150" s="48"/>
      <c r="E150" s="48"/>
      <c r="F150" s="32"/>
      <c r="G150" s="32"/>
      <c r="H150" s="1"/>
    </row>
    <row r="151" spans="1:8" x14ac:dyDescent="0.25">
      <c r="A151" s="30" t="s">
        <v>98</v>
      </c>
      <c r="B151" s="28"/>
      <c r="C151" s="36">
        <f>C141-C149</f>
        <v>0</v>
      </c>
      <c r="D151" s="36">
        <f>D141-D149</f>
        <v>0</v>
      </c>
      <c r="E151" s="36">
        <f>E141-E149</f>
        <v>0</v>
      </c>
      <c r="F151" s="32"/>
      <c r="G151" s="32"/>
      <c r="H151" s="1"/>
    </row>
    <row r="152" spans="1:8" x14ac:dyDescent="0.25">
      <c r="A152" s="30"/>
      <c r="B152" s="28"/>
      <c r="C152" s="29"/>
      <c r="D152" s="29"/>
      <c r="E152" s="29"/>
      <c r="F152" s="32"/>
      <c r="G152" s="32"/>
      <c r="H152" s="1"/>
    </row>
    <row r="153" spans="1:8" ht="21.75" customHeight="1" x14ac:dyDescent="0.25">
      <c r="A153" s="27" t="s">
        <v>99</v>
      </c>
      <c r="B153" s="28"/>
      <c r="C153" s="149" t="s">
        <v>27</v>
      </c>
      <c r="D153" s="149" t="s">
        <v>28</v>
      </c>
      <c r="E153" s="149" t="s">
        <v>9</v>
      </c>
      <c r="F153" s="32"/>
      <c r="G153" s="32"/>
      <c r="H153" s="1"/>
    </row>
    <row r="154" spans="1:8" ht="35.25" customHeight="1" x14ac:dyDescent="0.25">
      <c r="A154" s="30"/>
      <c r="B154" s="28"/>
      <c r="C154" s="150"/>
      <c r="D154" s="150"/>
      <c r="E154" s="150"/>
      <c r="F154" s="32"/>
      <c r="G154" s="32"/>
      <c r="H154" s="1"/>
    </row>
    <row r="155" spans="1:8" x14ac:dyDescent="0.25">
      <c r="A155" s="49" t="s">
        <v>100</v>
      </c>
      <c r="B155" s="33"/>
      <c r="C155" s="34"/>
      <c r="D155" s="34"/>
      <c r="E155" s="35">
        <f t="shared" ref="E155:E162" si="3">C155-D155</f>
        <v>0</v>
      </c>
      <c r="F155" s="32"/>
      <c r="G155" s="32"/>
      <c r="H155" s="1"/>
    </row>
    <row r="156" spans="1:8" x14ac:dyDescent="0.25">
      <c r="A156" s="49" t="s">
        <v>101</v>
      </c>
      <c r="B156" s="33"/>
      <c r="C156" s="34"/>
      <c r="D156" s="34"/>
      <c r="E156" s="35">
        <f t="shared" si="3"/>
        <v>0</v>
      </c>
      <c r="F156" s="32"/>
      <c r="G156" s="32"/>
      <c r="H156" s="1"/>
    </row>
    <row r="157" spans="1:8" x14ac:dyDescent="0.25">
      <c r="A157" s="49" t="s">
        <v>102</v>
      </c>
      <c r="B157" s="33"/>
      <c r="C157" s="34"/>
      <c r="D157" s="34"/>
      <c r="E157" s="35">
        <f t="shared" si="3"/>
        <v>0</v>
      </c>
      <c r="F157" s="32"/>
      <c r="G157" s="32"/>
      <c r="H157" s="1"/>
    </row>
    <row r="158" spans="1:8" x14ac:dyDescent="0.25">
      <c r="A158" s="49" t="s">
        <v>103</v>
      </c>
      <c r="B158" s="33"/>
      <c r="C158" s="34"/>
      <c r="D158" s="34"/>
      <c r="E158" s="35">
        <f t="shared" si="3"/>
        <v>0</v>
      </c>
      <c r="F158" s="32"/>
      <c r="G158" s="32"/>
      <c r="H158" s="1"/>
    </row>
    <row r="159" spans="1:8" x14ac:dyDescent="0.25">
      <c r="A159" s="49" t="s">
        <v>104</v>
      </c>
      <c r="B159" s="33"/>
      <c r="C159" s="34"/>
      <c r="D159" s="34"/>
      <c r="E159" s="35">
        <f t="shared" si="3"/>
        <v>0</v>
      </c>
      <c r="F159" s="32"/>
      <c r="G159" s="32"/>
      <c r="H159" s="1"/>
    </row>
    <row r="160" spans="1:8" x14ac:dyDescent="0.25">
      <c r="A160" s="49" t="s">
        <v>105</v>
      </c>
      <c r="B160" s="33"/>
      <c r="C160" s="34"/>
      <c r="D160" s="34"/>
      <c r="E160" s="35">
        <f t="shared" si="3"/>
        <v>0</v>
      </c>
      <c r="F160" s="32"/>
      <c r="G160" s="32"/>
      <c r="H160" s="1"/>
    </row>
    <row r="161" spans="1:8" ht="25.5" x14ac:dyDescent="0.25">
      <c r="A161" s="65" t="s">
        <v>106</v>
      </c>
      <c r="B161" s="47"/>
      <c r="C161" s="44"/>
      <c r="D161" s="44"/>
      <c r="E161" s="35">
        <f t="shared" si="3"/>
        <v>0</v>
      </c>
      <c r="F161" s="32"/>
      <c r="G161" s="32"/>
      <c r="H161" s="1"/>
    </row>
    <row r="162" spans="1:8" x14ac:dyDescent="0.25">
      <c r="A162" s="49" t="s">
        <v>107</v>
      </c>
      <c r="B162" s="33"/>
      <c r="C162" s="34"/>
      <c r="D162" s="34"/>
      <c r="E162" s="35">
        <f t="shared" si="3"/>
        <v>0</v>
      </c>
      <c r="F162" s="32"/>
      <c r="G162" s="32"/>
      <c r="H162" s="1"/>
    </row>
    <row r="163" spans="1:8" x14ac:dyDescent="0.25">
      <c r="A163" s="49"/>
      <c r="B163" s="28"/>
      <c r="C163" s="66"/>
      <c r="D163" s="66"/>
      <c r="E163" s="66"/>
      <c r="F163" s="32"/>
      <c r="G163" s="32"/>
      <c r="H163" s="1"/>
    </row>
    <row r="164" spans="1:8" x14ac:dyDescent="0.25">
      <c r="A164" s="30" t="s">
        <v>70</v>
      </c>
      <c r="B164" s="28"/>
      <c r="C164" s="36">
        <f>SUM(C155:C162)</f>
        <v>0</v>
      </c>
      <c r="D164" s="36">
        <f>SUM(D155:D162)</f>
        <v>0</v>
      </c>
      <c r="E164" s="36">
        <f>SUM(E155:E162)</f>
        <v>0</v>
      </c>
      <c r="F164" s="32"/>
      <c r="G164" s="32"/>
      <c r="H164" s="1"/>
    </row>
    <row r="165" spans="1:8" x14ac:dyDescent="0.25">
      <c r="A165" s="49"/>
      <c r="B165" s="28"/>
      <c r="C165" s="43"/>
      <c r="D165" s="43"/>
      <c r="E165" s="43"/>
      <c r="F165" s="32"/>
      <c r="G165" s="32"/>
      <c r="H165" s="1"/>
    </row>
    <row r="166" spans="1:8" x14ac:dyDescent="0.25">
      <c r="A166" s="49"/>
      <c r="B166" s="28"/>
      <c r="C166" s="43"/>
      <c r="D166" s="43"/>
      <c r="E166" s="43"/>
      <c r="F166" s="32"/>
      <c r="G166" s="32"/>
      <c r="H166" s="1"/>
    </row>
    <row r="167" spans="1:8" x14ac:dyDescent="0.25">
      <c r="A167" s="27" t="s">
        <v>108</v>
      </c>
      <c r="B167" s="28"/>
      <c r="C167" s="43"/>
      <c r="D167" s="43"/>
      <c r="E167" s="43"/>
      <c r="F167" s="32"/>
      <c r="G167" s="32"/>
      <c r="H167" s="1"/>
    </row>
    <row r="168" spans="1:8" x14ac:dyDescent="0.25">
      <c r="A168" s="49"/>
      <c r="B168" s="28"/>
      <c r="C168" s="43"/>
      <c r="D168" s="43"/>
      <c r="E168" s="43"/>
      <c r="F168" s="32"/>
      <c r="G168" s="32"/>
      <c r="H168" s="1"/>
    </row>
    <row r="169" spans="1:8" x14ac:dyDescent="0.25">
      <c r="A169" s="49" t="s">
        <v>109</v>
      </c>
      <c r="B169" s="28"/>
      <c r="C169" s="35">
        <f>C151</f>
        <v>0</v>
      </c>
      <c r="D169" s="35">
        <f>D151</f>
        <v>0</v>
      </c>
      <c r="E169" s="35">
        <f>E151</f>
        <v>0</v>
      </c>
      <c r="F169" s="32"/>
      <c r="G169" s="32"/>
      <c r="H169" s="1"/>
    </row>
    <row r="170" spans="1:8" x14ac:dyDescent="0.25">
      <c r="A170" s="49"/>
      <c r="B170" s="28"/>
      <c r="C170" s="48"/>
      <c r="D170" s="48"/>
      <c r="E170" s="48"/>
      <c r="F170" s="32"/>
      <c r="G170" s="32"/>
      <c r="H170" s="1"/>
    </row>
    <row r="171" spans="1:8" x14ac:dyDescent="0.25">
      <c r="A171" s="49" t="s">
        <v>110</v>
      </c>
      <c r="B171" s="28"/>
      <c r="C171" s="35">
        <f>C164</f>
        <v>0</v>
      </c>
      <c r="D171" s="35">
        <f>D164</f>
        <v>0</v>
      </c>
      <c r="E171" s="35">
        <f>E164</f>
        <v>0</v>
      </c>
      <c r="F171" s="32"/>
      <c r="G171" s="32"/>
      <c r="H171" s="1"/>
    </row>
    <row r="172" spans="1:8" x14ac:dyDescent="0.25">
      <c r="A172" s="49"/>
      <c r="B172" s="28"/>
      <c r="C172" s="48"/>
      <c r="D172" s="48"/>
      <c r="E172" s="48"/>
      <c r="F172" s="32"/>
      <c r="G172" s="32"/>
      <c r="H172" s="1"/>
    </row>
    <row r="173" spans="1:8" x14ac:dyDescent="0.25">
      <c r="A173" s="49" t="s">
        <v>111</v>
      </c>
      <c r="B173" s="33"/>
      <c r="C173" s="36">
        <f>C169-C171</f>
        <v>0</v>
      </c>
      <c r="D173" s="36">
        <f>D169-D171</f>
        <v>0</v>
      </c>
      <c r="E173" s="36">
        <f>E169-E171</f>
        <v>0</v>
      </c>
      <c r="F173" s="32"/>
      <c r="G173" s="32"/>
      <c r="H173" s="1"/>
    </row>
    <row r="174" spans="1:8" x14ac:dyDescent="0.25">
      <c r="A174" s="49"/>
      <c r="B174" s="28"/>
      <c r="C174" s="48"/>
      <c r="D174" s="48"/>
      <c r="E174" s="48"/>
      <c r="F174" s="32"/>
      <c r="G174" s="32"/>
      <c r="H174" s="1"/>
    </row>
    <row r="175" spans="1:8" x14ac:dyDescent="0.25">
      <c r="A175" s="49" t="s">
        <v>112</v>
      </c>
      <c r="B175" s="33"/>
      <c r="C175" s="35">
        <f>'[1]Tax Rates &amp; Exemptions'!G13</f>
        <v>50000000</v>
      </c>
      <c r="D175" s="34"/>
      <c r="E175" s="35">
        <f>C175-D175</f>
        <v>50000000</v>
      </c>
      <c r="F175" s="32"/>
      <c r="G175" s="32"/>
      <c r="H175" s="1"/>
    </row>
    <row r="176" spans="1:8" x14ac:dyDescent="0.25">
      <c r="A176" s="49"/>
      <c r="B176" s="28"/>
      <c r="C176" s="48"/>
      <c r="D176" s="48"/>
      <c r="E176" s="48"/>
      <c r="F176" s="32"/>
      <c r="G176" s="32"/>
      <c r="H176" s="1"/>
    </row>
    <row r="177" spans="1:8" x14ac:dyDescent="0.25">
      <c r="A177" s="30" t="s">
        <v>113</v>
      </c>
      <c r="B177" s="28"/>
      <c r="C177" s="36">
        <f>IF((C173-C175)&lt;0, 0, C173-C175)</f>
        <v>0</v>
      </c>
      <c r="D177" s="36">
        <f>IF((D173-D175)&lt;0, 0, D173-D175)</f>
        <v>0</v>
      </c>
      <c r="E177" s="36">
        <f>IF((E173-E175)&lt;0, 0, E173-E175)</f>
        <v>0</v>
      </c>
      <c r="F177" s="32"/>
      <c r="G177" s="32"/>
      <c r="H177" s="1"/>
    </row>
    <row r="178" spans="1:8" x14ac:dyDescent="0.25">
      <c r="A178" s="49"/>
      <c r="B178" s="28"/>
      <c r="C178" s="29"/>
      <c r="D178" s="29"/>
      <c r="E178" s="29"/>
      <c r="F178" s="32"/>
      <c r="G178" s="32"/>
      <c r="H178" s="1"/>
    </row>
    <row r="179" spans="1:8" x14ac:dyDescent="0.25">
      <c r="A179" s="49" t="s">
        <v>76</v>
      </c>
      <c r="B179" s="28"/>
      <c r="C179" s="67"/>
      <c r="D179" s="67"/>
      <c r="E179" s="68">
        <f>'[1]Tax Rates &amp; Exemptions'!C38</f>
        <v>1.25E-3</v>
      </c>
      <c r="F179" s="32"/>
      <c r="G179" s="32"/>
      <c r="H179" s="1"/>
    </row>
    <row r="180" spans="1:8" x14ac:dyDescent="0.25">
      <c r="A180" s="49"/>
      <c r="B180" s="28"/>
      <c r="C180" s="60"/>
      <c r="D180" s="60"/>
      <c r="E180" s="29"/>
      <c r="F180" s="32"/>
      <c r="G180" s="32"/>
      <c r="H180" s="1"/>
    </row>
    <row r="181" spans="1:8" x14ac:dyDescent="0.25">
      <c r="A181" s="30" t="s">
        <v>114</v>
      </c>
      <c r="B181" s="28"/>
      <c r="C181" s="69"/>
      <c r="D181" s="69"/>
      <c r="E181" s="70">
        <f>E177*E179</f>
        <v>0</v>
      </c>
      <c r="F181" s="32"/>
      <c r="G181" s="32"/>
      <c r="H181" s="1"/>
    </row>
    <row r="182" spans="1:8" x14ac:dyDescent="0.25">
      <c r="A182" s="49"/>
      <c r="B182" s="28"/>
      <c r="C182" s="60"/>
      <c r="D182" s="60"/>
      <c r="E182" s="29"/>
      <c r="F182" s="32"/>
      <c r="G182" s="32"/>
      <c r="H182" s="1"/>
    </row>
    <row r="183" spans="1:8" x14ac:dyDescent="0.25">
      <c r="A183" s="49" t="s">
        <v>115</v>
      </c>
      <c r="B183" s="28"/>
      <c r="C183" s="55"/>
      <c r="D183" s="55"/>
      <c r="E183" s="71">
        <f>'[1]Tax Rates &amp; Exemptions'!C39</f>
        <v>1.12E-2</v>
      </c>
      <c r="F183" s="32"/>
      <c r="G183" s="32"/>
      <c r="H183" s="1"/>
    </row>
    <row r="184" spans="1:8" x14ac:dyDescent="0.25">
      <c r="A184" s="1"/>
      <c r="B184" s="28"/>
      <c r="C184" s="72"/>
      <c r="D184" s="72"/>
      <c r="E184" s="6"/>
      <c r="F184" s="32"/>
      <c r="G184" s="32"/>
      <c r="H184" s="1"/>
    </row>
    <row r="185" spans="1:8" x14ac:dyDescent="0.25">
      <c r="A185" s="1" t="s">
        <v>116</v>
      </c>
      <c r="B185" s="33"/>
      <c r="C185" s="72"/>
      <c r="D185" s="72"/>
      <c r="E185" s="73">
        <f>'[1]Tax Rates &amp; Exemptions'!C39*'[1]Test Year Taxable Income'!C92</f>
        <v>104078.22488000001</v>
      </c>
      <c r="F185" s="32"/>
      <c r="G185" s="32"/>
      <c r="H185" s="1"/>
    </row>
    <row r="186" spans="1:8" ht="15.75" thickBot="1" x14ac:dyDescent="0.3">
      <c r="A186" s="1"/>
      <c r="B186" s="28"/>
      <c r="C186" s="72"/>
      <c r="D186" s="72"/>
      <c r="E186" s="6"/>
      <c r="F186" s="32"/>
      <c r="G186" s="32"/>
      <c r="H186" s="1"/>
    </row>
    <row r="187" spans="1:8" ht="15.75" thickBot="1" x14ac:dyDescent="0.3">
      <c r="A187" s="30" t="s">
        <v>117</v>
      </c>
      <c r="B187" s="28"/>
      <c r="C187" s="37"/>
      <c r="D187" s="37"/>
      <c r="E187" s="74">
        <f>IF((E181-E185)&lt;0, 0, E181-E185)</f>
        <v>0</v>
      </c>
      <c r="F187" s="32"/>
      <c r="G187" s="32"/>
      <c r="H187" s="1"/>
    </row>
    <row r="188" spans="1:8" x14ac:dyDescent="0.25">
      <c r="A188" s="75"/>
      <c r="B188" s="28"/>
      <c r="C188" s="37"/>
      <c r="D188" s="1"/>
      <c r="E188" s="6"/>
      <c r="F188" s="32"/>
      <c r="G188" s="32"/>
      <c r="H188" s="1"/>
    </row>
    <row r="189" spans="1:8" x14ac:dyDescent="0.25">
      <c r="A189" s="30" t="str">
        <f>"Net Part I.3 Tax - LCT  Payable grossed-up " &amp; " (1 - " &amp; '[1]Test Year PILs,Tax Provision'!D14 &amp; ") "</f>
        <v xml:space="preserve">Net Part I.3 Tax - LCT  Payable grossed-up  (1 - 0.3612) </v>
      </c>
      <c r="B189" s="28"/>
      <c r="C189" s="37"/>
      <c r="D189" s="1"/>
      <c r="E189" s="73">
        <f>E187/(1-'[1]Test Year PILs,Tax Provision'!D14)</f>
        <v>0</v>
      </c>
      <c r="F189" s="32"/>
      <c r="G189" s="32"/>
      <c r="H189" s="1"/>
    </row>
    <row r="190" spans="1:8" x14ac:dyDescent="0.25">
      <c r="A190" s="76"/>
      <c r="B190" s="51"/>
      <c r="C190" s="37"/>
      <c r="D190" s="76"/>
      <c r="E190" s="72"/>
      <c r="F190" s="32"/>
      <c r="G190" s="32"/>
      <c r="H190" s="1"/>
    </row>
    <row r="191" spans="1:8" x14ac:dyDescent="0.25">
      <c r="A191" s="76"/>
      <c r="B191" s="51"/>
      <c r="C191" s="37"/>
      <c r="D191" s="37"/>
      <c r="E191" s="72"/>
      <c r="F191" s="32"/>
      <c r="G191" s="32"/>
      <c r="H191" s="1"/>
    </row>
    <row r="192" spans="1:8" x14ac:dyDescent="0.25">
      <c r="A192" s="76"/>
      <c r="B192" s="51"/>
      <c r="C192" s="37"/>
      <c r="D192" s="37"/>
      <c r="E192" s="72"/>
      <c r="F192" s="1"/>
      <c r="G192" s="1"/>
      <c r="H192" s="1"/>
    </row>
    <row r="193" spans="1:8" x14ac:dyDescent="0.25">
      <c r="A193" s="76"/>
      <c r="B193" s="51"/>
      <c r="C193" s="37"/>
      <c r="D193" s="37"/>
      <c r="E193" s="72"/>
      <c r="F193" s="1"/>
      <c r="G193" s="1"/>
      <c r="H193" s="1"/>
    </row>
    <row r="194" spans="1:8" x14ac:dyDescent="0.25">
      <c r="A194" s="76"/>
      <c r="B194" s="51"/>
      <c r="C194" s="37"/>
      <c r="D194" s="76"/>
      <c r="E194" s="72"/>
      <c r="F194" s="1"/>
      <c r="G194" s="1"/>
      <c r="H194" s="1"/>
    </row>
    <row r="195" spans="1:8" x14ac:dyDescent="0.25">
      <c r="A195" s="76"/>
      <c r="B195" s="77"/>
      <c r="C195" s="37"/>
      <c r="D195" s="37"/>
      <c r="E195" s="72"/>
      <c r="F195" s="1"/>
      <c r="G195" s="1"/>
      <c r="H195" s="1"/>
    </row>
    <row r="196" spans="1:8" x14ac:dyDescent="0.25">
      <c r="A196" s="1"/>
      <c r="B196" s="1"/>
      <c r="C196" s="37"/>
      <c r="D196" s="6"/>
      <c r="E196" s="6" t="s">
        <v>118</v>
      </c>
      <c r="F196" s="1"/>
      <c r="G196" s="1"/>
      <c r="H196" s="1"/>
    </row>
  </sheetData>
  <mergeCells count="10">
    <mergeCell ref="C153:C154"/>
    <mergeCell ref="D153:D154"/>
    <mergeCell ref="E153:E154"/>
    <mergeCell ref="E6:F6"/>
    <mergeCell ref="C80:C81"/>
    <mergeCell ref="D80:D81"/>
    <mergeCell ref="E80:E81"/>
    <mergeCell ref="C128:C129"/>
    <mergeCell ref="D128:D129"/>
    <mergeCell ref="E128:E129"/>
  </mergeCells>
  <conditionalFormatting sqref="E47:E60 E64:E65 E70:E76 E82:E84 E87 E92:E93 E96:E97 E100 E117 E130:E139 E144:E148 E155:E162 E175">
    <cfRule type="cellIs" dxfId="0" priority="1" stopIfTrue="1" operator="less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32"/>
  <sheetViews>
    <sheetView topLeftCell="A10" workbookViewId="0">
      <selection activeCell="H16" sqref="H16"/>
    </sheetView>
  </sheetViews>
  <sheetFormatPr defaultRowHeight="15" x14ac:dyDescent="0.25"/>
  <cols>
    <col min="1" max="1" width="1.85546875" customWidth="1"/>
    <col min="2" max="2" width="3.7109375" style="112" customWidth="1"/>
    <col min="3" max="3" width="20" customWidth="1"/>
    <col min="4" max="4" width="13.42578125" customWidth="1"/>
    <col min="5" max="5" width="11.42578125" customWidth="1"/>
    <col min="6" max="6" width="12" customWidth="1"/>
    <col min="7" max="7" width="13.7109375" customWidth="1"/>
    <col min="8" max="8" width="14" customWidth="1"/>
    <col min="9" max="9" width="16.140625" customWidth="1"/>
    <col min="10" max="10" width="14.42578125" customWidth="1"/>
    <col min="11" max="11" width="13.7109375" customWidth="1"/>
    <col min="12" max="12" width="2.85546875" customWidth="1"/>
    <col min="13" max="13" width="3.28515625" customWidth="1"/>
    <col min="14" max="14" width="15.140625" customWidth="1"/>
    <col min="15" max="15" width="15.7109375" customWidth="1"/>
    <col min="16" max="16" width="14.42578125" customWidth="1"/>
    <col min="17" max="17" width="15.140625" customWidth="1"/>
    <col min="18" max="18" width="14.140625" customWidth="1"/>
    <col min="19" max="19" width="2.7109375" customWidth="1"/>
    <col min="20" max="20" width="15.140625" customWidth="1"/>
    <col min="21" max="21" width="14.140625" customWidth="1"/>
    <col min="22" max="22" width="2.5703125" customWidth="1"/>
    <col min="23" max="23" width="15.140625" customWidth="1"/>
    <col min="24" max="24" width="14.140625" customWidth="1"/>
    <col min="257" max="257" width="1.85546875" customWidth="1"/>
    <col min="258" max="258" width="3.7109375" customWidth="1"/>
    <col min="259" max="259" width="20" customWidth="1"/>
    <col min="260" max="260" width="13.42578125" customWidth="1"/>
    <col min="261" max="261" width="11.42578125" customWidth="1"/>
    <col min="262" max="262" width="12" customWidth="1"/>
    <col min="263" max="263" width="13.7109375" customWidth="1"/>
    <col min="264" max="264" width="14" customWidth="1"/>
    <col min="265" max="265" width="16.140625" customWidth="1"/>
    <col min="266" max="266" width="14.42578125" customWidth="1"/>
    <col min="267" max="267" width="13.7109375" customWidth="1"/>
    <col min="268" max="268" width="2.85546875" customWidth="1"/>
    <col min="269" max="269" width="3.28515625" customWidth="1"/>
    <col min="270" max="270" width="15.140625" customWidth="1"/>
    <col min="271" max="271" width="15.7109375" customWidth="1"/>
    <col min="272" max="272" width="14.42578125" customWidth="1"/>
    <col min="273" max="273" width="15.140625" customWidth="1"/>
    <col min="274" max="274" width="14.140625" customWidth="1"/>
    <col min="275" max="275" width="2.7109375" customWidth="1"/>
    <col min="276" max="276" width="15.140625" customWidth="1"/>
    <col min="277" max="277" width="14.140625" customWidth="1"/>
    <col min="278" max="278" width="2.5703125" customWidth="1"/>
    <col min="279" max="279" width="15.140625" customWidth="1"/>
    <col min="280" max="280" width="14.140625" customWidth="1"/>
    <col min="513" max="513" width="1.85546875" customWidth="1"/>
    <col min="514" max="514" width="3.7109375" customWidth="1"/>
    <col min="515" max="515" width="20" customWidth="1"/>
    <col min="516" max="516" width="13.42578125" customWidth="1"/>
    <col min="517" max="517" width="11.42578125" customWidth="1"/>
    <col min="518" max="518" width="12" customWidth="1"/>
    <col min="519" max="519" width="13.7109375" customWidth="1"/>
    <col min="520" max="520" width="14" customWidth="1"/>
    <col min="521" max="521" width="16.140625" customWidth="1"/>
    <col min="522" max="522" width="14.42578125" customWidth="1"/>
    <col min="523" max="523" width="13.7109375" customWidth="1"/>
    <col min="524" max="524" width="2.85546875" customWidth="1"/>
    <col min="525" max="525" width="3.28515625" customWidth="1"/>
    <col min="526" max="526" width="15.140625" customWidth="1"/>
    <col min="527" max="527" width="15.7109375" customWidth="1"/>
    <col min="528" max="528" width="14.42578125" customWidth="1"/>
    <col min="529" max="529" width="15.140625" customWidth="1"/>
    <col min="530" max="530" width="14.140625" customWidth="1"/>
    <col min="531" max="531" width="2.7109375" customWidth="1"/>
    <col min="532" max="532" width="15.140625" customWidth="1"/>
    <col min="533" max="533" width="14.140625" customWidth="1"/>
    <col min="534" max="534" width="2.5703125" customWidth="1"/>
    <col min="535" max="535" width="15.140625" customWidth="1"/>
    <col min="536" max="536" width="14.140625" customWidth="1"/>
    <col min="769" max="769" width="1.85546875" customWidth="1"/>
    <col min="770" max="770" width="3.7109375" customWidth="1"/>
    <col min="771" max="771" width="20" customWidth="1"/>
    <col min="772" max="772" width="13.42578125" customWidth="1"/>
    <col min="773" max="773" width="11.42578125" customWidth="1"/>
    <col min="774" max="774" width="12" customWidth="1"/>
    <col min="775" max="775" width="13.7109375" customWidth="1"/>
    <col min="776" max="776" width="14" customWidth="1"/>
    <col min="777" max="777" width="16.140625" customWidth="1"/>
    <col min="778" max="778" width="14.42578125" customWidth="1"/>
    <col min="779" max="779" width="13.7109375" customWidth="1"/>
    <col min="780" max="780" width="2.85546875" customWidth="1"/>
    <col min="781" max="781" width="3.28515625" customWidth="1"/>
    <col min="782" max="782" width="15.140625" customWidth="1"/>
    <col min="783" max="783" width="15.7109375" customWidth="1"/>
    <col min="784" max="784" width="14.42578125" customWidth="1"/>
    <col min="785" max="785" width="15.140625" customWidth="1"/>
    <col min="786" max="786" width="14.140625" customWidth="1"/>
    <col min="787" max="787" width="2.7109375" customWidth="1"/>
    <col min="788" max="788" width="15.140625" customWidth="1"/>
    <col min="789" max="789" width="14.140625" customWidth="1"/>
    <col min="790" max="790" width="2.5703125" customWidth="1"/>
    <col min="791" max="791" width="15.140625" customWidth="1"/>
    <col min="792" max="792" width="14.140625" customWidth="1"/>
    <col min="1025" max="1025" width="1.85546875" customWidth="1"/>
    <col min="1026" max="1026" width="3.7109375" customWidth="1"/>
    <col min="1027" max="1027" width="20" customWidth="1"/>
    <col min="1028" max="1028" width="13.42578125" customWidth="1"/>
    <col min="1029" max="1029" width="11.42578125" customWidth="1"/>
    <col min="1030" max="1030" width="12" customWidth="1"/>
    <col min="1031" max="1031" width="13.7109375" customWidth="1"/>
    <col min="1032" max="1032" width="14" customWidth="1"/>
    <col min="1033" max="1033" width="16.140625" customWidth="1"/>
    <col min="1034" max="1034" width="14.42578125" customWidth="1"/>
    <col min="1035" max="1035" width="13.7109375" customWidth="1"/>
    <col min="1036" max="1036" width="2.85546875" customWidth="1"/>
    <col min="1037" max="1037" width="3.28515625" customWidth="1"/>
    <col min="1038" max="1038" width="15.140625" customWidth="1"/>
    <col min="1039" max="1039" width="15.7109375" customWidth="1"/>
    <col min="1040" max="1040" width="14.42578125" customWidth="1"/>
    <col min="1041" max="1041" width="15.140625" customWidth="1"/>
    <col min="1042" max="1042" width="14.140625" customWidth="1"/>
    <col min="1043" max="1043" width="2.7109375" customWidth="1"/>
    <col min="1044" max="1044" width="15.140625" customWidth="1"/>
    <col min="1045" max="1045" width="14.140625" customWidth="1"/>
    <col min="1046" max="1046" width="2.5703125" customWidth="1"/>
    <col min="1047" max="1047" width="15.140625" customWidth="1"/>
    <col min="1048" max="1048" width="14.140625" customWidth="1"/>
    <col min="1281" max="1281" width="1.85546875" customWidth="1"/>
    <col min="1282" max="1282" width="3.7109375" customWidth="1"/>
    <col min="1283" max="1283" width="20" customWidth="1"/>
    <col min="1284" max="1284" width="13.42578125" customWidth="1"/>
    <col min="1285" max="1285" width="11.42578125" customWidth="1"/>
    <col min="1286" max="1286" width="12" customWidth="1"/>
    <col min="1287" max="1287" width="13.7109375" customWidth="1"/>
    <col min="1288" max="1288" width="14" customWidth="1"/>
    <col min="1289" max="1289" width="16.140625" customWidth="1"/>
    <col min="1290" max="1290" width="14.42578125" customWidth="1"/>
    <col min="1291" max="1291" width="13.7109375" customWidth="1"/>
    <col min="1292" max="1292" width="2.85546875" customWidth="1"/>
    <col min="1293" max="1293" width="3.28515625" customWidth="1"/>
    <col min="1294" max="1294" width="15.140625" customWidth="1"/>
    <col min="1295" max="1295" width="15.7109375" customWidth="1"/>
    <col min="1296" max="1296" width="14.42578125" customWidth="1"/>
    <col min="1297" max="1297" width="15.140625" customWidth="1"/>
    <col min="1298" max="1298" width="14.140625" customWidth="1"/>
    <col min="1299" max="1299" width="2.7109375" customWidth="1"/>
    <col min="1300" max="1300" width="15.140625" customWidth="1"/>
    <col min="1301" max="1301" width="14.140625" customWidth="1"/>
    <col min="1302" max="1302" width="2.5703125" customWidth="1"/>
    <col min="1303" max="1303" width="15.140625" customWidth="1"/>
    <col min="1304" max="1304" width="14.140625" customWidth="1"/>
    <col min="1537" max="1537" width="1.85546875" customWidth="1"/>
    <col min="1538" max="1538" width="3.7109375" customWidth="1"/>
    <col min="1539" max="1539" width="20" customWidth="1"/>
    <col min="1540" max="1540" width="13.42578125" customWidth="1"/>
    <col min="1541" max="1541" width="11.42578125" customWidth="1"/>
    <col min="1542" max="1542" width="12" customWidth="1"/>
    <col min="1543" max="1543" width="13.7109375" customWidth="1"/>
    <col min="1544" max="1544" width="14" customWidth="1"/>
    <col min="1545" max="1545" width="16.140625" customWidth="1"/>
    <col min="1546" max="1546" width="14.42578125" customWidth="1"/>
    <col min="1547" max="1547" width="13.7109375" customWidth="1"/>
    <col min="1548" max="1548" width="2.85546875" customWidth="1"/>
    <col min="1549" max="1549" width="3.28515625" customWidth="1"/>
    <col min="1550" max="1550" width="15.140625" customWidth="1"/>
    <col min="1551" max="1551" width="15.7109375" customWidth="1"/>
    <col min="1552" max="1552" width="14.42578125" customWidth="1"/>
    <col min="1553" max="1553" width="15.140625" customWidth="1"/>
    <col min="1554" max="1554" width="14.140625" customWidth="1"/>
    <col min="1555" max="1555" width="2.7109375" customWidth="1"/>
    <col min="1556" max="1556" width="15.140625" customWidth="1"/>
    <col min="1557" max="1557" width="14.140625" customWidth="1"/>
    <col min="1558" max="1558" width="2.5703125" customWidth="1"/>
    <col min="1559" max="1559" width="15.140625" customWidth="1"/>
    <col min="1560" max="1560" width="14.140625" customWidth="1"/>
    <col min="1793" max="1793" width="1.85546875" customWidth="1"/>
    <col min="1794" max="1794" width="3.7109375" customWidth="1"/>
    <col min="1795" max="1795" width="20" customWidth="1"/>
    <col min="1796" max="1796" width="13.42578125" customWidth="1"/>
    <col min="1797" max="1797" width="11.42578125" customWidth="1"/>
    <col min="1798" max="1798" width="12" customWidth="1"/>
    <col min="1799" max="1799" width="13.7109375" customWidth="1"/>
    <col min="1800" max="1800" width="14" customWidth="1"/>
    <col min="1801" max="1801" width="16.140625" customWidth="1"/>
    <col min="1802" max="1802" width="14.42578125" customWidth="1"/>
    <col min="1803" max="1803" width="13.7109375" customWidth="1"/>
    <col min="1804" max="1804" width="2.85546875" customWidth="1"/>
    <col min="1805" max="1805" width="3.28515625" customWidth="1"/>
    <col min="1806" max="1806" width="15.140625" customWidth="1"/>
    <col min="1807" max="1807" width="15.7109375" customWidth="1"/>
    <col min="1808" max="1808" width="14.42578125" customWidth="1"/>
    <col min="1809" max="1809" width="15.140625" customWidth="1"/>
    <col min="1810" max="1810" width="14.140625" customWidth="1"/>
    <col min="1811" max="1811" width="2.7109375" customWidth="1"/>
    <col min="1812" max="1812" width="15.140625" customWidth="1"/>
    <col min="1813" max="1813" width="14.140625" customWidth="1"/>
    <col min="1814" max="1814" width="2.5703125" customWidth="1"/>
    <col min="1815" max="1815" width="15.140625" customWidth="1"/>
    <col min="1816" max="1816" width="14.140625" customWidth="1"/>
    <col min="2049" max="2049" width="1.85546875" customWidth="1"/>
    <col min="2050" max="2050" width="3.7109375" customWidth="1"/>
    <col min="2051" max="2051" width="20" customWidth="1"/>
    <col min="2052" max="2052" width="13.42578125" customWidth="1"/>
    <col min="2053" max="2053" width="11.42578125" customWidth="1"/>
    <col min="2054" max="2054" width="12" customWidth="1"/>
    <col min="2055" max="2055" width="13.7109375" customWidth="1"/>
    <col min="2056" max="2056" width="14" customWidth="1"/>
    <col min="2057" max="2057" width="16.140625" customWidth="1"/>
    <col min="2058" max="2058" width="14.42578125" customWidth="1"/>
    <col min="2059" max="2059" width="13.7109375" customWidth="1"/>
    <col min="2060" max="2060" width="2.85546875" customWidth="1"/>
    <col min="2061" max="2061" width="3.28515625" customWidth="1"/>
    <col min="2062" max="2062" width="15.140625" customWidth="1"/>
    <col min="2063" max="2063" width="15.7109375" customWidth="1"/>
    <col min="2064" max="2064" width="14.42578125" customWidth="1"/>
    <col min="2065" max="2065" width="15.140625" customWidth="1"/>
    <col min="2066" max="2066" width="14.140625" customWidth="1"/>
    <col min="2067" max="2067" width="2.7109375" customWidth="1"/>
    <col min="2068" max="2068" width="15.140625" customWidth="1"/>
    <col min="2069" max="2069" width="14.140625" customWidth="1"/>
    <col min="2070" max="2070" width="2.5703125" customWidth="1"/>
    <col min="2071" max="2071" width="15.140625" customWidth="1"/>
    <col min="2072" max="2072" width="14.140625" customWidth="1"/>
    <col min="2305" max="2305" width="1.85546875" customWidth="1"/>
    <col min="2306" max="2306" width="3.7109375" customWidth="1"/>
    <col min="2307" max="2307" width="20" customWidth="1"/>
    <col min="2308" max="2308" width="13.42578125" customWidth="1"/>
    <col min="2309" max="2309" width="11.42578125" customWidth="1"/>
    <col min="2310" max="2310" width="12" customWidth="1"/>
    <col min="2311" max="2311" width="13.7109375" customWidth="1"/>
    <col min="2312" max="2312" width="14" customWidth="1"/>
    <col min="2313" max="2313" width="16.140625" customWidth="1"/>
    <col min="2314" max="2314" width="14.42578125" customWidth="1"/>
    <col min="2315" max="2315" width="13.7109375" customWidth="1"/>
    <col min="2316" max="2316" width="2.85546875" customWidth="1"/>
    <col min="2317" max="2317" width="3.28515625" customWidth="1"/>
    <col min="2318" max="2318" width="15.140625" customWidth="1"/>
    <col min="2319" max="2319" width="15.7109375" customWidth="1"/>
    <col min="2320" max="2320" width="14.42578125" customWidth="1"/>
    <col min="2321" max="2321" width="15.140625" customWidth="1"/>
    <col min="2322" max="2322" width="14.140625" customWidth="1"/>
    <col min="2323" max="2323" width="2.7109375" customWidth="1"/>
    <col min="2324" max="2324" width="15.140625" customWidth="1"/>
    <col min="2325" max="2325" width="14.140625" customWidth="1"/>
    <col min="2326" max="2326" width="2.5703125" customWidth="1"/>
    <col min="2327" max="2327" width="15.140625" customWidth="1"/>
    <col min="2328" max="2328" width="14.140625" customWidth="1"/>
    <col min="2561" max="2561" width="1.85546875" customWidth="1"/>
    <col min="2562" max="2562" width="3.7109375" customWidth="1"/>
    <col min="2563" max="2563" width="20" customWidth="1"/>
    <col min="2564" max="2564" width="13.42578125" customWidth="1"/>
    <col min="2565" max="2565" width="11.42578125" customWidth="1"/>
    <col min="2566" max="2566" width="12" customWidth="1"/>
    <col min="2567" max="2567" width="13.7109375" customWidth="1"/>
    <col min="2568" max="2568" width="14" customWidth="1"/>
    <col min="2569" max="2569" width="16.140625" customWidth="1"/>
    <col min="2570" max="2570" width="14.42578125" customWidth="1"/>
    <col min="2571" max="2571" width="13.7109375" customWidth="1"/>
    <col min="2572" max="2572" width="2.85546875" customWidth="1"/>
    <col min="2573" max="2573" width="3.28515625" customWidth="1"/>
    <col min="2574" max="2574" width="15.140625" customWidth="1"/>
    <col min="2575" max="2575" width="15.7109375" customWidth="1"/>
    <col min="2576" max="2576" width="14.42578125" customWidth="1"/>
    <col min="2577" max="2577" width="15.140625" customWidth="1"/>
    <col min="2578" max="2578" width="14.140625" customWidth="1"/>
    <col min="2579" max="2579" width="2.7109375" customWidth="1"/>
    <col min="2580" max="2580" width="15.140625" customWidth="1"/>
    <col min="2581" max="2581" width="14.140625" customWidth="1"/>
    <col min="2582" max="2582" width="2.5703125" customWidth="1"/>
    <col min="2583" max="2583" width="15.140625" customWidth="1"/>
    <col min="2584" max="2584" width="14.140625" customWidth="1"/>
    <col min="2817" max="2817" width="1.85546875" customWidth="1"/>
    <col min="2818" max="2818" width="3.7109375" customWidth="1"/>
    <col min="2819" max="2819" width="20" customWidth="1"/>
    <col min="2820" max="2820" width="13.42578125" customWidth="1"/>
    <col min="2821" max="2821" width="11.42578125" customWidth="1"/>
    <col min="2822" max="2822" width="12" customWidth="1"/>
    <col min="2823" max="2823" width="13.7109375" customWidth="1"/>
    <col min="2824" max="2824" width="14" customWidth="1"/>
    <col min="2825" max="2825" width="16.140625" customWidth="1"/>
    <col min="2826" max="2826" width="14.42578125" customWidth="1"/>
    <col min="2827" max="2827" width="13.7109375" customWidth="1"/>
    <col min="2828" max="2828" width="2.85546875" customWidth="1"/>
    <col min="2829" max="2829" width="3.28515625" customWidth="1"/>
    <col min="2830" max="2830" width="15.140625" customWidth="1"/>
    <col min="2831" max="2831" width="15.7109375" customWidth="1"/>
    <col min="2832" max="2832" width="14.42578125" customWidth="1"/>
    <col min="2833" max="2833" width="15.140625" customWidth="1"/>
    <col min="2834" max="2834" width="14.140625" customWidth="1"/>
    <col min="2835" max="2835" width="2.7109375" customWidth="1"/>
    <col min="2836" max="2836" width="15.140625" customWidth="1"/>
    <col min="2837" max="2837" width="14.140625" customWidth="1"/>
    <col min="2838" max="2838" width="2.5703125" customWidth="1"/>
    <col min="2839" max="2839" width="15.140625" customWidth="1"/>
    <col min="2840" max="2840" width="14.140625" customWidth="1"/>
    <col min="3073" max="3073" width="1.85546875" customWidth="1"/>
    <col min="3074" max="3074" width="3.7109375" customWidth="1"/>
    <col min="3075" max="3075" width="20" customWidth="1"/>
    <col min="3076" max="3076" width="13.42578125" customWidth="1"/>
    <col min="3077" max="3077" width="11.42578125" customWidth="1"/>
    <col min="3078" max="3078" width="12" customWidth="1"/>
    <col min="3079" max="3079" width="13.7109375" customWidth="1"/>
    <col min="3080" max="3080" width="14" customWidth="1"/>
    <col min="3081" max="3081" width="16.140625" customWidth="1"/>
    <col min="3082" max="3082" width="14.42578125" customWidth="1"/>
    <col min="3083" max="3083" width="13.7109375" customWidth="1"/>
    <col min="3084" max="3084" width="2.85546875" customWidth="1"/>
    <col min="3085" max="3085" width="3.28515625" customWidth="1"/>
    <col min="3086" max="3086" width="15.140625" customWidth="1"/>
    <col min="3087" max="3087" width="15.7109375" customWidth="1"/>
    <col min="3088" max="3088" width="14.42578125" customWidth="1"/>
    <col min="3089" max="3089" width="15.140625" customWidth="1"/>
    <col min="3090" max="3090" width="14.140625" customWidth="1"/>
    <col min="3091" max="3091" width="2.7109375" customWidth="1"/>
    <col min="3092" max="3092" width="15.140625" customWidth="1"/>
    <col min="3093" max="3093" width="14.140625" customWidth="1"/>
    <col min="3094" max="3094" width="2.5703125" customWidth="1"/>
    <col min="3095" max="3095" width="15.140625" customWidth="1"/>
    <col min="3096" max="3096" width="14.140625" customWidth="1"/>
    <col min="3329" max="3329" width="1.85546875" customWidth="1"/>
    <col min="3330" max="3330" width="3.7109375" customWidth="1"/>
    <col min="3331" max="3331" width="20" customWidth="1"/>
    <col min="3332" max="3332" width="13.42578125" customWidth="1"/>
    <col min="3333" max="3333" width="11.42578125" customWidth="1"/>
    <col min="3334" max="3334" width="12" customWidth="1"/>
    <col min="3335" max="3335" width="13.7109375" customWidth="1"/>
    <col min="3336" max="3336" width="14" customWidth="1"/>
    <col min="3337" max="3337" width="16.140625" customWidth="1"/>
    <col min="3338" max="3338" width="14.42578125" customWidth="1"/>
    <col min="3339" max="3339" width="13.7109375" customWidth="1"/>
    <col min="3340" max="3340" width="2.85546875" customWidth="1"/>
    <col min="3341" max="3341" width="3.28515625" customWidth="1"/>
    <col min="3342" max="3342" width="15.140625" customWidth="1"/>
    <col min="3343" max="3343" width="15.7109375" customWidth="1"/>
    <col min="3344" max="3344" width="14.42578125" customWidth="1"/>
    <col min="3345" max="3345" width="15.140625" customWidth="1"/>
    <col min="3346" max="3346" width="14.140625" customWidth="1"/>
    <col min="3347" max="3347" width="2.7109375" customWidth="1"/>
    <col min="3348" max="3348" width="15.140625" customWidth="1"/>
    <col min="3349" max="3349" width="14.140625" customWidth="1"/>
    <col min="3350" max="3350" width="2.5703125" customWidth="1"/>
    <col min="3351" max="3351" width="15.140625" customWidth="1"/>
    <col min="3352" max="3352" width="14.140625" customWidth="1"/>
    <col min="3585" max="3585" width="1.85546875" customWidth="1"/>
    <col min="3586" max="3586" width="3.7109375" customWidth="1"/>
    <col min="3587" max="3587" width="20" customWidth="1"/>
    <col min="3588" max="3588" width="13.42578125" customWidth="1"/>
    <col min="3589" max="3589" width="11.42578125" customWidth="1"/>
    <col min="3590" max="3590" width="12" customWidth="1"/>
    <col min="3591" max="3591" width="13.7109375" customWidth="1"/>
    <col min="3592" max="3592" width="14" customWidth="1"/>
    <col min="3593" max="3593" width="16.140625" customWidth="1"/>
    <col min="3594" max="3594" width="14.42578125" customWidth="1"/>
    <col min="3595" max="3595" width="13.7109375" customWidth="1"/>
    <col min="3596" max="3596" width="2.85546875" customWidth="1"/>
    <col min="3597" max="3597" width="3.28515625" customWidth="1"/>
    <col min="3598" max="3598" width="15.140625" customWidth="1"/>
    <col min="3599" max="3599" width="15.7109375" customWidth="1"/>
    <col min="3600" max="3600" width="14.42578125" customWidth="1"/>
    <col min="3601" max="3601" width="15.140625" customWidth="1"/>
    <col min="3602" max="3602" width="14.140625" customWidth="1"/>
    <col min="3603" max="3603" width="2.7109375" customWidth="1"/>
    <col min="3604" max="3604" width="15.140625" customWidth="1"/>
    <col min="3605" max="3605" width="14.140625" customWidth="1"/>
    <col min="3606" max="3606" width="2.5703125" customWidth="1"/>
    <col min="3607" max="3607" width="15.140625" customWidth="1"/>
    <col min="3608" max="3608" width="14.140625" customWidth="1"/>
    <col min="3841" max="3841" width="1.85546875" customWidth="1"/>
    <col min="3842" max="3842" width="3.7109375" customWidth="1"/>
    <col min="3843" max="3843" width="20" customWidth="1"/>
    <col min="3844" max="3844" width="13.42578125" customWidth="1"/>
    <col min="3845" max="3845" width="11.42578125" customWidth="1"/>
    <col min="3846" max="3846" width="12" customWidth="1"/>
    <col min="3847" max="3847" width="13.7109375" customWidth="1"/>
    <col min="3848" max="3848" width="14" customWidth="1"/>
    <col min="3849" max="3849" width="16.140625" customWidth="1"/>
    <col min="3850" max="3850" width="14.42578125" customWidth="1"/>
    <col min="3851" max="3851" width="13.7109375" customWidth="1"/>
    <col min="3852" max="3852" width="2.85546875" customWidth="1"/>
    <col min="3853" max="3853" width="3.28515625" customWidth="1"/>
    <col min="3854" max="3854" width="15.140625" customWidth="1"/>
    <col min="3855" max="3855" width="15.7109375" customWidth="1"/>
    <col min="3856" max="3856" width="14.42578125" customWidth="1"/>
    <col min="3857" max="3857" width="15.140625" customWidth="1"/>
    <col min="3858" max="3858" width="14.140625" customWidth="1"/>
    <col min="3859" max="3859" width="2.7109375" customWidth="1"/>
    <col min="3860" max="3860" width="15.140625" customWidth="1"/>
    <col min="3861" max="3861" width="14.140625" customWidth="1"/>
    <col min="3862" max="3862" width="2.5703125" customWidth="1"/>
    <col min="3863" max="3863" width="15.140625" customWidth="1"/>
    <col min="3864" max="3864" width="14.140625" customWidth="1"/>
    <col min="4097" max="4097" width="1.85546875" customWidth="1"/>
    <col min="4098" max="4098" width="3.7109375" customWidth="1"/>
    <col min="4099" max="4099" width="20" customWidth="1"/>
    <col min="4100" max="4100" width="13.42578125" customWidth="1"/>
    <col min="4101" max="4101" width="11.42578125" customWidth="1"/>
    <col min="4102" max="4102" width="12" customWidth="1"/>
    <col min="4103" max="4103" width="13.7109375" customWidth="1"/>
    <col min="4104" max="4104" width="14" customWidth="1"/>
    <col min="4105" max="4105" width="16.140625" customWidth="1"/>
    <col min="4106" max="4106" width="14.42578125" customWidth="1"/>
    <col min="4107" max="4107" width="13.7109375" customWidth="1"/>
    <col min="4108" max="4108" width="2.85546875" customWidth="1"/>
    <col min="4109" max="4109" width="3.28515625" customWidth="1"/>
    <col min="4110" max="4110" width="15.140625" customWidth="1"/>
    <col min="4111" max="4111" width="15.7109375" customWidth="1"/>
    <col min="4112" max="4112" width="14.42578125" customWidth="1"/>
    <col min="4113" max="4113" width="15.140625" customWidth="1"/>
    <col min="4114" max="4114" width="14.140625" customWidth="1"/>
    <col min="4115" max="4115" width="2.7109375" customWidth="1"/>
    <col min="4116" max="4116" width="15.140625" customWidth="1"/>
    <col min="4117" max="4117" width="14.140625" customWidth="1"/>
    <col min="4118" max="4118" width="2.5703125" customWidth="1"/>
    <col min="4119" max="4119" width="15.140625" customWidth="1"/>
    <col min="4120" max="4120" width="14.140625" customWidth="1"/>
    <col min="4353" max="4353" width="1.85546875" customWidth="1"/>
    <col min="4354" max="4354" width="3.7109375" customWidth="1"/>
    <col min="4355" max="4355" width="20" customWidth="1"/>
    <col min="4356" max="4356" width="13.42578125" customWidth="1"/>
    <col min="4357" max="4357" width="11.42578125" customWidth="1"/>
    <col min="4358" max="4358" width="12" customWidth="1"/>
    <col min="4359" max="4359" width="13.7109375" customWidth="1"/>
    <col min="4360" max="4360" width="14" customWidth="1"/>
    <col min="4361" max="4361" width="16.140625" customWidth="1"/>
    <col min="4362" max="4362" width="14.42578125" customWidth="1"/>
    <col min="4363" max="4363" width="13.7109375" customWidth="1"/>
    <col min="4364" max="4364" width="2.85546875" customWidth="1"/>
    <col min="4365" max="4365" width="3.28515625" customWidth="1"/>
    <col min="4366" max="4366" width="15.140625" customWidth="1"/>
    <col min="4367" max="4367" width="15.7109375" customWidth="1"/>
    <col min="4368" max="4368" width="14.42578125" customWidth="1"/>
    <col min="4369" max="4369" width="15.140625" customWidth="1"/>
    <col min="4370" max="4370" width="14.140625" customWidth="1"/>
    <col min="4371" max="4371" width="2.7109375" customWidth="1"/>
    <col min="4372" max="4372" width="15.140625" customWidth="1"/>
    <col min="4373" max="4373" width="14.140625" customWidth="1"/>
    <col min="4374" max="4374" width="2.5703125" customWidth="1"/>
    <col min="4375" max="4375" width="15.140625" customWidth="1"/>
    <col min="4376" max="4376" width="14.140625" customWidth="1"/>
    <col min="4609" max="4609" width="1.85546875" customWidth="1"/>
    <col min="4610" max="4610" width="3.7109375" customWidth="1"/>
    <col min="4611" max="4611" width="20" customWidth="1"/>
    <col min="4612" max="4612" width="13.42578125" customWidth="1"/>
    <col min="4613" max="4613" width="11.42578125" customWidth="1"/>
    <col min="4614" max="4614" width="12" customWidth="1"/>
    <col min="4615" max="4615" width="13.7109375" customWidth="1"/>
    <col min="4616" max="4616" width="14" customWidth="1"/>
    <col min="4617" max="4617" width="16.140625" customWidth="1"/>
    <col min="4618" max="4618" width="14.42578125" customWidth="1"/>
    <col min="4619" max="4619" width="13.7109375" customWidth="1"/>
    <col min="4620" max="4620" width="2.85546875" customWidth="1"/>
    <col min="4621" max="4621" width="3.28515625" customWidth="1"/>
    <col min="4622" max="4622" width="15.140625" customWidth="1"/>
    <col min="4623" max="4623" width="15.7109375" customWidth="1"/>
    <col min="4624" max="4624" width="14.42578125" customWidth="1"/>
    <col min="4625" max="4625" width="15.140625" customWidth="1"/>
    <col min="4626" max="4626" width="14.140625" customWidth="1"/>
    <col min="4627" max="4627" width="2.7109375" customWidth="1"/>
    <col min="4628" max="4628" width="15.140625" customWidth="1"/>
    <col min="4629" max="4629" width="14.140625" customWidth="1"/>
    <col min="4630" max="4630" width="2.5703125" customWidth="1"/>
    <col min="4631" max="4631" width="15.140625" customWidth="1"/>
    <col min="4632" max="4632" width="14.140625" customWidth="1"/>
    <col min="4865" max="4865" width="1.85546875" customWidth="1"/>
    <col min="4866" max="4866" width="3.7109375" customWidth="1"/>
    <col min="4867" max="4867" width="20" customWidth="1"/>
    <col min="4868" max="4868" width="13.42578125" customWidth="1"/>
    <col min="4869" max="4869" width="11.42578125" customWidth="1"/>
    <col min="4870" max="4870" width="12" customWidth="1"/>
    <col min="4871" max="4871" width="13.7109375" customWidth="1"/>
    <col min="4872" max="4872" width="14" customWidth="1"/>
    <col min="4873" max="4873" width="16.140625" customWidth="1"/>
    <col min="4874" max="4874" width="14.42578125" customWidth="1"/>
    <col min="4875" max="4875" width="13.7109375" customWidth="1"/>
    <col min="4876" max="4876" width="2.85546875" customWidth="1"/>
    <col min="4877" max="4877" width="3.28515625" customWidth="1"/>
    <col min="4878" max="4878" width="15.140625" customWidth="1"/>
    <col min="4879" max="4879" width="15.7109375" customWidth="1"/>
    <col min="4880" max="4880" width="14.42578125" customWidth="1"/>
    <col min="4881" max="4881" width="15.140625" customWidth="1"/>
    <col min="4882" max="4882" width="14.140625" customWidth="1"/>
    <col min="4883" max="4883" width="2.7109375" customWidth="1"/>
    <col min="4884" max="4884" width="15.140625" customWidth="1"/>
    <col min="4885" max="4885" width="14.140625" customWidth="1"/>
    <col min="4886" max="4886" width="2.5703125" customWidth="1"/>
    <col min="4887" max="4887" width="15.140625" customWidth="1"/>
    <col min="4888" max="4888" width="14.140625" customWidth="1"/>
    <col min="5121" max="5121" width="1.85546875" customWidth="1"/>
    <col min="5122" max="5122" width="3.7109375" customWidth="1"/>
    <col min="5123" max="5123" width="20" customWidth="1"/>
    <col min="5124" max="5124" width="13.42578125" customWidth="1"/>
    <col min="5125" max="5125" width="11.42578125" customWidth="1"/>
    <col min="5126" max="5126" width="12" customWidth="1"/>
    <col min="5127" max="5127" width="13.7109375" customWidth="1"/>
    <col min="5128" max="5128" width="14" customWidth="1"/>
    <col min="5129" max="5129" width="16.140625" customWidth="1"/>
    <col min="5130" max="5130" width="14.42578125" customWidth="1"/>
    <col min="5131" max="5131" width="13.7109375" customWidth="1"/>
    <col min="5132" max="5132" width="2.85546875" customWidth="1"/>
    <col min="5133" max="5133" width="3.28515625" customWidth="1"/>
    <col min="5134" max="5134" width="15.140625" customWidth="1"/>
    <col min="5135" max="5135" width="15.7109375" customWidth="1"/>
    <col min="5136" max="5136" width="14.42578125" customWidth="1"/>
    <col min="5137" max="5137" width="15.140625" customWidth="1"/>
    <col min="5138" max="5138" width="14.140625" customWidth="1"/>
    <col min="5139" max="5139" width="2.7109375" customWidth="1"/>
    <col min="5140" max="5140" width="15.140625" customWidth="1"/>
    <col min="5141" max="5141" width="14.140625" customWidth="1"/>
    <col min="5142" max="5142" width="2.5703125" customWidth="1"/>
    <col min="5143" max="5143" width="15.140625" customWidth="1"/>
    <col min="5144" max="5144" width="14.140625" customWidth="1"/>
    <col min="5377" max="5377" width="1.85546875" customWidth="1"/>
    <col min="5378" max="5378" width="3.7109375" customWidth="1"/>
    <col min="5379" max="5379" width="20" customWidth="1"/>
    <col min="5380" max="5380" width="13.42578125" customWidth="1"/>
    <col min="5381" max="5381" width="11.42578125" customWidth="1"/>
    <col min="5382" max="5382" width="12" customWidth="1"/>
    <col min="5383" max="5383" width="13.7109375" customWidth="1"/>
    <col min="5384" max="5384" width="14" customWidth="1"/>
    <col min="5385" max="5385" width="16.140625" customWidth="1"/>
    <col min="5386" max="5386" width="14.42578125" customWidth="1"/>
    <col min="5387" max="5387" width="13.7109375" customWidth="1"/>
    <col min="5388" max="5388" width="2.85546875" customWidth="1"/>
    <col min="5389" max="5389" width="3.28515625" customWidth="1"/>
    <col min="5390" max="5390" width="15.140625" customWidth="1"/>
    <col min="5391" max="5391" width="15.7109375" customWidth="1"/>
    <col min="5392" max="5392" width="14.42578125" customWidth="1"/>
    <col min="5393" max="5393" width="15.140625" customWidth="1"/>
    <col min="5394" max="5394" width="14.140625" customWidth="1"/>
    <col min="5395" max="5395" width="2.7109375" customWidth="1"/>
    <col min="5396" max="5396" width="15.140625" customWidth="1"/>
    <col min="5397" max="5397" width="14.140625" customWidth="1"/>
    <col min="5398" max="5398" width="2.5703125" customWidth="1"/>
    <col min="5399" max="5399" width="15.140625" customWidth="1"/>
    <col min="5400" max="5400" width="14.140625" customWidth="1"/>
    <col min="5633" max="5633" width="1.85546875" customWidth="1"/>
    <col min="5634" max="5634" width="3.7109375" customWidth="1"/>
    <col min="5635" max="5635" width="20" customWidth="1"/>
    <col min="5636" max="5636" width="13.42578125" customWidth="1"/>
    <col min="5637" max="5637" width="11.42578125" customWidth="1"/>
    <col min="5638" max="5638" width="12" customWidth="1"/>
    <col min="5639" max="5639" width="13.7109375" customWidth="1"/>
    <col min="5640" max="5640" width="14" customWidth="1"/>
    <col min="5641" max="5641" width="16.140625" customWidth="1"/>
    <col min="5642" max="5642" width="14.42578125" customWidth="1"/>
    <col min="5643" max="5643" width="13.7109375" customWidth="1"/>
    <col min="5644" max="5644" width="2.85546875" customWidth="1"/>
    <col min="5645" max="5645" width="3.28515625" customWidth="1"/>
    <col min="5646" max="5646" width="15.140625" customWidth="1"/>
    <col min="5647" max="5647" width="15.7109375" customWidth="1"/>
    <col min="5648" max="5648" width="14.42578125" customWidth="1"/>
    <col min="5649" max="5649" width="15.140625" customWidth="1"/>
    <col min="5650" max="5650" width="14.140625" customWidth="1"/>
    <col min="5651" max="5651" width="2.7109375" customWidth="1"/>
    <col min="5652" max="5652" width="15.140625" customWidth="1"/>
    <col min="5653" max="5653" width="14.140625" customWidth="1"/>
    <col min="5654" max="5654" width="2.5703125" customWidth="1"/>
    <col min="5655" max="5655" width="15.140625" customWidth="1"/>
    <col min="5656" max="5656" width="14.140625" customWidth="1"/>
    <col min="5889" max="5889" width="1.85546875" customWidth="1"/>
    <col min="5890" max="5890" width="3.7109375" customWidth="1"/>
    <col min="5891" max="5891" width="20" customWidth="1"/>
    <col min="5892" max="5892" width="13.42578125" customWidth="1"/>
    <col min="5893" max="5893" width="11.42578125" customWidth="1"/>
    <col min="5894" max="5894" width="12" customWidth="1"/>
    <col min="5895" max="5895" width="13.7109375" customWidth="1"/>
    <col min="5896" max="5896" width="14" customWidth="1"/>
    <col min="5897" max="5897" width="16.140625" customWidth="1"/>
    <col min="5898" max="5898" width="14.42578125" customWidth="1"/>
    <col min="5899" max="5899" width="13.7109375" customWidth="1"/>
    <col min="5900" max="5900" width="2.85546875" customWidth="1"/>
    <col min="5901" max="5901" width="3.28515625" customWidth="1"/>
    <col min="5902" max="5902" width="15.140625" customWidth="1"/>
    <col min="5903" max="5903" width="15.7109375" customWidth="1"/>
    <col min="5904" max="5904" width="14.42578125" customWidth="1"/>
    <col min="5905" max="5905" width="15.140625" customWidth="1"/>
    <col min="5906" max="5906" width="14.140625" customWidth="1"/>
    <col min="5907" max="5907" width="2.7109375" customWidth="1"/>
    <col min="5908" max="5908" width="15.140625" customWidth="1"/>
    <col min="5909" max="5909" width="14.140625" customWidth="1"/>
    <col min="5910" max="5910" width="2.5703125" customWidth="1"/>
    <col min="5911" max="5911" width="15.140625" customWidth="1"/>
    <col min="5912" max="5912" width="14.140625" customWidth="1"/>
    <col min="6145" max="6145" width="1.85546875" customWidth="1"/>
    <col min="6146" max="6146" width="3.7109375" customWidth="1"/>
    <col min="6147" max="6147" width="20" customWidth="1"/>
    <col min="6148" max="6148" width="13.42578125" customWidth="1"/>
    <col min="6149" max="6149" width="11.42578125" customWidth="1"/>
    <col min="6150" max="6150" width="12" customWidth="1"/>
    <col min="6151" max="6151" width="13.7109375" customWidth="1"/>
    <col min="6152" max="6152" width="14" customWidth="1"/>
    <col min="6153" max="6153" width="16.140625" customWidth="1"/>
    <col min="6154" max="6154" width="14.42578125" customWidth="1"/>
    <col min="6155" max="6155" width="13.7109375" customWidth="1"/>
    <col min="6156" max="6156" width="2.85546875" customWidth="1"/>
    <col min="6157" max="6157" width="3.28515625" customWidth="1"/>
    <col min="6158" max="6158" width="15.140625" customWidth="1"/>
    <col min="6159" max="6159" width="15.7109375" customWidth="1"/>
    <col min="6160" max="6160" width="14.42578125" customWidth="1"/>
    <col min="6161" max="6161" width="15.140625" customWidth="1"/>
    <col min="6162" max="6162" width="14.140625" customWidth="1"/>
    <col min="6163" max="6163" width="2.7109375" customWidth="1"/>
    <col min="6164" max="6164" width="15.140625" customWidth="1"/>
    <col min="6165" max="6165" width="14.140625" customWidth="1"/>
    <col min="6166" max="6166" width="2.5703125" customWidth="1"/>
    <col min="6167" max="6167" width="15.140625" customWidth="1"/>
    <col min="6168" max="6168" width="14.140625" customWidth="1"/>
    <col min="6401" max="6401" width="1.85546875" customWidth="1"/>
    <col min="6402" max="6402" width="3.7109375" customWidth="1"/>
    <col min="6403" max="6403" width="20" customWidth="1"/>
    <col min="6404" max="6404" width="13.42578125" customWidth="1"/>
    <col min="6405" max="6405" width="11.42578125" customWidth="1"/>
    <col min="6406" max="6406" width="12" customWidth="1"/>
    <col min="6407" max="6407" width="13.7109375" customWidth="1"/>
    <col min="6408" max="6408" width="14" customWidth="1"/>
    <col min="6409" max="6409" width="16.140625" customWidth="1"/>
    <col min="6410" max="6410" width="14.42578125" customWidth="1"/>
    <col min="6411" max="6411" width="13.7109375" customWidth="1"/>
    <col min="6412" max="6412" width="2.85546875" customWidth="1"/>
    <col min="6413" max="6413" width="3.28515625" customWidth="1"/>
    <col min="6414" max="6414" width="15.140625" customWidth="1"/>
    <col min="6415" max="6415" width="15.7109375" customWidth="1"/>
    <col min="6416" max="6416" width="14.42578125" customWidth="1"/>
    <col min="6417" max="6417" width="15.140625" customWidth="1"/>
    <col min="6418" max="6418" width="14.140625" customWidth="1"/>
    <col min="6419" max="6419" width="2.7109375" customWidth="1"/>
    <col min="6420" max="6420" width="15.140625" customWidth="1"/>
    <col min="6421" max="6421" width="14.140625" customWidth="1"/>
    <col min="6422" max="6422" width="2.5703125" customWidth="1"/>
    <col min="6423" max="6423" width="15.140625" customWidth="1"/>
    <col min="6424" max="6424" width="14.140625" customWidth="1"/>
    <col min="6657" max="6657" width="1.85546875" customWidth="1"/>
    <col min="6658" max="6658" width="3.7109375" customWidth="1"/>
    <col min="6659" max="6659" width="20" customWidth="1"/>
    <col min="6660" max="6660" width="13.42578125" customWidth="1"/>
    <col min="6661" max="6661" width="11.42578125" customWidth="1"/>
    <col min="6662" max="6662" width="12" customWidth="1"/>
    <col min="6663" max="6663" width="13.7109375" customWidth="1"/>
    <col min="6664" max="6664" width="14" customWidth="1"/>
    <col min="6665" max="6665" width="16.140625" customWidth="1"/>
    <col min="6666" max="6666" width="14.42578125" customWidth="1"/>
    <col min="6667" max="6667" width="13.7109375" customWidth="1"/>
    <col min="6668" max="6668" width="2.85546875" customWidth="1"/>
    <col min="6669" max="6669" width="3.28515625" customWidth="1"/>
    <col min="6670" max="6670" width="15.140625" customWidth="1"/>
    <col min="6671" max="6671" width="15.7109375" customWidth="1"/>
    <col min="6672" max="6672" width="14.42578125" customWidth="1"/>
    <col min="6673" max="6673" width="15.140625" customWidth="1"/>
    <col min="6674" max="6674" width="14.140625" customWidth="1"/>
    <col min="6675" max="6675" width="2.7109375" customWidth="1"/>
    <col min="6676" max="6676" width="15.140625" customWidth="1"/>
    <col min="6677" max="6677" width="14.140625" customWidth="1"/>
    <col min="6678" max="6678" width="2.5703125" customWidth="1"/>
    <col min="6679" max="6679" width="15.140625" customWidth="1"/>
    <col min="6680" max="6680" width="14.140625" customWidth="1"/>
    <col min="6913" max="6913" width="1.85546875" customWidth="1"/>
    <col min="6914" max="6914" width="3.7109375" customWidth="1"/>
    <col min="6915" max="6915" width="20" customWidth="1"/>
    <col min="6916" max="6916" width="13.42578125" customWidth="1"/>
    <col min="6917" max="6917" width="11.42578125" customWidth="1"/>
    <col min="6918" max="6918" width="12" customWidth="1"/>
    <col min="6919" max="6919" width="13.7109375" customWidth="1"/>
    <col min="6920" max="6920" width="14" customWidth="1"/>
    <col min="6921" max="6921" width="16.140625" customWidth="1"/>
    <col min="6922" max="6922" width="14.42578125" customWidth="1"/>
    <col min="6923" max="6923" width="13.7109375" customWidth="1"/>
    <col min="6924" max="6924" width="2.85546875" customWidth="1"/>
    <col min="6925" max="6925" width="3.28515625" customWidth="1"/>
    <col min="6926" max="6926" width="15.140625" customWidth="1"/>
    <col min="6927" max="6927" width="15.7109375" customWidth="1"/>
    <col min="6928" max="6928" width="14.42578125" customWidth="1"/>
    <col min="6929" max="6929" width="15.140625" customWidth="1"/>
    <col min="6930" max="6930" width="14.140625" customWidth="1"/>
    <col min="6931" max="6931" width="2.7109375" customWidth="1"/>
    <col min="6932" max="6932" width="15.140625" customWidth="1"/>
    <col min="6933" max="6933" width="14.140625" customWidth="1"/>
    <col min="6934" max="6934" width="2.5703125" customWidth="1"/>
    <col min="6935" max="6935" width="15.140625" customWidth="1"/>
    <col min="6936" max="6936" width="14.140625" customWidth="1"/>
    <col min="7169" max="7169" width="1.85546875" customWidth="1"/>
    <col min="7170" max="7170" width="3.7109375" customWidth="1"/>
    <col min="7171" max="7171" width="20" customWidth="1"/>
    <col min="7172" max="7172" width="13.42578125" customWidth="1"/>
    <col min="7173" max="7173" width="11.42578125" customWidth="1"/>
    <col min="7174" max="7174" width="12" customWidth="1"/>
    <col min="7175" max="7175" width="13.7109375" customWidth="1"/>
    <col min="7176" max="7176" width="14" customWidth="1"/>
    <col min="7177" max="7177" width="16.140625" customWidth="1"/>
    <col min="7178" max="7178" width="14.42578125" customWidth="1"/>
    <col min="7179" max="7179" width="13.7109375" customWidth="1"/>
    <col min="7180" max="7180" width="2.85546875" customWidth="1"/>
    <col min="7181" max="7181" width="3.28515625" customWidth="1"/>
    <col min="7182" max="7182" width="15.140625" customWidth="1"/>
    <col min="7183" max="7183" width="15.7109375" customWidth="1"/>
    <col min="7184" max="7184" width="14.42578125" customWidth="1"/>
    <col min="7185" max="7185" width="15.140625" customWidth="1"/>
    <col min="7186" max="7186" width="14.140625" customWidth="1"/>
    <col min="7187" max="7187" width="2.7109375" customWidth="1"/>
    <col min="7188" max="7188" width="15.140625" customWidth="1"/>
    <col min="7189" max="7189" width="14.140625" customWidth="1"/>
    <col min="7190" max="7190" width="2.5703125" customWidth="1"/>
    <col min="7191" max="7191" width="15.140625" customWidth="1"/>
    <col min="7192" max="7192" width="14.140625" customWidth="1"/>
    <col min="7425" max="7425" width="1.85546875" customWidth="1"/>
    <col min="7426" max="7426" width="3.7109375" customWidth="1"/>
    <col min="7427" max="7427" width="20" customWidth="1"/>
    <col min="7428" max="7428" width="13.42578125" customWidth="1"/>
    <col min="7429" max="7429" width="11.42578125" customWidth="1"/>
    <col min="7430" max="7430" width="12" customWidth="1"/>
    <col min="7431" max="7431" width="13.7109375" customWidth="1"/>
    <col min="7432" max="7432" width="14" customWidth="1"/>
    <col min="7433" max="7433" width="16.140625" customWidth="1"/>
    <col min="7434" max="7434" width="14.42578125" customWidth="1"/>
    <col min="7435" max="7435" width="13.7109375" customWidth="1"/>
    <col min="7436" max="7436" width="2.85546875" customWidth="1"/>
    <col min="7437" max="7437" width="3.28515625" customWidth="1"/>
    <col min="7438" max="7438" width="15.140625" customWidth="1"/>
    <col min="7439" max="7439" width="15.7109375" customWidth="1"/>
    <col min="7440" max="7440" width="14.42578125" customWidth="1"/>
    <col min="7441" max="7441" width="15.140625" customWidth="1"/>
    <col min="7442" max="7442" width="14.140625" customWidth="1"/>
    <col min="7443" max="7443" width="2.7109375" customWidth="1"/>
    <col min="7444" max="7444" width="15.140625" customWidth="1"/>
    <col min="7445" max="7445" width="14.140625" customWidth="1"/>
    <col min="7446" max="7446" width="2.5703125" customWidth="1"/>
    <col min="7447" max="7447" width="15.140625" customWidth="1"/>
    <col min="7448" max="7448" width="14.140625" customWidth="1"/>
    <col min="7681" max="7681" width="1.85546875" customWidth="1"/>
    <col min="7682" max="7682" width="3.7109375" customWidth="1"/>
    <col min="7683" max="7683" width="20" customWidth="1"/>
    <col min="7684" max="7684" width="13.42578125" customWidth="1"/>
    <col min="7685" max="7685" width="11.42578125" customWidth="1"/>
    <col min="7686" max="7686" width="12" customWidth="1"/>
    <col min="7687" max="7687" width="13.7109375" customWidth="1"/>
    <col min="7688" max="7688" width="14" customWidth="1"/>
    <col min="7689" max="7689" width="16.140625" customWidth="1"/>
    <col min="7690" max="7690" width="14.42578125" customWidth="1"/>
    <col min="7691" max="7691" width="13.7109375" customWidth="1"/>
    <col min="7692" max="7692" width="2.85546875" customWidth="1"/>
    <col min="7693" max="7693" width="3.28515625" customWidth="1"/>
    <col min="7694" max="7694" width="15.140625" customWidth="1"/>
    <col min="7695" max="7695" width="15.7109375" customWidth="1"/>
    <col min="7696" max="7696" width="14.42578125" customWidth="1"/>
    <col min="7697" max="7697" width="15.140625" customWidth="1"/>
    <col min="7698" max="7698" width="14.140625" customWidth="1"/>
    <col min="7699" max="7699" width="2.7109375" customWidth="1"/>
    <col min="7700" max="7700" width="15.140625" customWidth="1"/>
    <col min="7701" max="7701" width="14.140625" customWidth="1"/>
    <col min="7702" max="7702" width="2.5703125" customWidth="1"/>
    <col min="7703" max="7703" width="15.140625" customWidth="1"/>
    <col min="7704" max="7704" width="14.140625" customWidth="1"/>
    <col min="7937" max="7937" width="1.85546875" customWidth="1"/>
    <col min="7938" max="7938" width="3.7109375" customWidth="1"/>
    <col min="7939" max="7939" width="20" customWidth="1"/>
    <col min="7940" max="7940" width="13.42578125" customWidth="1"/>
    <col min="7941" max="7941" width="11.42578125" customWidth="1"/>
    <col min="7942" max="7942" width="12" customWidth="1"/>
    <col min="7943" max="7943" width="13.7109375" customWidth="1"/>
    <col min="7944" max="7944" width="14" customWidth="1"/>
    <col min="7945" max="7945" width="16.140625" customWidth="1"/>
    <col min="7946" max="7946" width="14.42578125" customWidth="1"/>
    <col min="7947" max="7947" width="13.7109375" customWidth="1"/>
    <col min="7948" max="7948" width="2.85546875" customWidth="1"/>
    <col min="7949" max="7949" width="3.28515625" customWidth="1"/>
    <col min="7950" max="7950" width="15.140625" customWidth="1"/>
    <col min="7951" max="7951" width="15.7109375" customWidth="1"/>
    <col min="7952" max="7952" width="14.42578125" customWidth="1"/>
    <col min="7953" max="7953" width="15.140625" customWidth="1"/>
    <col min="7954" max="7954" width="14.140625" customWidth="1"/>
    <col min="7955" max="7955" width="2.7109375" customWidth="1"/>
    <col min="7956" max="7956" width="15.140625" customWidth="1"/>
    <col min="7957" max="7957" width="14.140625" customWidth="1"/>
    <col min="7958" max="7958" width="2.5703125" customWidth="1"/>
    <col min="7959" max="7959" width="15.140625" customWidth="1"/>
    <col min="7960" max="7960" width="14.140625" customWidth="1"/>
    <col min="8193" max="8193" width="1.85546875" customWidth="1"/>
    <col min="8194" max="8194" width="3.7109375" customWidth="1"/>
    <col min="8195" max="8195" width="20" customWidth="1"/>
    <col min="8196" max="8196" width="13.42578125" customWidth="1"/>
    <col min="8197" max="8197" width="11.42578125" customWidth="1"/>
    <col min="8198" max="8198" width="12" customWidth="1"/>
    <col min="8199" max="8199" width="13.7109375" customWidth="1"/>
    <col min="8200" max="8200" width="14" customWidth="1"/>
    <col min="8201" max="8201" width="16.140625" customWidth="1"/>
    <col min="8202" max="8202" width="14.42578125" customWidth="1"/>
    <col min="8203" max="8203" width="13.7109375" customWidth="1"/>
    <col min="8204" max="8204" width="2.85546875" customWidth="1"/>
    <col min="8205" max="8205" width="3.28515625" customWidth="1"/>
    <col min="8206" max="8206" width="15.140625" customWidth="1"/>
    <col min="8207" max="8207" width="15.7109375" customWidth="1"/>
    <col min="8208" max="8208" width="14.42578125" customWidth="1"/>
    <col min="8209" max="8209" width="15.140625" customWidth="1"/>
    <col min="8210" max="8210" width="14.140625" customWidth="1"/>
    <col min="8211" max="8211" width="2.7109375" customWidth="1"/>
    <col min="8212" max="8212" width="15.140625" customWidth="1"/>
    <col min="8213" max="8213" width="14.140625" customWidth="1"/>
    <col min="8214" max="8214" width="2.5703125" customWidth="1"/>
    <col min="8215" max="8215" width="15.140625" customWidth="1"/>
    <col min="8216" max="8216" width="14.140625" customWidth="1"/>
    <col min="8449" max="8449" width="1.85546875" customWidth="1"/>
    <col min="8450" max="8450" width="3.7109375" customWidth="1"/>
    <col min="8451" max="8451" width="20" customWidth="1"/>
    <col min="8452" max="8452" width="13.42578125" customWidth="1"/>
    <col min="8453" max="8453" width="11.42578125" customWidth="1"/>
    <col min="8454" max="8454" width="12" customWidth="1"/>
    <col min="8455" max="8455" width="13.7109375" customWidth="1"/>
    <col min="8456" max="8456" width="14" customWidth="1"/>
    <col min="8457" max="8457" width="16.140625" customWidth="1"/>
    <col min="8458" max="8458" width="14.42578125" customWidth="1"/>
    <col min="8459" max="8459" width="13.7109375" customWidth="1"/>
    <col min="8460" max="8460" width="2.85546875" customWidth="1"/>
    <col min="8461" max="8461" width="3.28515625" customWidth="1"/>
    <col min="8462" max="8462" width="15.140625" customWidth="1"/>
    <col min="8463" max="8463" width="15.7109375" customWidth="1"/>
    <col min="8464" max="8464" width="14.42578125" customWidth="1"/>
    <col min="8465" max="8465" width="15.140625" customWidth="1"/>
    <col min="8466" max="8466" width="14.140625" customWidth="1"/>
    <col min="8467" max="8467" width="2.7109375" customWidth="1"/>
    <col min="8468" max="8468" width="15.140625" customWidth="1"/>
    <col min="8469" max="8469" width="14.140625" customWidth="1"/>
    <col min="8470" max="8470" width="2.5703125" customWidth="1"/>
    <col min="8471" max="8471" width="15.140625" customWidth="1"/>
    <col min="8472" max="8472" width="14.140625" customWidth="1"/>
    <col min="8705" max="8705" width="1.85546875" customWidth="1"/>
    <col min="8706" max="8706" width="3.7109375" customWidth="1"/>
    <col min="8707" max="8707" width="20" customWidth="1"/>
    <col min="8708" max="8708" width="13.42578125" customWidth="1"/>
    <col min="8709" max="8709" width="11.42578125" customWidth="1"/>
    <col min="8710" max="8710" width="12" customWidth="1"/>
    <col min="8711" max="8711" width="13.7109375" customWidth="1"/>
    <col min="8712" max="8712" width="14" customWidth="1"/>
    <col min="8713" max="8713" width="16.140625" customWidth="1"/>
    <col min="8714" max="8714" width="14.42578125" customWidth="1"/>
    <col min="8715" max="8715" width="13.7109375" customWidth="1"/>
    <col min="8716" max="8716" width="2.85546875" customWidth="1"/>
    <col min="8717" max="8717" width="3.28515625" customWidth="1"/>
    <col min="8718" max="8718" width="15.140625" customWidth="1"/>
    <col min="8719" max="8719" width="15.7109375" customWidth="1"/>
    <col min="8720" max="8720" width="14.42578125" customWidth="1"/>
    <col min="8721" max="8721" width="15.140625" customWidth="1"/>
    <col min="8722" max="8722" width="14.140625" customWidth="1"/>
    <col min="8723" max="8723" width="2.7109375" customWidth="1"/>
    <col min="8724" max="8724" width="15.140625" customWidth="1"/>
    <col min="8725" max="8725" width="14.140625" customWidth="1"/>
    <col min="8726" max="8726" width="2.5703125" customWidth="1"/>
    <col min="8727" max="8727" width="15.140625" customWidth="1"/>
    <col min="8728" max="8728" width="14.140625" customWidth="1"/>
    <col min="8961" max="8961" width="1.85546875" customWidth="1"/>
    <col min="8962" max="8962" width="3.7109375" customWidth="1"/>
    <col min="8963" max="8963" width="20" customWidth="1"/>
    <col min="8964" max="8964" width="13.42578125" customWidth="1"/>
    <col min="8965" max="8965" width="11.42578125" customWidth="1"/>
    <col min="8966" max="8966" width="12" customWidth="1"/>
    <col min="8967" max="8967" width="13.7109375" customWidth="1"/>
    <col min="8968" max="8968" width="14" customWidth="1"/>
    <col min="8969" max="8969" width="16.140625" customWidth="1"/>
    <col min="8970" max="8970" width="14.42578125" customWidth="1"/>
    <col min="8971" max="8971" width="13.7109375" customWidth="1"/>
    <col min="8972" max="8972" width="2.85546875" customWidth="1"/>
    <col min="8973" max="8973" width="3.28515625" customWidth="1"/>
    <col min="8974" max="8974" width="15.140625" customWidth="1"/>
    <col min="8975" max="8975" width="15.7109375" customWidth="1"/>
    <col min="8976" max="8976" width="14.42578125" customWidth="1"/>
    <col min="8977" max="8977" width="15.140625" customWidth="1"/>
    <col min="8978" max="8978" width="14.140625" customWidth="1"/>
    <col min="8979" max="8979" width="2.7109375" customWidth="1"/>
    <col min="8980" max="8980" width="15.140625" customWidth="1"/>
    <col min="8981" max="8981" width="14.140625" customWidth="1"/>
    <col min="8982" max="8982" width="2.5703125" customWidth="1"/>
    <col min="8983" max="8983" width="15.140625" customWidth="1"/>
    <col min="8984" max="8984" width="14.140625" customWidth="1"/>
    <col min="9217" max="9217" width="1.85546875" customWidth="1"/>
    <col min="9218" max="9218" width="3.7109375" customWidth="1"/>
    <col min="9219" max="9219" width="20" customWidth="1"/>
    <col min="9220" max="9220" width="13.42578125" customWidth="1"/>
    <col min="9221" max="9221" width="11.42578125" customWidth="1"/>
    <col min="9222" max="9222" width="12" customWidth="1"/>
    <col min="9223" max="9223" width="13.7109375" customWidth="1"/>
    <col min="9224" max="9224" width="14" customWidth="1"/>
    <col min="9225" max="9225" width="16.140625" customWidth="1"/>
    <col min="9226" max="9226" width="14.42578125" customWidth="1"/>
    <col min="9227" max="9227" width="13.7109375" customWidth="1"/>
    <col min="9228" max="9228" width="2.85546875" customWidth="1"/>
    <col min="9229" max="9229" width="3.28515625" customWidth="1"/>
    <col min="9230" max="9230" width="15.140625" customWidth="1"/>
    <col min="9231" max="9231" width="15.7109375" customWidth="1"/>
    <col min="9232" max="9232" width="14.42578125" customWidth="1"/>
    <col min="9233" max="9233" width="15.140625" customWidth="1"/>
    <col min="9234" max="9234" width="14.140625" customWidth="1"/>
    <col min="9235" max="9235" width="2.7109375" customWidth="1"/>
    <col min="9236" max="9236" width="15.140625" customWidth="1"/>
    <col min="9237" max="9237" width="14.140625" customWidth="1"/>
    <col min="9238" max="9238" width="2.5703125" customWidth="1"/>
    <col min="9239" max="9239" width="15.140625" customWidth="1"/>
    <col min="9240" max="9240" width="14.140625" customWidth="1"/>
    <col min="9473" max="9473" width="1.85546875" customWidth="1"/>
    <col min="9474" max="9474" width="3.7109375" customWidth="1"/>
    <col min="9475" max="9475" width="20" customWidth="1"/>
    <col min="9476" max="9476" width="13.42578125" customWidth="1"/>
    <col min="9477" max="9477" width="11.42578125" customWidth="1"/>
    <col min="9478" max="9478" width="12" customWidth="1"/>
    <col min="9479" max="9479" width="13.7109375" customWidth="1"/>
    <col min="9480" max="9480" width="14" customWidth="1"/>
    <col min="9481" max="9481" width="16.140625" customWidth="1"/>
    <col min="9482" max="9482" width="14.42578125" customWidth="1"/>
    <col min="9483" max="9483" width="13.7109375" customWidth="1"/>
    <col min="9484" max="9484" width="2.85546875" customWidth="1"/>
    <col min="9485" max="9485" width="3.28515625" customWidth="1"/>
    <col min="9486" max="9486" width="15.140625" customWidth="1"/>
    <col min="9487" max="9487" width="15.7109375" customWidth="1"/>
    <col min="9488" max="9488" width="14.42578125" customWidth="1"/>
    <col min="9489" max="9489" width="15.140625" customWidth="1"/>
    <col min="9490" max="9490" width="14.140625" customWidth="1"/>
    <col min="9491" max="9491" width="2.7109375" customWidth="1"/>
    <col min="9492" max="9492" width="15.140625" customWidth="1"/>
    <col min="9493" max="9493" width="14.140625" customWidth="1"/>
    <col min="9494" max="9494" width="2.5703125" customWidth="1"/>
    <col min="9495" max="9495" width="15.140625" customWidth="1"/>
    <col min="9496" max="9496" width="14.140625" customWidth="1"/>
    <col min="9729" max="9729" width="1.85546875" customWidth="1"/>
    <col min="9730" max="9730" width="3.7109375" customWidth="1"/>
    <col min="9731" max="9731" width="20" customWidth="1"/>
    <col min="9732" max="9732" width="13.42578125" customWidth="1"/>
    <col min="9733" max="9733" width="11.42578125" customWidth="1"/>
    <col min="9734" max="9734" width="12" customWidth="1"/>
    <col min="9735" max="9735" width="13.7109375" customWidth="1"/>
    <col min="9736" max="9736" width="14" customWidth="1"/>
    <col min="9737" max="9737" width="16.140625" customWidth="1"/>
    <col min="9738" max="9738" width="14.42578125" customWidth="1"/>
    <col min="9739" max="9739" width="13.7109375" customWidth="1"/>
    <col min="9740" max="9740" width="2.85546875" customWidth="1"/>
    <col min="9741" max="9741" width="3.28515625" customWidth="1"/>
    <col min="9742" max="9742" width="15.140625" customWidth="1"/>
    <col min="9743" max="9743" width="15.7109375" customWidth="1"/>
    <col min="9744" max="9744" width="14.42578125" customWidth="1"/>
    <col min="9745" max="9745" width="15.140625" customWidth="1"/>
    <col min="9746" max="9746" width="14.140625" customWidth="1"/>
    <col min="9747" max="9747" width="2.7109375" customWidth="1"/>
    <col min="9748" max="9748" width="15.140625" customWidth="1"/>
    <col min="9749" max="9749" width="14.140625" customWidth="1"/>
    <col min="9750" max="9750" width="2.5703125" customWidth="1"/>
    <col min="9751" max="9751" width="15.140625" customWidth="1"/>
    <col min="9752" max="9752" width="14.140625" customWidth="1"/>
    <col min="9985" max="9985" width="1.85546875" customWidth="1"/>
    <col min="9986" max="9986" width="3.7109375" customWidth="1"/>
    <col min="9987" max="9987" width="20" customWidth="1"/>
    <col min="9988" max="9988" width="13.42578125" customWidth="1"/>
    <col min="9989" max="9989" width="11.42578125" customWidth="1"/>
    <col min="9990" max="9990" width="12" customWidth="1"/>
    <col min="9991" max="9991" width="13.7109375" customWidth="1"/>
    <col min="9992" max="9992" width="14" customWidth="1"/>
    <col min="9993" max="9993" width="16.140625" customWidth="1"/>
    <col min="9994" max="9994" width="14.42578125" customWidth="1"/>
    <col min="9995" max="9995" width="13.7109375" customWidth="1"/>
    <col min="9996" max="9996" width="2.85546875" customWidth="1"/>
    <col min="9997" max="9997" width="3.28515625" customWidth="1"/>
    <col min="9998" max="9998" width="15.140625" customWidth="1"/>
    <col min="9999" max="9999" width="15.7109375" customWidth="1"/>
    <col min="10000" max="10000" width="14.42578125" customWidth="1"/>
    <col min="10001" max="10001" width="15.140625" customWidth="1"/>
    <col min="10002" max="10002" width="14.140625" customWidth="1"/>
    <col min="10003" max="10003" width="2.7109375" customWidth="1"/>
    <col min="10004" max="10004" width="15.140625" customWidth="1"/>
    <col min="10005" max="10005" width="14.140625" customWidth="1"/>
    <col min="10006" max="10006" width="2.5703125" customWidth="1"/>
    <col min="10007" max="10007" width="15.140625" customWidth="1"/>
    <col min="10008" max="10008" width="14.140625" customWidth="1"/>
    <col min="10241" max="10241" width="1.85546875" customWidth="1"/>
    <col min="10242" max="10242" width="3.7109375" customWidth="1"/>
    <col min="10243" max="10243" width="20" customWidth="1"/>
    <col min="10244" max="10244" width="13.42578125" customWidth="1"/>
    <col min="10245" max="10245" width="11.42578125" customWidth="1"/>
    <col min="10246" max="10246" width="12" customWidth="1"/>
    <col min="10247" max="10247" width="13.7109375" customWidth="1"/>
    <col min="10248" max="10248" width="14" customWidth="1"/>
    <col min="10249" max="10249" width="16.140625" customWidth="1"/>
    <col min="10250" max="10250" width="14.42578125" customWidth="1"/>
    <col min="10251" max="10251" width="13.7109375" customWidth="1"/>
    <col min="10252" max="10252" width="2.85546875" customWidth="1"/>
    <col min="10253" max="10253" width="3.28515625" customWidth="1"/>
    <col min="10254" max="10254" width="15.140625" customWidth="1"/>
    <col min="10255" max="10255" width="15.7109375" customWidth="1"/>
    <col min="10256" max="10256" width="14.42578125" customWidth="1"/>
    <col min="10257" max="10257" width="15.140625" customWidth="1"/>
    <col min="10258" max="10258" width="14.140625" customWidth="1"/>
    <col min="10259" max="10259" width="2.7109375" customWidth="1"/>
    <col min="10260" max="10260" width="15.140625" customWidth="1"/>
    <col min="10261" max="10261" width="14.140625" customWidth="1"/>
    <col min="10262" max="10262" width="2.5703125" customWidth="1"/>
    <col min="10263" max="10263" width="15.140625" customWidth="1"/>
    <col min="10264" max="10264" width="14.140625" customWidth="1"/>
    <col min="10497" max="10497" width="1.85546875" customWidth="1"/>
    <col min="10498" max="10498" width="3.7109375" customWidth="1"/>
    <col min="10499" max="10499" width="20" customWidth="1"/>
    <col min="10500" max="10500" width="13.42578125" customWidth="1"/>
    <col min="10501" max="10501" width="11.42578125" customWidth="1"/>
    <col min="10502" max="10502" width="12" customWidth="1"/>
    <col min="10503" max="10503" width="13.7109375" customWidth="1"/>
    <col min="10504" max="10504" width="14" customWidth="1"/>
    <col min="10505" max="10505" width="16.140625" customWidth="1"/>
    <col min="10506" max="10506" width="14.42578125" customWidth="1"/>
    <col min="10507" max="10507" width="13.7109375" customWidth="1"/>
    <col min="10508" max="10508" width="2.85546875" customWidth="1"/>
    <col min="10509" max="10509" width="3.28515625" customWidth="1"/>
    <col min="10510" max="10510" width="15.140625" customWidth="1"/>
    <col min="10511" max="10511" width="15.7109375" customWidth="1"/>
    <col min="10512" max="10512" width="14.42578125" customWidth="1"/>
    <col min="10513" max="10513" width="15.140625" customWidth="1"/>
    <col min="10514" max="10514" width="14.140625" customWidth="1"/>
    <col min="10515" max="10515" width="2.7109375" customWidth="1"/>
    <col min="10516" max="10516" width="15.140625" customWidth="1"/>
    <col min="10517" max="10517" width="14.140625" customWidth="1"/>
    <col min="10518" max="10518" width="2.5703125" customWidth="1"/>
    <col min="10519" max="10519" width="15.140625" customWidth="1"/>
    <col min="10520" max="10520" width="14.140625" customWidth="1"/>
    <col min="10753" max="10753" width="1.85546875" customWidth="1"/>
    <col min="10754" max="10754" width="3.7109375" customWidth="1"/>
    <col min="10755" max="10755" width="20" customWidth="1"/>
    <col min="10756" max="10756" width="13.42578125" customWidth="1"/>
    <col min="10757" max="10757" width="11.42578125" customWidth="1"/>
    <col min="10758" max="10758" width="12" customWidth="1"/>
    <col min="10759" max="10759" width="13.7109375" customWidth="1"/>
    <col min="10760" max="10760" width="14" customWidth="1"/>
    <col min="10761" max="10761" width="16.140625" customWidth="1"/>
    <col min="10762" max="10762" width="14.42578125" customWidth="1"/>
    <col min="10763" max="10763" width="13.7109375" customWidth="1"/>
    <col min="10764" max="10764" width="2.85546875" customWidth="1"/>
    <col min="10765" max="10765" width="3.28515625" customWidth="1"/>
    <col min="10766" max="10766" width="15.140625" customWidth="1"/>
    <col min="10767" max="10767" width="15.7109375" customWidth="1"/>
    <col min="10768" max="10768" width="14.42578125" customWidth="1"/>
    <col min="10769" max="10769" width="15.140625" customWidth="1"/>
    <col min="10770" max="10770" width="14.140625" customWidth="1"/>
    <col min="10771" max="10771" width="2.7109375" customWidth="1"/>
    <col min="10772" max="10772" width="15.140625" customWidth="1"/>
    <col min="10773" max="10773" width="14.140625" customWidth="1"/>
    <col min="10774" max="10774" width="2.5703125" customWidth="1"/>
    <col min="10775" max="10775" width="15.140625" customWidth="1"/>
    <col min="10776" max="10776" width="14.140625" customWidth="1"/>
    <col min="11009" max="11009" width="1.85546875" customWidth="1"/>
    <col min="11010" max="11010" width="3.7109375" customWidth="1"/>
    <col min="11011" max="11011" width="20" customWidth="1"/>
    <col min="11012" max="11012" width="13.42578125" customWidth="1"/>
    <col min="11013" max="11013" width="11.42578125" customWidth="1"/>
    <col min="11014" max="11014" width="12" customWidth="1"/>
    <col min="11015" max="11015" width="13.7109375" customWidth="1"/>
    <col min="11016" max="11016" width="14" customWidth="1"/>
    <col min="11017" max="11017" width="16.140625" customWidth="1"/>
    <col min="11018" max="11018" width="14.42578125" customWidth="1"/>
    <col min="11019" max="11019" width="13.7109375" customWidth="1"/>
    <col min="11020" max="11020" width="2.85546875" customWidth="1"/>
    <col min="11021" max="11021" width="3.28515625" customWidth="1"/>
    <col min="11022" max="11022" width="15.140625" customWidth="1"/>
    <col min="11023" max="11023" width="15.7109375" customWidth="1"/>
    <col min="11024" max="11024" width="14.42578125" customWidth="1"/>
    <col min="11025" max="11025" width="15.140625" customWidth="1"/>
    <col min="11026" max="11026" width="14.140625" customWidth="1"/>
    <col min="11027" max="11027" width="2.7109375" customWidth="1"/>
    <col min="11028" max="11028" width="15.140625" customWidth="1"/>
    <col min="11029" max="11029" width="14.140625" customWidth="1"/>
    <col min="11030" max="11030" width="2.5703125" customWidth="1"/>
    <col min="11031" max="11031" width="15.140625" customWidth="1"/>
    <col min="11032" max="11032" width="14.140625" customWidth="1"/>
    <col min="11265" max="11265" width="1.85546875" customWidth="1"/>
    <col min="11266" max="11266" width="3.7109375" customWidth="1"/>
    <col min="11267" max="11267" width="20" customWidth="1"/>
    <col min="11268" max="11268" width="13.42578125" customWidth="1"/>
    <col min="11269" max="11269" width="11.42578125" customWidth="1"/>
    <col min="11270" max="11270" width="12" customWidth="1"/>
    <col min="11271" max="11271" width="13.7109375" customWidth="1"/>
    <col min="11272" max="11272" width="14" customWidth="1"/>
    <col min="11273" max="11273" width="16.140625" customWidth="1"/>
    <col min="11274" max="11274" width="14.42578125" customWidth="1"/>
    <col min="11275" max="11275" width="13.7109375" customWidth="1"/>
    <col min="11276" max="11276" width="2.85546875" customWidth="1"/>
    <col min="11277" max="11277" width="3.28515625" customWidth="1"/>
    <col min="11278" max="11278" width="15.140625" customWidth="1"/>
    <col min="11279" max="11279" width="15.7109375" customWidth="1"/>
    <col min="11280" max="11280" width="14.42578125" customWidth="1"/>
    <col min="11281" max="11281" width="15.140625" customWidth="1"/>
    <col min="11282" max="11282" width="14.140625" customWidth="1"/>
    <col min="11283" max="11283" width="2.7109375" customWidth="1"/>
    <col min="11284" max="11284" width="15.140625" customWidth="1"/>
    <col min="11285" max="11285" width="14.140625" customWidth="1"/>
    <col min="11286" max="11286" width="2.5703125" customWidth="1"/>
    <col min="11287" max="11287" width="15.140625" customWidth="1"/>
    <col min="11288" max="11288" width="14.140625" customWidth="1"/>
    <col min="11521" max="11521" width="1.85546875" customWidth="1"/>
    <col min="11522" max="11522" width="3.7109375" customWidth="1"/>
    <col min="11523" max="11523" width="20" customWidth="1"/>
    <col min="11524" max="11524" width="13.42578125" customWidth="1"/>
    <col min="11525" max="11525" width="11.42578125" customWidth="1"/>
    <col min="11526" max="11526" width="12" customWidth="1"/>
    <col min="11527" max="11527" width="13.7109375" customWidth="1"/>
    <col min="11528" max="11528" width="14" customWidth="1"/>
    <col min="11529" max="11529" width="16.140625" customWidth="1"/>
    <col min="11530" max="11530" width="14.42578125" customWidth="1"/>
    <col min="11531" max="11531" width="13.7109375" customWidth="1"/>
    <col min="11532" max="11532" width="2.85546875" customWidth="1"/>
    <col min="11533" max="11533" width="3.28515625" customWidth="1"/>
    <col min="11534" max="11534" width="15.140625" customWidth="1"/>
    <col min="11535" max="11535" width="15.7109375" customWidth="1"/>
    <col min="11536" max="11536" width="14.42578125" customWidth="1"/>
    <col min="11537" max="11537" width="15.140625" customWidth="1"/>
    <col min="11538" max="11538" width="14.140625" customWidth="1"/>
    <col min="11539" max="11539" width="2.7109375" customWidth="1"/>
    <col min="11540" max="11540" width="15.140625" customWidth="1"/>
    <col min="11541" max="11541" width="14.140625" customWidth="1"/>
    <col min="11542" max="11542" width="2.5703125" customWidth="1"/>
    <col min="11543" max="11543" width="15.140625" customWidth="1"/>
    <col min="11544" max="11544" width="14.140625" customWidth="1"/>
    <col min="11777" max="11777" width="1.85546875" customWidth="1"/>
    <col min="11778" max="11778" width="3.7109375" customWidth="1"/>
    <col min="11779" max="11779" width="20" customWidth="1"/>
    <col min="11780" max="11780" width="13.42578125" customWidth="1"/>
    <col min="11781" max="11781" width="11.42578125" customWidth="1"/>
    <col min="11782" max="11782" width="12" customWidth="1"/>
    <col min="11783" max="11783" width="13.7109375" customWidth="1"/>
    <col min="11784" max="11784" width="14" customWidth="1"/>
    <col min="11785" max="11785" width="16.140625" customWidth="1"/>
    <col min="11786" max="11786" width="14.42578125" customWidth="1"/>
    <col min="11787" max="11787" width="13.7109375" customWidth="1"/>
    <col min="11788" max="11788" width="2.85546875" customWidth="1"/>
    <col min="11789" max="11789" width="3.28515625" customWidth="1"/>
    <col min="11790" max="11790" width="15.140625" customWidth="1"/>
    <col min="11791" max="11791" width="15.7109375" customWidth="1"/>
    <col min="11792" max="11792" width="14.42578125" customWidth="1"/>
    <col min="11793" max="11793" width="15.140625" customWidth="1"/>
    <col min="11794" max="11794" width="14.140625" customWidth="1"/>
    <col min="11795" max="11795" width="2.7109375" customWidth="1"/>
    <col min="11796" max="11796" width="15.140625" customWidth="1"/>
    <col min="11797" max="11797" width="14.140625" customWidth="1"/>
    <col min="11798" max="11798" width="2.5703125" customWidth="1"/>
    <col min="11799" max="11799" width="15.140625" customWidth="1"/>
    <col min="11800" max="11800" width="14.140625" customWidth="1"/>
    <col min="12033" max="12033" width="1.85546875" customWidth="1"/>
    <col min="12034" max="12034" width="3.7109375" customWidth="1"/>
    <col min="12035" max="12035" width="20" customWidth="1"/>
    <col min="12036" max="12036" width="13.42578125" customWidth="1"/>
    <col min="12037" max="12037" width="11.42578125" customWidth="1"/>
    <col min="12038" max="12038" width="12" customWidth="1"/>
    <col min="12039" max="12039" width="13.7109375" customWidth="1"/>
    <col min="12040" max="12040" width="14" customWidth="1"/>
    <col min="12041" max="12041" width="16.140625" customWidth="1"/>
    <col min="12042" max="12042" width="14.42578125" customWidth="1"/>
    <col min="12043" max="12043" width="13.7109375" customWidth="1"/>
    <col min="12044" max="12044" width="2.85546875" customWidth="1"/>
    <col min="12045" max="12045" width="3.28515625" customWidth="1"/>
    <col min="12046" max="12046" width="15.140625" customWidth="1"/>
    <col min="12047" max="12047" width="15.7109375" customWidth="1"/>
    <col min="12048" max="12048" width="14.42578125" customWidth="1"/>
    <col min="12049" max="12049" width="15.140625" customWidth="1"/>
    <col min="12050" max="12050" width="14.140625" customWidth="1"/>
    <col min="12051" max="12051" width="2.7109375" customWidth="1"/>
    <col min="12052" max="12052" width="15.140625" customWidth="1"/>
    <col min="12053" max="12053" width="14.140625" customWidth="1"/>
    <col min="12054" max="12054" width="2.5703125" customWidth="1"/>
    <col min="12055" max="12055" width="15.140625" customWidth="1"/>
    <col min="12056" max="12056" width="14.140625" customWidth="1"/>
    <col min="12289" max="12289" width="1.85546875" customWidth="1"/>
    <col min="12290" max="12290" width="3.7109375" customWidth="1"/>
    <col min="12291" max="12291" width="20" customWidth="1"/>
    <col min="12292" max="12292" width="13.42578125" customWidth="1"/>
    <col min="12293" max="12293" width="11.42578125" customWidth="1"/>
    <col min="12294" max="12294" width="12" customWidth="1"/>
    <col min="12295" max="12295" width="13.7109375" customWidth="1"/>
    <col min="12296" max="12296" width="14" customWidth="1"/>
    <col min="12297" max="12297" width="16.140625" customWidth="1"/>
    <col min="12298" max="12298" width="14.42578125" customWidth="1"/>
    <col min="12299" max="12299" width="13.7109375" customWidth="1"/>
    <col min="12300" max="12300" width="2.85546875" customWidth="1"/>
    <col min="12301" max="12301" width="3.28515625" customWidth="1"/>
    <col min="12302" max="12302" width="15.140625" customWidth="1"/>
    <col min="12303" max="12303" width="15.7109375" customWidth="1"/>
    <col min="12304" max="12304" width="14.42578125" customWidth="1"/>
    <col min="12305" max="12305" width="15.140625" customWidth="1"/>
    <col min="12306" max="12306" width="14.140625" customWidth="1"/>
    <col min="12307" max="12307" width="2.7109375" customWidth="1"/>
    <col min="12308" max="12308" width="15.140625" customWidth="1"/>
    <col min="12309" max="12309" width="14.140625" customWidth="1"/>
    <col min="12310" max="12310" width="2.5703125" customWidth="1"/>
    <col min="12311" max="12311" width="15.140625" customWidth="1"/>
    <col min="12312" max="12312" width="14.140625" customWidth="1"/>
    <col min="12545" max="12545" width="1.85546875" customWidth="1"/>
    <col min="12546" max="12546" width="3.7109375" customWidth="1"/>
    <col min="12547" max="12547" width="20" customWidth="1"/>
    <col min="12548" max="12548" width="13.42578125" customWidth="1"/>
    <col min="12549" max="12549" width="11.42578125" customWidth="1"/>
    <col min="12550" max="12550" width="12" customWidth="1"/>
    <col min="12551" max="12551" width="13.7109375" customWidth="1"/>
    <col min="12552" max="12552" width="14" customWidth="1"/>
    <col min="12553" max="12553" width="16.140625" customWidth="1"/>
    <col min="12554" max="12554" width="14.42578125" customWidth="1"/>
    <col min="12555" max="12555" width="13.7109375" customWidth="1"/>
    <col min="12556" max="12556" width="2.85546875" customWidth="1"/>
    <col min="12557" max="12557" width="3.28515625" customWidth="1"/>
    <col min="12558" max="12558" width="15.140625" customWidth="1"/>
    <col min="12559" max="12559" width="15.7109375" customWidth="1"/>
    <col min="12560" max="12560" width="14.42578125" customWidth="1"/>
    <col min="12561" max="12561" width="15.140625" customWidth="1"/>
    <col min="12562" max="12562" width="14.140625" customWidth="1"/>
    <col min="12563" max="12563" width="2.7109375" customWidth="1"/>
    <col min="12564" max="12564" width="15.140625" customWidth="1"/>
    <col min="12565" max="12565" width="14.140625" customWidth="1"/>
    <col min="12566" max="12566" width="2.5703125" customWidth="1"/>
    <col min="12567" max="12567" width="15.140625" customWidth="1"/>
    <col min="12568" max="12568" width="14.140625" customWidth="1"/>
    <col min="12801" max="12801" width="1.85546875" customWidth="1"/>
    <col min="12802" max="12802" width="3.7109375" customWidth="1"/>
    <col min="12803" max="12803" width="20" customWidth="1"/>
    <col min="12804" max="12804" width="13.42578125" customWidth="1"/>
    <col min="12805" max="12805" width="11.42578125" customWidth="1"/>
    <col min="12806" max="12806" width="12" customWidth="1"/>
    <col min="12807" max="12807" width="13.7109375" customWidth="1"/>
    <col min="12808" max="12808" width="14" customWidth="1"/>
    <col min="12809" max="12809" width="16.140625" customWidth="1"/>
    <col min="12810" max="12810" width="14.42578125" customWidth="1"/>
    <col min="12811" max="12811" width="13.7109375" customWidth="1"/>
    <col min="12812" max="12812" width="2.85546875" customWidth="1"/>
    <col min="12813" max="12813" width="3.28515625" customWidth="1"/>
    <col min="12814" max="12814" width="15.140625" customWidth="1"/>
    <col min="12815" max="12815" width="15.7109375" customWidth="1"/>
    <col min="12816" max="12816" width="14.42578125" customWidth="1"/>
    <col min="12817" max="12817" width="15.140625" customWidth="1"/>
    <col min="12818" max="12818" width="14.140625" customWidth="1"/>
    <col min="12819" max="12819" width="2.7109375" customWidth="1"/>
    <col min="12820" max="12820" width="15.140625" customWidth="1"/>
    <col min="12821" max="12821" width="14.140625" customWidth="1"/>
    <col min="12822" max="12822" width="2.5703125" customWidth="1"/>
    <col min="12823" max="12823" width="15.140625" customWidth="1"/>
    <col min="12824" max="12824" width="14.140625" customWidth="1"/>
    <col min="13057" max="13057" width="1.85546875" customWidth="1"/>
    <col min="13058" max="13058" width="3.7109375" customWidth="1"/>
    <col min="13059" max="13059" width="20" customWidth="1"/>
    <col min="13060" max="13060" width="13.42578125" customWidth="1"/>
    <col min="13061" max="13061" width="11.42578125" customWidth="1"/>
    <col min="13062" max="13062" width="12" customWidth="1"/>
    <col min="13063" max="13063" width="13.7109375" customWidth="1"/>
    <col min="13064" max="13064" width="14" customWidth="1"/>
    <col min="13065" max="13065" width="16.140625" customWidth="1"/>
    <col min="13066" max="13066" width="14.42578125" customWidth="1"/>
    <col min="13067" max="13067" width="13.7109375" customWidth="1"/>
    <col min="13068" max="13068" width="2.85546875" customWidth="1"/>
    <col min="13069" max="13069" width="3.28515625" customWidth="1"/>
    <col min="13070" max="13070" width="15.140625" customWidth="1"/>
    <col min="13071" max="13071" width="15.7109375" customWidth="1"/>
    <col min="13072" max="13072" width="14.42578125" customWidth="1"/>
    <col min="13073" max="13073" width="15.140625" customWidth="1"/>
    <col min="13074" max="13074" width="14.140625" customWidth="1"/>
    <col min="13075" max="13075" width="2.7109375" customWidth="1"/>
    <col min="13076" max="13076" width="15.140625" customWidth="1"/>
    <col min="13077" max="13077" width="14.140625" customWidth="1"/>
    <col min="13078" max="13078" width="2.5703125" customWidth="1"/>
    <col min="13079" max="13079" width="15.140625" customWidth="1"/>
    <col min="13080" max="13080" width="14.140625" customWidth="1"/>
    <col min="13313" max="13313" width="1.85546875" customWidth="1"/>
    <col min="13314" max="13314" width="3.7109375" customWidth="1"/>
    <col min="13315" max="13315" width="20" customWidth="1"/>
    <col min="13316" max="13316" width="13.42578125" customWidth="1"/>
    <col min="13317" max="13317" width="11.42578125" customWidth="1"/>
    <col min="13318" max="13318" width="12" customWidth="1"/>
    <col min="13319" max="13319" width="13.7109375" customWidth="1"/>
    <col min="13320" max="13320" width="14" customWidth="1"/>
    <col min="13321" max="13321" width="16.140625" customWidth="1"/>
    <col min="13322" max="13322" width="14.42578125" customWidth="1"/>
    <col min="13323" max="13323" width="13.7109375" customWidth="1"/>
    <col min="13324" max="13324" width="2.85546875" customWidth="1"/>
    <col min="13325" max="13325" width="3.28515625" customWidth="1"/>
    <col min="13326" max="13326" width="15.140625" customWidth="1"/>
    <col min="13327" max="13327" width="15.7109375" customWidth="1"/>
    <col min="13328" max="13328" width="14.42578125" customWidth="1"/>
    <col min="13329" max="13329" width="15.140625" customWidth="1"/>
    <col min="13330" max="13330" width="14.140625" customWidth="1"/>
    <col min="13331" max="13331" width="2.7109375" customWidth="1"/>
    <col min="13332" max="13332" width="15.140625" customWidth="1"/>
    <col min="13333" max="13333" width="14.140625" customWidth="1"/>
    <col min="13334" max="13334" width="2.5703125" customWidth="1"/>
    <col min="13335" max="13335" width="15.140625" customWidth="1"/>
    <col min="13336" max="13336" width="14.140625" customWidth="1"/>
    <col min="13569" max="13569" width="1.85546875" customWidth="1"/>
    <col min="13570" max="13570" width="3.7109375" customWidth="1"/>
    <col min="13571" max="13571" width="20" customWidth="1"/>
    <col min="13572" max="13572" width="13.42578125" customWidth="1"/>
    <col min="13573" max="13573" width="11.42578125" customWidth="1"/>
    <col min="13574" max="13574" width="12" customWidth="1"/>
    <col min="13575" max="13575" width="13.7109375" customWidth="1"/>
    <col min="13576" max="13576" width="14" customWidth="1"/>
    <col min="13577" max="13577" width="16.140625" customWidth="1"/>
    <col min="13578" max="13578" width="14.42578125" customWidth="1"/>
    <col min="13579" max="13579" width="13.7109375" customWidth="1"/>
    <col min="13580" max="13580" width="2.85546875" customWidth="1"/>
    <col min="13581" max="13581" width="3.28515625" customWidth="1"/>
    <col min="13582" max="13582" width="15.140625" customWidth="1"/>
    <col min="13583" max="13583" width="15.7109375" customWidth="1"/>
    <col min="13584" max="13584" width="14.42578125" customWidth="1"/>
    <col min="13585" max="13585" width="15.140625" customWidth="1"/>
    <col min="13586" max="13586" width="14.140625" customWidth="1"/>
    <col min="13587" max="13587" width="2.7109375" customWidth="1"/>
    <col min="13588" max="13588" width="15.140625" customWidth="1"/>
    <col min="13589" max="13589" width="14.140625" customWidth="1"/>
    <col min="13590" max="13590" width="2.5703125" customWidth="1"/>
    <col min="13591" max="13591" width="15.140625" customWidth="1"/>
    <col min="13592" max="13592" width="14.140625" customWidth="1"/>
    <col min="13825" max="13825" width="1.85546875" customWidth="1"/>
    <col min="13826" max="13826" width="3.7109375" customWidth="1"/>
    <col min="13827" max="13827" width="20" customWidth="1"/>
    <col min="13828" max="13828" width="13.42578125" customWidth="1"/>
    <col min="13829" max="13829" width="11.42578125" customWidth="1"/>
    <col min="13830" max="13830" width="12" customWidth="1"/>
    <col min="13831" max="13831" width="13.7109375" customWidth="1"/>
    <col min="13832" max="13832" width="14" customWidth="1"/>
    <col min="13833" max="13833" width="16.140625" customWidth="1"/>
    <col min="13834" max="13834" width="14.42578125" customWidth="1"/>
    <col min="13835" max="13835" width="13.7109375" customWidth="1"/>
    <col min="13836" max="13836" width="2.85546875" customWidth="1"/>
    <col min="13837" max="13837" width="3.28515625" customWidth="1"/>
    <col min="13838" max="13838" width="15.140625" customWidth="1"/>
    <col min="13839" max="13839" width="15.7109375" customWidth="1"/>
    <col min="13840" max="13840" width="14.42578125" customWidth="1"/>
    <col min="13841" max="13841" width="15.140625" customWidth="1"/>
    <col min="13842" max="13842" width="14.140625" customWidth="1"/>
    <col min="13843" max="13843" width="2.7109375" customWidth="1"/>
    <col min="13844" max="13844" width="15.140625" customWidth="1"/>
    <col min="13845" max="13845" width="14.140625" customWidth="1"/>
    <col min="13846" max="13846" width="2.5703125" customWidth="1"/>
    <col min="13847" max="13847" width="15.140625" customWidth="1"/>
    <col min="13848" max="13848" width="14.140625" customWidth="1"/>
    <col min="14081" max="14081" width="1.85546875" customWidth="1"/>
    <col min="14082" max="14082" width="3.7109375" customWidth="1"/>
    <col min="14083" max="14083" width="20" customWidth="1"/>
    <col min="14084" max="14084" width="13.42578125" customWidth="1"/>
    <col min="14085" max="14085" width="11.42578125" customWidth="1"/>
    <col min="14086" max="14086" width="12" customWidth="1"/>
    <col min="14087" max="14087" width="13.7109375" customWidth="1"/>
    <col min="14088" max="14088" width="14" customWidth="1"/>
    <col min="14089" max="14089" width="16.140625" customWidth="1"/>
    <col min="14090" max="14090" width="14.42578125" customWidth="1"/>
    <col min="14091" max="14091" width="13.7109375" customWidth="1"/>
    <col min="14092" max="14092" width="2.85546875" customWidth="1"/>
    <col min="14093" max="14093" width="3.28515625" customWidth="1"/>
    <col min="14094" max="14094" width="15.140625" customWidth="1"/>
    <col min="14095" max="14095" width="15.7109375" customWidth="1"/>
    <col min="14096" max="14096" width="14.42578125" customWidth="1"/>
    <col min="14097" max="14097" width="15.140625" customWidth="1"/>
    <col min="14098" max="14098" width="14.140625" customWidth="1"/>
    <col min="14099" max="14099" width="2.7109375" customWidth="1"/>
    <col min="14100" max="14100" width="15.140625" customWidth="1"/>
    <col min="14101" max="14101" width="14.140625" customWidth="1"/>
    <col min="14102" max="14102" width="2.5703125" customWidth="1"/>
    <col min="14103" max="14103" width="15.140625" customWidth="1"/>
    <col min="14104" max="14104" width="14.140625" customWidth="1"/>
    <col min="14337" max="14337" width="1.85546875" customWidth="1"/>
    <col min="14338" max="14338" width="3.7109375" customWidth="1"/>
    <col min="14339" max="14339" width="20" customWidth="1"/>
    <col min="14340" max="14340" width="13.42578125" customWidth="1"/>
    <col min="14341" max="14341" width="11.42578125" customWidth="1"/>
    <col min="14342" max="14342" width="12" customWidth="1"/>
    <col min="14343" max="14343" width="13.7109375" customWidth="1"/>
    <col min="14344" max="14344" width="14" customWidth="1"/>
    <col min="14345" max="14345" width="16.140625" customWidth="1"/>
    <col min="14346" max="14346" width="14.42578125" customWidth="1"/>
    <col min="14347" max="14347" width="13.7109375" customWidth="1"/>
    <col min="14348" max="14348" width="2.85546875" customWidth="1"/>
    <col min="14349" max="14349" width="3.28515625" customWidth="1"/>
    <col min="14350" max="14350" width="15.140625" customWidth="1"/>
    <col min="14351" max="14351" width="15.7109375" customWidth="1"/>
    <col min="14352" max="14352" width="14.42578125" customWidth="1"/>
    <col min="14353" max="14353" width="15.140625" customWidth="1"/>
    <col min="14354" max="14354" width="14.140625" customWidth="1"/>
    <col min="14355" max="14355" width="2.7109375" customWidth="1"/>
    <col min="14356" max="14356" width="15.140625" customWidth="1"/>
    <col min="14357" max="14357" width="14.140625" customWidth="1"/>
    <col min="14358" max="14358" width="2.5703125" customWidth="1"/>
    <col min="14359" max="14359" width="15.140625" customWidth="1"/>
    <col min="14360" max="14360" width="14.140625" customWidth="1"/>
    <col min="14593" max="14593" width="1.85546875" customWidth="1"/>
    <col min="14594" max="14594" width="3.7109375" customWidth="1"/>
    <col min="14595" max="14595" width="20" customWidth="1"/>
    <col min="14596" max="14596" width="13.42578125" customWidth="1"/>
    <col min="14597" max="14597" width="11.42578125" customWidth="1"/>
    <col min="14598" max="14598" width="12" customWidth="1"/>
    <col min="14599" max="14599" width="13.7109375" customWidth="1"/>
    <col min="14600" max="14600" width="14" customWidth="1"/>
    <col min="14601" max="14601" width="16.140625" customWidth="1"/>
    <col min="14602" max="14602" width="14.42578125" customWidth="1"/>
    <col min="14603" max="14603" width="13.7109375" customWidth="1"/>
    <col min="14604" max="14604" width="2.85546875" customWidth="1"/>
    <col min="14605" max="14605" width="3.28515625" customWidth="1"/>
    <col min="14606" max="14606" width="15.140625" customWidth="1"/>
    <col min="14607" max="14607" width="15.7109375" customWidth="1"/>
    <col min="14608" max="14608" width="14.42578125" customWidth="1"/>
    <col min="14609" max="14609" width="15.140625" customWidth="1"/>
    <col min="14610" max="14610" width="14.140625" customWidth="1"/>
    <col min="14611" max="14611" width="2.7109375" customWidth="1"/>
    <col min="14612" max="14612" width="15.140625" customWidth="1"/>
    <col min="14613" max="14613" width="14.140625" customWidth="1"/>
    <col min="14614" max="14614" width="2.5703125" customWidth="1"/>
    <col min="14615" max="14615" width="15.140625" customWidth="1"/>
    <col min="14616" max="14616" width="14.140625" customWidth="1"/>
    <col min="14849" max="14849" width="1.85546875" customWidth="1"/>
    <col min="14850" max="14850" width="3.7109375" customWidth="1"/>
    <col min="14851" max="14851" width="20" customWidth="1"/>
    <col min="14852" max="14852" width="13.42578125" customWidth="1"/>
    <col min="14853" max="14853" width="11.42578125" customWidth="1"/>
    <col min="14854" max="14854" width="12" customWidth="1"/>
    <col min="14855" max="14855" width="13.7109375" customWidth="1"/>
    <col min="14856" max="14856" width="14" customWidth="1"/>
    <col min="14857" max="14857" width="16.140625" customWidth="1"/>
    <col min="14858" max="14858" width="14.42578125" customWidth="1"/>
    <col min="14859" max="14859" width="13.7109375" customWidth="1"/>
    <col min="14860" max="14860" width="2.85546875" customWidth="1"/>
    <col min="14861" max="14861" width="3.28515625" customWidth="1"/>
    <col min="14862" max="14862" width="15.140625" customWidth="1"/>
    <col min="14863" max="14863" width="15.7109375" customWidth="1"/>
    <col min="14864" max="14864" width="14.42578125" customWidth="1"/>
    <col min="14865" max="14865" width="15.140625" customWidth="1"/>
    <col min="14866" max="14866" width="14.140625" customWidth="1"/>
    <col min="14867" max="14867" width="2.7109375" customWidth="1"/>
    <col min="14868" max="14868" width="15.140625" customWidth="1"/>
    <col min="14869" max="14869" width="14.140625" customWidth="1"/>
    <col min="14870" max="14870" width="2.5703125" customWidth="1"/>
    <col min="14871" max="14871" width="15.140625" customWidth="1"/>
    <col min="14872" max="14872" width="14.140625" customWidth="1"/>
    <col min="15105" max="15105" width="1.85546875" customWidth="1"/>
    <col min="15106" max="15106" width="3.7109375" customWidth="1"/>
    <col min="15107" max="15107" width="20" customWidth="1"/>
    <col min="15108" max="15108" width="13.42578125" customWidth="1"/>
    <col min="15109" max="15109" width="11.42578125" customWidth="1"/>
    <col min="15110" max="15110" width="12" customWidth="1"/>
    <col min="15111" max="15111" width="13.7109375" customWidth="1"/>
    <col min="15112" max="15112" width="14" customWidth="1"/>
    <col min="15113" max="15113" width="16.140625" customWidth="1"/>
    <col min="15114" max="15114" width="14.42578125" customWidth="1"/>
    <col min="15115" max="15115" width="13.7109375" customWidth="1"/>
    <col min="15116" max="15116" width="2.85546875" customWidth="1"/>
    <col min="15117" max="15117" width="3.28515625" customWidth="1"/>
    <col min="15118" max="15118" width="15.140625" customWidth="1"/>
    <col min="15119" max="15119" width="15.7109375" customWidth="1"/>
    <col min="15120" max="15120" width="14.42578125" customWidth="1"/>
    <col min="15121" max="15121" width="15.140625" customWidth="1"/>
    <col min="15122" max="15122" width="14.140625" customWidth="1"/>
    <col min="15123" max="15123" width="2.7109375" customWidth="1"/>
    <col min="15124" max="15124" width="15.140625" customWidth="1"/>
    <col min="15125" max="15125" width="14.140625" customWidth="1"/>
    <col min="15126" max="15126" width="2.5703125" customWidth="1"/>
    <col min="15127" max="15127" width="15.140625" customWidth="1"/>
    <col min="15128" max="15128" width="14.140625" customWidth="1"/>
    <col min="15361" max="15361" width="1.85546875" customWidth="1"/>
    <col min="15362" max="15362" width="3.7109375" customWidth="1"/>
    <col min="15363" max="15363" width="20" customWidth="1"/>
    <col min="15364" max="15364" width="13.42578125" customWidth="1"/>
    <col min="15365" max="15365" width="11.42578125" customWidth="1"/>
    <col min="15366" max="15366" width="12" customWidth="1"/>
    <col min="15367" max="15367" width="13.7109375" customWidth="1"/>
    <col min="15368" max="15368" width="14" customWidth="1"/>
    <col min="15369" max="15369" width="16.140625" customWidth="1"/>
    <col min="15370" max="15370" width="14.42578125" customWidth="1"/>
    <col min="15371" max="15371" width="13.7109375" customWidth="1"/>
    <col min="15372" max="15372" width="2.85546875" customWidth="1"/>
    <col min="15373" max="15373" width="3.28515625" customWidth="1"/>
    <col min="15374" max="15374" width="15.140625" customWidth="1"/>
    <col min="15375" max="15375" width="15.7109375" customWidth="1"/>
    <col min="15376" max="15376" width="14.42578125" customWidth="1"/>
    <col min="15377" max="15377" width="15.140625" customWidth="1"/>
    <col min="15378" max="15378" width="14.140625" customWidth="1"/>
    <col min="15379" max="15379" width="2.7109375" customWidth="1"/>
    <col min="15380" max="15380" width="15.140625" customWidth="1"/>
    <col min="15381" max="15381" width="14.140625" customWidth="1"/>
    <col min="15382" max="15382" width="2.5703125" customWidth="1"/>
    <col min="15383" max="15383" width="15.140625" customWidth="1"/>
    <col min="15384" max="15384" width="14.140625" customWidth="1"/>
    <col min="15617" max="15617" width="1.85546875" customWidth="1"/>
    <col min="15618" max="15618" width="3.7109375" customWidth="1"/>
    <col min="15619" max="15619" width="20" customWidth="1"/>
    <col min="15620" max="15620" width="13.42578125" customWidth="1"/>
    <col min="15621" max="15621" width="11.42578125" customWidth="1"/>
    <col min="15622" max="15622" width="12" customWidth="1"/>
    <col min="15623" max="15623" width="13.7109375" customWidth="1"/>
    <col min="15624" max="15624" width="14" customWidth="1"/>
    <col min="15625" max="15625" width="16.140625" customWidth="1"/>
    <col min="15626" max="15626" width="14.42578125" customWidth="1"/>
    <col min="15627" max="15627" width="13.7109375" customWidth="1"/>
    <col min="15628" max="15628" width="2.85546875" customWidth="1"/>
    <col min="15629" max="15629" width="3.28515625" customWidth="1"/>
    <col min="15630" max="15630" width="15.140625" customWidth="1"/>
    <col min="15631" max="15631" width="15.7109375" customWidth="1"/>
    <col min="15632" max="15632" width="14.42578125" customWidth="1"/>
    <col min="15633" max="15633" width="15.140625" customWidth="1"/>
    <col min="15634" max="15634" width="14.140625" customWidth="1"/>
    <col min="15635" max="15635" width="2.7109375" customWidth="1"/>
    <col min="15636" max="15636" width="15.140625" customWidth="1"/>
    <col min="15637" max="15637" width="14.140625" customWidth="1"/>
    <col min="15638" max="15638" width="2.5703125" customWidth="1"/>
    <col min="15639" max="15639" width="15.140625" customWidth="1"/>
    <col min="15640" max="15640" width="14.140625" customWidth="1"/>
    <col min="15873" max="15873" width="1.85546875" customWidth="1"/>
    <col min="15874" max="15874" width="3.7109375" customWidth="1"/>
    <col min="15875" max="15875" width="20" customWidth="1"/>
    <col min="15876" max="15876" width="13.42578125" customWidth="1"/>
    <col min="15877" max="15877" width="11.42578125" customWidth="1"/>
    <col min="15878" max="15878" width="12" customWidth="1"/>
    <col min="15879" max="15879" width="13.7109375" customWidth="1"/>
    <col min="15880" max="15880" width="14" customWidth="1"/>
    <col min="15881" max="15881" width="16.140625" customWidth="1"/>
    <col min="15882" max="15882" width="14.42578125" customWidth="1"/>
    <col min="15883" max="15883" width="13.7109375" customWidth="1"/>
    <col min="15884" max="15884" width="2.85546875" customWidth="1"/>
    <col min="15885" max="15885" width="3.28515625" customWidth="1"/>
    <col min="15886" max="15886" width="15.140625" customWidth="1"/>
    <col min="15887" max="15887" width="15.7109375" customWidth="1"/>
    <col min="15888" max="15888" width="14.42578125" customWidth="1"/>
    <col min="15889" max="15889" width="15.140625" customWidth="1"/>
    <col min="15890" max="15890" width="14.140625" customWidth="1"/>
    <col min="15891" max="15891" width="2.7109375" customWidth="1"/>
    <col min="15892" max="15892" width="15.140625" customWidth="1"/>
    <col min="15893" max="15893" width="14.140625" customWidth="1"/>
    <col min="15894" max="15894" width="2.5703125" customWidth="1"/>
    <col min="15895" max="15895" width="15.140625" customWidth="1"/>
    <col min="15896" max="15896" width="14.140625" customWidth="1"/>
    <col min="16129" max="16129" width="1.85546875" customWidth="1"/>
    <col min="16130" max="16130" width="3.7109375" customWidth="1"/>
    <col min="16131" max="16131" width="20" customWidth="1"/>
    <col min="16132" max="16132" width="13.42578125" customWidth="1"/>
    <col min="16133" max="16133" width="11.42578125" customWidth="1"/>
    <col min="16134" max="16134" width="12" customWidth="1"/>
    <col min="16135" max="16135" width="13.7109375" customWidth="1"/>
    <col min="16136" max="16136" width="14" customWidth="1"/>
    <col min="16137" max="16137" width="16.140625" customWidth="1"/>
    <col min="16138" max="16138" width="14.42578125" customWidth="1"/>
    <col min="16139" max="16139" width="13.7109375" customWidth="1"/>
    <col min="16140" max="16140" width="2.85546875" customWidth="1"/>
    <col min="16141" max="16141" width="3.28515625" customWidth="1"/>
    <col min="16142" max="16142" width="15.140625" customWidth="1"/>
    <col min="16143" max="16143" width="15.7109375" customWidth="1"/>
    <col min="16144" max="16144" width="14.42578125" customWidth="1"/>
    <col min="16145" max="16145" width="15.140625" customWidth="1"/>
    <col min="16146" max="16146" width="14.140625" customWidth="1"/>
    <col min="16147" max="16147" width="2.7109375" customWidth="1"/>
    <col min="16148" max="16148" width="15.140625" customWidth="1"/>
    <col min="16149" max="16149" width="14.140625" customWidth="1"/>
    <col min="16150" max="16150" width="2.5703125" customWidth="1"/>
    <col min="16151" max="16151" width="15.140625" customWidth="1"/>
    <col min="16152" max="16152" width="14.140625" customWidth="1"/>
  </cols>
  <sheetData>
    <row r="2" spans="1:17" x14ac:dyDescent="0.25">
      <c r="B2" s="79"/>
      <c r="C2" s="80" t="s">
        <v>119</v>
      </c>
      <c r="D2" s="80"/>
      <c r="E2" s="80"/>
      <c r="F2" s="80"/>
      <c r="G2" s="80"/>
      <c r="H2" s="80"/>
      <c r="I2" s="80"/>
      <c r="J2" s="80"/>
      <c r="K2" s="80"/>
      <c r="L2" s="81"/>
    </row>
    <row r="3" spans="1:17" x14ac:dyDescent="0.25">
      <c r="A3" s="82"/>
      <c r="B3" s="83"/>
      <c r="C3" s="152" t="s">
        <v>120</v>
      </c>
      <c r="D3" s="152"/>
      <c r="E3" s="152"/>
      <c r="F3" s="152"/>
      <c r="G3" s="152"/>
      <c r="H3" s="152"/>
      <c r="I3" s="152"/>
      <c r="J3" s="152"/>
      <c r="K3" s="152"/>
      <c r="L3" s="84"/>
    </row>
    <row r="4" spans="1:17" x14ac:dyDescent="0.25">
      <c r="A4" s="82"/>
      <c r="B4" s="85"/>
      <c r="C4" s="153" t="s">
        <v>121</v>
      </c>
      <c r="D4" s="153"/>
      <c r="E4" s="153"/>
      <c r="F4" s="153"/>
      <c r="G4" s="153"/>
      <c r="H4" s="153"/>
      <c r="I4" s="153"/>
      <c r="J4" s="153"/>
      <c r="K4" s="153"/>
      <c r="L4" s="84"/>
    </row>
    <row r="5" spans="1:17" x14ac:dyDescent="0.25">
      <c r="B5" s="85"/>
      <c r="C5" s="86"/>
      <c r="D5" s="87"/>
      <c r="E5" s="86"/>
      <c r="F5" s="87"/>
      <c r="G5" s="87"/>
      <c r="H5" s="87"/>
      <c r="I5" s="86"/>
      <c r="J5" s="86"/>
      <c r="K5" s="86"/>
      <c r="L5" s="84"/>
    </row>
    <row r="6" spans="1:17" x14ac:dyDescent="0.25">
      <c r="B6" s="82"/>
      <c r="C6" s="154" t="s">
        <v>122</v>
      </c>
      <c r="D6" s="156" t="s">
        <v>123</v>
      </c>
      <c r="E6" s="156" t="s">
        <v>124</v>
      </c>
      <c r="F6" s="156"/>
      <c r="G6" s="156" t="s">
        <v>125</v>
      </c>
      <c r="H6" s="156"/>
      <c r="I6" s="156" t="s">
        <v>126</v>
      </c>
      <c r="J6" s="156"/>
      <c r="K6" s="158" t="s">
        <v>127</v>
      </c>
      <c r="L6" s="88"/>
      <c r="M6" s="89"/>
      <c r="N6" s="90" t="s">
        <v>128</v>
      </c>
    </row>
    <row r="7" spans="1:17" ht="25.5" x14ac:dyDescent="0.25">
      <c r="B7" s="82"/>
      <c r="C7" s="155"/>
      <c r="D7" s="157"/>
      <c r="E7" s="91" t="s">
        <v>129</v>
      </c>
      <c r="F7" s="91" t="s">
        <v>130</v>
      </c>
      <c r="G7" s="91" t="s">
        <v>129</v>
      </c>
      <c r="H7" s="91" t="s">
        <v>130</v>
      </c>
      <c r="I7" s="91" t="s">
        <v>129</v>
      </c>
      <c r="J7" s="91" t="s">
        <v>130</v>
      </c>
      <c r="K7" s="159"/>
      <c r="L7" s="92"/>
      <c r="M7" s="93"/>
      <c r="N7" s="94" t="s">
        <v>128</v>
      </c>
    </row>
    <row r="8" spans="1:17" ht="30" x14ac:dyDescent="0.25">
      <c r="B8" s="82"/>
      <c r="C8" s="95" t="s">
        <v>131</v>
      </c>
      <c r="D8" s="96">
        <v>2016468</v>
      </c>
      <c r="E8" s="96">
        <v>21564</v>
      </c>
      <c r="F8" s="96">
        <f>110726+21327+21564</f>
        <v>153617</v>
      </c>
      <c r="G8" s="96">
        <v>0</v>
      </c>
      <c r="H8" s="96">
        <v>1884415</v>
      </c>
      <c r="I8" s="96">
        <v>0</v>
      </c>
      <c r="J8" s="96">
        <v>0</v>
      </c>
      <c r="K8" s="97">
        <f t="shared" ref="K8:K19" si="0">+D8+E8+G8+I8</f>
        <v>2038032</v>
      </c>
      <c r="L8" s="98"/>
      <c r="M8" s="99"/>
      <c r="N8" s="100">
        <f t="shared" ref="N8:N14" si="1">+F8+H8</f>
        <v>2038032</v>
      </c>
      <c r="O8" s="100">
        <f t="shared" ref="O8:O14" si="2">+D8+E8+G8</f>
        <v>2038032</v>
      </c>
      <c r="P8" s="101">
        <f>1604377+433655.07</f>
        <v>2038032.07</v>
      </c>
    </row>
    <row r="9" spans="1:17" x14ac:dyDescent="0.25">
      <c r="B9" s="82"/>
      <c r="C9" s="95" t="s">
        <v>132</v>
      </c>
      <c r="D9" s="102">
        <v>-92693</v>
      </c>
      <c r="E9" s="102">
        <v>-1159</v>
      </c>
      <c r="F9" s="102">
        <f>106-848-1159</f>
        <v>-1901</v>
      </c>
      <c r="G9" s="102">
        <f>+'[2]RCVA '!K53</f>
        <v>-28041.828414096912</v>
      </c>
      <c r="H9" s="102">
        <f>-66457-25494-28042</f>
        <v>-119993</v>
      </c>
      <c r="I9" s="102">
        <v>0</v>
      </c>
      <c r="J9" s="102">
        <v>0</v>
      </c>
      <c r="K9" s="97">
        <f t="shared" si="0"/>
        <v>-121893.8284140969</v>
      </c>
      <c r="L9" s="98"/>
      <c r="M9" s="99"/>
      <c r="N9" s="100">
        <f t="shared" si="1"/>
        <v>-121894</v>
      </c>
      <c r="O9" s="100">
        <f t="shared" si="2"/>
        <v>-121893.8284140969</v>
      </c>
      <c r="P9" s="101">
        <v>-121894</v>
      </c>
    </row>
    <row r="10" spans="1:17" ht="30" x14ac:dyDescent="0.25">
      <c r="B10" s="82"/>
      <c r="C10" s="95" t="s">
        <v>133</v>
      </c>
      <c r="D10" s="102">
        <v>30860</v>
      </c>
      <c r="E10" s="102">
        <v>0</v>
      </c>
      <c r="F10" s="102">
        <v>0</v>
      </c>
      <c r="G10" s="102">
        <v>-50</v>
      </c>
      <c r="H10" s="102">
        <f>30860.2-50</f>
        <v>30810.2</v>
      </c>
      <c r="I10" s="102">
        <v>0</v>
      </c>
      <c r="J10" s="102">
        <v>0</v>
      </c>
      <c r="K10" s="97">
        <f t="shared" si="0"/>
        <v>30810</v>
      </c>
      <c r="L10" s="98"/>
      <c r="M10" s="99"/>
      <c r="N10" s="100">
        <f t="shared" si="1"/>
        <v>30810.2</v>
      </c>
      <c r="O10" s="100">
        <f t="shared" si="2"/>
        <v>30810</v>
      </c>
      <c r="P10">
        <v>30810</v>
      </c>
    </row>
    <row r="11" spans="1:17" x14ac:dyDescent="0.25">
      <c r="B11" s="82"/>
      <c r="C11" s="95" t="s">
        <v>134</v>
      </c>
      <c r="D11" s="102">
        <v>92091</v>
      </c>
      <c r="E11" s="102">
        <v>945</v>
      </c>
      <c r="F11" s="102">
        <f>7754+900+945</f>
        <v>9599</v>
      </c>
      <c r="G11" s="102">
        <f>+'[2]RCVA '!K59</f>
        <v>-2482.9300000000003</v>
      </c>
      <c r="H11" s="102">
        <f>77590+5847-2483</f>
        <v>80954</v>
      </c>
      <c r="I11" s="102">
        <v>0</v>
      </c>
      <c r="J11" s="102">
        <v>0</v>
      </c>
      <c r="K11" s="97">
        <f t="shared" si="0"/>
        <v>90553.07</v>
      </c>
      <c r="L11" s="98"/>
      <c r="M11" s="99"/>
      <c r="N11" s="100">
        <f t="shared" si="1"/>
        <v>90553</v>
      </c>
      <c r="O11" s="100">
        <f t="shared" si="2"/>
        <v>90553.07</v>
      </c>
      <c r="P11" s="103">
        <v>90553</v>
      </c>
    </row>
    <row r="12" spans="1:17" ht="30" x14ac:dyDescent="0.25">
      <c r="B12" s="82"/>
      <c r="C12" s="95" t="s">
        <v>135</v>
      </c>
      <c r="D12" s="102">
        <v>3352</v>
      </c>
      <c r="E12" s="102">
        <v>41</v>
      </c>
      <c r="F12" s="102">
        <f>25+28+41</f>
        <v>94</v>
      </c>
      <c r="G12" s="102">
        <v>912</v>
      </c>
      <c r="H12" s="102">
        <f>1935+1364+912</f>
        <v>4211</v>
      </c>
      <c r="I12" s="102">
        <v>0</v>
      </c>
      <c r="J12" s="102">
        <v>0</v>
      </c>
      <c r="K12" s="97">
        <f t="shared" si="0"/>
        <v>4305</v>
      </c>
      <c r="L12" s="98"/>
      <c r="M12" s="99"/>
      <c r="N12" s="100">
        <f t="shared" si="1"/>
        <v>4305</v>
      </c>
      <c r="O12" s="100">
        <f t="shared" si="2"/>
        <v>4305</v>
      </c>
      <c r="P12">
        <v>4305</v>
      </c>
    </row>
    <row r="13" spans="1:17" ht="30" x14ac:dyDescent="0.25">
      <c r="B13" s="82"/>
      <c r="C13" s="95" t="s">
        <v>136</v>
      </c>
      <c r="D13" s="102">
        <v>-74948</v>
      </c>
      <c r="E13" s="102">
        <v>-1346</v>
      </c>
      <c r="F13" s="102">
        <f>3338-172-1346</f>
        <v>1820</v>
      </c>
      <c r="G13" s="102">
        <v>-118710</v>
      </c>
      <c r="H13" s="102">
        <v>-196824</v>
      </c>
      <c r="I13" s="102">
        <v>0</v>
      </c>
      <c r="J13" s="102">
        <v>0</v>
      </c>
      <c r="K13" s="97">
        <f t="shared" si="0"/>
        <v>-195004</v>
      </c>
      <c r="L13" s="98"/>
      <c r="M13" s="99"/>
      <c r="N13" s="100">
        <f t="shared" si="1"/>
        <v>-195004</v>
      </c>
      <c r="O13" s="100">
        <f t="shared" si="2"/>
        <v>-195004</v>
      </c>
      <c r="P13">
        <v>-195004</v>
      </c>
    </row>
    <row r="14" spans="1:17" ht="30" x14ac:dyDescent="0.25">
      <c r="B14" s="82"/>
      <c r="C14" s="95" t="s">
        <v>137</v>
      </c>
      <c r="D14" s="102">
        <v>16176</v>
      </c>
      <c r="E14" s="102">
        <f>466-264</f>
        <v>202</v>
      </c>
      <c r="F14" s="102">
        <f>122+142+202</f>
        <v>466</v>
      </c>
      <c r="G14" s="102">
        <f>21129-15912</f>
        <v>5217</v>
      </c>
      <c r="H14" s="102">
        <f>10901+5011+5217</f>
        <v>21129</v>
      </c>
      <c r="I14" s="102">
        <v>0</v>
      </c>
      <c r="J14" s="102">
        <v>0</v>
      </c>
      <c r="K14" s="97">
        <f t="shared" si="0"/>
        <v>21595</v>
      </c>
      <c r="L14" s="98"/>
      <c r="M14" s="99"/>
      <c r="N14" s="100">
        <f t="shared" si="1"/>
        <v>21595</v>
      </c>
      <c r="O14" s="100">
        <f t="shared" si="2"/>
        <v>21595</v>
      </c>
      <c r="P14">
        <v>21595</v>
      </c>
    </row>
    <row r="15" spans="1:17" x14ac:dyDescent="0.25">
      <c r="B15" s="82"/>
      <c r="C15" s="95" t="s">
        <v>138</v>
      </c>
      <c r="D15" s="102">
        <v>727743</v>
      </c>
      <c r="E15" s="102">
        <f>539122-545001</f>
        <v>-5879</v>
      </c>
      <c r="F15" s="102">
        <f>537691+1431</f>
        <v>539122</v>
      </c>
      <c r="G15" s="102">
        <v>-57725</v>
      </c>
      <c r="H15" s="102">
        <f>1937636+69-62005</f>
        <v>1875700</v>
      </c>
      <c r="I15" s="102">
        <v>0</v>
      </c>
      <c r="J15" s="102">
        <v>-1750683</v>
      </c>
      <c r="K15" s="97">
        <f t="shared" si="0"/>
        <v>664139</v>
      </c>
      <c r="L15" s="98"/>
      <c r="M15" s="99"/>
      <c r="N15" s="104">
        <f>+F15+H15+J15</f>
        <v>664139</v>
      </c>
      <c r="O15" s="104">
        <f>+D15+E15+G15+I15</f>
        <v>664139</v>
      </c>
      <c r="P15">
        <v>664139</v>
      </c>
      <c r="Q15" s="94" t="s">
        <v>128</v>
      </c>
    </row>
    <row r="16" spans="1:17" x14ac:dyDescent="0.25">
      <c r="B16" s="82"/>
      <c r="C16" s="113" t="s">
        <v>139</v>
      </c>
      <c r="D16" s="114">
        <v>0</v>
      </c>
      <c r="E16" s="114">
        <v>-3717</v>
      </c>
      <c r="F16" s="114">
        <v>-3717</v>
      </c>
      <c r="G16" s="114">
        <v>-130133</v>
      </c>
      <c r="H16" s="217">
        <v>-130133</v>
      </c>
      <c r="I16" s="114">
        <v>0</v>
      </c>
      <c r="J16" s="114">
        <v>0</v>
      </c>
      <c r="K16" s="115">
        <f>+D16+E16+G16+I16</f>
        <v>-133850</v>
      </c>
      <c r="L16" s="98"/>
      <c r="M16" s="99"/>
      <c r="N16" s="104">
        <f>+F16+H16+J16</f>
        <v>-133850</v>
      </c>
      <c r="O16" s="104">
        <f>+D16+E16+G16+I16</f>
        <v>-133850</v>
      </c>
      <c r="P16">
        <v>-133850</v>
      </c>
      <c r="Q16" s="94"/>
    </row>
    <row r="17" spans="1:16" ht="75" x14ac:dyDescent="0.25">
      <c r="B17" s="82"/>
      <c r="C17" s="95" t="s">
        <v>140</v>
      </c>
      <c r="D17" s="102">
        <v>-149046</v>
      </c>
      <c r="E17" s="102">
        <v>0</v>
      </c>
      <c r="F17" s="102">
        <v>0</v>
      </c>
      <c r="G17" s="102">
        <f>149046+496003</f>
        <v>645049</v>
      </c>
      <c r="H17" s="102">
        <f>-172154+23108+645049</f>
        <v>496003</v>
      </c>
      <c r="I17" s="102">
        <v>0</v>
      </c>
      <c r="J17" s="102">
        <v>0</v>
      </c>
      <c r="K17" s="97">
        <f t="shared" si="0"/>
        <v>496003</v>
      </c>
      <c r="L17" s="98"/>
      <c r="M17" s="99"/>
      <c r="N17" s="100">
        <f>+F17+H17+J17</f>
        <v>496003</v>
      </c>
      <c r="O17" s="100">
        <f>+D17+E17+G17+I17</f>
        <v>496003</v>
      </c>
      <c r="P17">
        <v>496003</v>
      </c>
    </row>
    <row r="18" spans="1:16" ht="45" x14ac:dyDescent="0.25">
      <c r="A18" t="s">
        <v>118</v>
      </c>
      <c r="B18" s="82"/>
      <c r="C18" s="95" t="s">
        <v>141</v>
      </c>
      <c r="D18" s="102">
        <v>7505926</v>
      </c>
      <c r="E18" s="102">
        <v>57671</v>
      </c>
      <c r="F18" s="102">
        <f>981150+69616+57671</f>
        <v>1108437</v>
      </c>
      <c r="G18" s="102">
        <v>-1361636</v>
      </c>
      <c r="H18" s="102">
        <f>-16933041-1606092-1361636</f>
        <v>-19900769</v>
      </c>
      <c r="I18" s="102">
        <v>0</v>
      </c>
      <c r="J18" s="102">
        <v>24994293</v>
      </c>
      <c r="K18" s="97">
        <f t="shared" si="0"/>
        <v>6201961</v>
      </c>
      <c r="L18" s="98"/>
      <c r="M18" s="99"/>
      <c r="N18" s="100">
        <f>+F18+H18+J18</f>
        <v>6201961</v>
      </c>
      <c r="O18" s="100">
        <f>+D18+E18+G18+I18</f>
        <v>6201961</v>
      </c>
      <c r="P18">
        <v>6201961</v>
      </c>
    </row>
    <row r="19" spans="1:16" ht="30" x14ac:dyDescent="0.25">
      <c r="B19" s="82"/>
      <c r="C19" s="95" t="s">
        <v>142</v>
      </c>
      <c r="D19" s="102">
        <v>0</v>
      </c>
      <c r="E19" s="102">
        <v>0</v>
      </c>
      <c r="F19" s="102">
        <v>0</v>
      </c>
      <c r="G19" s="102">
        <v>0</v>
      </c>
      <c r="H19" s="102">
        <v>0</v>
      </c>
      <c r="I19" s="102">
        <v>0</v>
      </c>
      <c r="J19" s="102">
        <v>0</v>
      </c>
      <c r="K19" s="97">
        <f t="shared" si="0"/>
        <v>0</v>
      </c>
      <c r="L19" s="98"/>
      <c r="M19" s="99"/>
      <c r="N19" s="104" t="s">
        <v>128</v>
      </c>
      <c r="O19" s="90"/>
    </row>
    <row r="20" spans="1:16" ht="15.75" thickBot="1" x14ac:dyDescent="0.3">
      <c r="B20" s="82"/>
      <c r="C20" s="105" t="s">
        <v>143</v>
      </c>
      <c r="D20" s="106">
        <f t="shared" ref="D20:K20" si="3">SUM(D8:D19)</f>
        <v>10075929</v>
      </c>
      <c r="E20" s="106">
        <f t="shared" si="3"/>
        <v>68322</v>
      </c>
      <c r="F20" s="106">
        <f t="shared" si="3"/>
        <v>1807537</v>
      </c>
      <c r="G20" s="106">
        <f t="shared" si="3"/>
        <v>-1047600.7584140969</v>
      </c>
      <c r="H20" s="106">
        <f t="shared" si="3"/>
        <v>-15954496.800000001</v>
      </c>
      <c r="I20" s="106">
        <f t="shared" si="3"/>
        <v>0</v>
      </c>
      <c r="J20" s="106">
        <f t="shared" si="3"/>
        <v>23243610</v>
      </c>
      <c r="K20" s="107">
        <f t="shared" si="3"/>
        <v>9096650.2415859029</v>
      </c>
      <c r="L20" s="98"/>
      <c r="M20" s="99"/>
      <c r="N20" s="104">
        <f>+F20+H20+J20</f>
        <v>9096650.1999999993</v>
      </c>
      <c r="O20" s="104">
        <f>+D20+E20+G20+I20</f>
        <v>9096650.2415859029</v>
      </c>
      <c r="P20" s="104">
        <f>SUM(P8:P19)</f>
        <v>9096650.0700000003</v>
      </c>
    </row>
    <row r="21" spans="1:16" ht="15.75" thickTop="1" x14ac:dyDescent="0.25">
      <c r="B21" s="82"/>
      <c r="C21" s="86"/>
      <c r="D21" s="86"/>
      <c r="E21" s="86"/>
      <c r="F21" s="86"/>
      <c r="G21" s="86"/>
      <c r="H21" s="86"/>
      <c r="I21" s="86"/>
      <c r="J21" s="86"/>
      <c r="K21" s="86"/>
      <c r="L21" s="84"/>
      <c r="N21" s="90"/>
      <c r="O21" s="90"/>
    </row>
    <row r="22" spans="1:16" x14ac:dyDescent="0.25">
      <c r="B22" s="82"/>
      <c r="C22" s="86" t="s">
        <v>144</v>
      </c>
      <c r="D22" s="86"/>
      <c r="E22" s="86"/>
      <c r="F22" s="86"/>
      <c r="G22" s="86"/>
      <c r="H22" s="87" t="s">
        <v>128</v>
      </c>
      <c r="I22" s="86"/>
      <c r="J22" s="86"/>
      <c r="K22" s="86"/>
      <c r="L22" s="84"/>
      <c r="N22" s="90"/>
      <c r="O22" s="90"/>
    </row>
    <row r="23" spans="1:16" x14ac:dyDescent="0.25">
      <c r="B23" s="82"/>
      <c r="C23" s="86"/>
      <c r="D23" s="86"/>
      <c r="E23" s="86"/>
      <c r="F23" s="86"/>
      <c r="G23" s="86"/>
      <c r="I23" s="108" t="s">
        <v>128</v>
      </c>
      <c r="J23" s="86"/>
      <c r="K23" s="86"/>
      <c r="L23" s="84"/>
      <c r="N23" s="90"/>
      <c r="O23" s="90"/>
    </row>
    <row r="24" spans="1:16" x14ac:dyDescent="0.25">
      <c r="B24" s="82"/>
      <c r="C24" s="86" t="s">
        <v>145</v>
      </c>
      <c r="D24" s="86"/>
      <c r="E24" s="86"/>
      <c r="F24" s="86"/>
      <c r="G24" s="86"/>
      <c r="I24" s="86"/>
      <c r="J24" s="86"/>
      <c r="K24" s="86" t="s">
        <v>128</v>
      </c>
      <c r="L24" s="84"/>
      <c r="N24" s="90"/>
      <c r="O24" s="90"/>
    </row>
    <row r="25" spans="1:16" x14ac:dyDescent="0.25">
      <c r="B25" s="82"/>
      <c r="C25" s="86"/>
      <c r="D25" s="86"/>
      <c r="E25" s="86"/>
      <c r="F25" s="86"/>
      <c r="G25" s="86"/>
      <c r="H25" s="86"/>
      <c r="I25" s="86"/>
      <c r="J25" s="86"/>
      <c r="K25" s="86"/>
      <c r="L25" s="84"/>
      <c r="N25" s="90"/>
      <c r="O25" s="90"/>
    </row>
    <row r="26" spans="1:16" x14ac:dyDescent="0.25">
      <c r="B26" s="82"/>
      <c r="C26" s="86" t="s">
        <v>146</v>
      </c>
      <c r="D26" s="86"/>
      <c r="E26" s="86"/>
      <c r="F26" s="86"/>
      <c r="G26" s="86"/>
      <c r="H26" s="86"/>
      <c r="I26" s="86"/>
      <c r="J26" s="86"/>
      <c r="K26" s="87" t="s">
        <v>128</v>
      </c>
      <c r="L26" s="84"/>
      <c r="N26" s="90"/>
      <c r="O26" s="90"/>
    </row>
    <row r="27" spans="1:16" x14ac:dyDescent="0.25">
      <c r="B27" s="82"/>
      <c r="C27" s="86"/>
      <c r="D27" s="86"/>
      <c r="E27" s="86"/>
      <c r="F27" s="86"/>
      <c r="G27" s="86"/>
      <c r="H27" s="86"/>
      <c r="I27" s="86"/>
      <c r="J27" s="86"/>
      <c r="K27" s="86"/>
      <c r="L27" s="84"/>
      <c r="N27" s="90"/>
      <c r="O27" s="90"/>
    </row>
    <row r="28" spans="1:16" x14ac:dyDescent="0.25">
      <c r="B28" s="109"/>
      <c r="C28" s="110"/>
      <c r="D28" s="110"/>
      <c r="E28" s="110"/>
      <c r="F28" s="110"/>
      <c r="G28" s="110"/>
      <c r="H28" s="110"/>
      <c r="I28" s="110"/>
      <c r="J28" s="110"/>
      <c r="K28" s="110"/>
      <c r="L28" s="111"/>
      <c r="N28" s="90"/>
      <c r="O28" s="90"/>
    </row>
    <row r="29" spans="1:16" x14ac:dyDescent="0.25">
      <c r="N29" s="90"/>
      <c r="O29" s="90"/>
    </row>
    <row r="30" spans="1:16" x14ac:dyDescent="0.25">
      <c r="D30" t="s">
        <v>128</v>
      </c>
      <c r="H30" s="94" t="s">
        <v>128</v>
      </c>
      <c r="N30" s="90"/>
      <c r="O30" s="90"/>
    </row>
    <row r="31" spans="1:16" x14ac:dyDescent="0.25">
      <c r="N31" s="90"/>
      <c r="O31" s="90"/>
    </row>
    <row r="32" spans="1:16" x14ac:dyDescent="0.25">
      <c r="N32" s="90"/>
      <c r="O32" s="90"/>
    </row>
  </sheetData>
  <mergeCells count="8">
    <mergeCell ref="C3:K3"/>
    <mergeCell ref="C4:K4"/>
    <mergeCell ref="C6:C7"/>
    <mergeCell ref="D6:D7"/>
    <mergeCell ref="E6:F6"/>
    <mergeCell ref="G6:H6"/>
    <mergeCell ref="I6:J6"/>
    <mergeCell ref="K6:K7"/>
  </mergeCells>
  <pageMargins left="0.7" right="0.7" top="0.75" bottom="0.75" header="0.3" footer="0.3"/>
  <pageSetup scale="6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G42"/>
  <sheetViews>
    <sheetView topLeftCell="B1" workbookViewId="0">
      <selection activeCell="B31" sqref="B31"/>
    </sheetView>
  </sheetViews>
  <sheetFormatPr defaultRowHeight="15" x14ac:dyDescent="0.25"/>
  <cols>
    <col min="1" max="1" width="0" style="122" hidden="1" customWidth="1"/>
    <col min="2" max="2" width="21.85546875" style="32" customWidth="1"/>
    <col min="3" max="3" width="19.140625" style="32" customWidth="1"/>
    <col min="4" max="4" width="19.5703125" style="32" customWidth="1"/>
    <col min="5" max="5" width="17" style="32" customWidth="1"/>
    <col min="6" max="6" width="16.28515625" style="32" customWidth="1"/>
    <col min="7" max="7" width="18.140625" style="32" customWidth="1"/>
    <col min="8" max="8" width="15.5703125" style="32" customWidth="1"/>
    <col min="9" max="9" width="9.140625" style="32"/>
    <col min="10" max="10" width="4.140625" style="32" customWidth="1"/>
    <col min="11" max="11" width="10.42578125" style="32" customWidth="1"/>
    <col min="12" max="12" width="2.85546875" style="32" customWidth="1"/>
    <col min="13" max="256" width="9.140625" style="32"/>
    <col min="257" max="257" width="0" style="32" hidden="1" customWidth="1"/>
    <col min="258" max="258" width="21.85546875" style="32" customWidth="1"/>
    <col min="259" max="259" width="19.140625" style="32" customWidth="1"/>
    <col min="260" max="260" width="19.5703125" style="32" customWidth="1"/>
    <col min="261" max="261" width="17" style="32" customWidth="1"/>
    <col min="262" max="262" width="16.28515625" style="32" customWidth="1"/>
    <col min="263" max="263" width="18.140625" style="32" customWidth="1"/>
    <col min="264" max="264" width="15.5703125" style="32" customWidth="1"/>
    <col min="265" max="265" width="9.140625" style="32"/>
    <col min="266" max="266" width="4.140625" style="32" customWidth="1"/>
    <col min="267" max="267" width="10.42578125" style="32" customWidth="1"/>
    <col min="268" max="268" width="2.85546875" style="32" customWidth="1"/>
    <col min="269" max="512" width="9.140625" style="32"/>
    <col min="513" max="513" width="0" style="32" hidden="1" customWidth="1"/>
    <col min="514" max="514" width="21.85546875" style="32" customWidth="1"/>
    <col min="515" max="515" width="19.140625" style="32" customWidth="1"/>
    <col min="516" max="516" width="19.5703125" style="32" customWidth="1"/>
    <col min="517" max="517" width="17" style="32" customWidth="1"/>
    <col min="518" max="518" width="16.28515625" style="32" customWidth="1"/>
    <col min="519" max="519" width="18.140625" style="32" customWidth="1"/>
    <col min="520" max="520" width="15.5703125" style="32" customWidth="1"/>
    <col min="521" max="521" width="9.140625" style="32"/>
    <col min="522" max="522" width="4.140625" style="32" customWidth="1"/>
    <col min="523" max="523" width="10.42578125" style="32" customWidth="1"/>
    <col min="524" max="524" width="2.85546875" style="32" customWidth="1"/>
    <col min="525" max="768" width="9.140625" style="32"/>
    <col min="769" max="769" width="0" style="32" hidden="1" customWidth="1"/>
    <col min="770" max="770" width="21.85546875" style="32" customWidth="1"/>
    <col min="771" max="771" width="19.140625" style="32" customWidth="1"/>
    <col min="772" max="772" width="19.5703125" style="32" customWidth="1"/>
    <col min="773" max="773" width="17" style="32" customWidth="1"/>
    <col min="774" max="774" width="16.28515625" style="32" customWidth="1"/>
    <col min="775" max="775" width="18.140625" style="32" customWidth="1"/>
    <col min="776" max="776" width="15.5703125" style="32" customWidth="1"/>
    <col min="777" max="777" width="9.140625" style="32"/>
    <col min="778" max="778" width="4.140625" style="32" customWidth="1"/>
    <col min="779" max="779" width="10.42578125" style="32" customWidth="1"/>
    <col min="780" max="780" width="2.85546875" style="32" customWidth="1"/>
    <col min="781" max="1024" width="9.140625" style="32"/>
    <col min="1025" max="1025" width="0" style="32" hidden="1" customWidth="1"/>
    <col min="1026" max="1026" width="21.85546875" style="32" customWidth="1"/>
    <col min="1027" max="1027" width="19.140625" style="32" customWidth="1"/>
    <col min="1028" max="1028" width="19.5703125" style="32" customWidth="1"/>
    <col min="1029" max="1029" width="17" style="32" customWidth="1"/>
    <col min="1030" max="1030" width="16.28515625" style="32" customWidth="1"/>
    <col min="1031" max="1031" width="18.140625" style="32" customWidth="1"/>
    <col min="1032" max="1032" width="15.5703125" style="32" customWidth="1"/>
    <col min="1033" max="1033" width="9.140625" style="32"/>
    <col min="1034" max="1034" width="4.140625" style="32" customWidth="1"/>
    <col min="1035" max="1035" width="10.42578125" style="32" customWidth="1"/>
    <col min="1036" max="1036" width="2.85546875" style="32" customWidth="1"/>
    <col min="1037" max="1280" width="9.140625" style="32"/>
    <col min="1281" max="1281" width="0" style="32" hidden="1" customWidth="1"/>
    <col min="1282" max="1282" width="21.85546875" style="32" customWidth="1"/>
    <col min="1283" max="1283" width="19.140625" style="32" customWidth="1"/>
    <col min="1284" max="1284" width="19.5703125" style="32" customWidth="1"/>
    <col min="1285" max="1285" width="17" style="32" customWidth="1"/>
    <col min="1286" max="1286" width="16.28515625" style="32" customWidth="1"/>
    <col min="1287" max="1287" width="18.140625" style="32" customWidth="1"/>
    <col min="1288" max="1288" width="15.5703125" style="32" customWidth="1"/>
    <col min="1289" max="1289" width="9.140625" style="32"/>
    <col min="1290" max="1290" width="4.140625" style="32" customWidth="1"/>
    <col min="1291" max="1291" width="10.42578125" style="32" customWidth="1"/>
    <col min="1292" max="1292" width="2.85546875" style="32" customWidth="1"/>
    <col min="1293" max="1536" width="9.140625" style="32"/>
    <col min="1537" max="1537" width="0" style="32" hidden="1" customWidth="1"/>
    <col min="1538" max="1538" width="21.85546875" style="32" customWidth="1"/>
    <col min="1539" max="1539" width="19.140625" style="32" customWidth="1"/>
    <col min="1540" max="1540" width="19.5703125" style="32" customWidth="1"/>
    <col min="1541" max="1541" width="17" style="32" customWidth="1"/>
    <col min="1542" max="1542" width="16.28515625" style="32" customWidth="1"/>
    <col min="1543" max="1543" width="18.140625" style="32" customWidth="1"/>
    <col min="1544" max="1544" width="15.5703125" style="32" customWidth="1"/>
    <col min="1545" max="1545" width="9.140625" style="32"/>
    <col min="1546" max="1546" width="4.140625" style="32" customWidth="1"/>
    <col min="1547" max="1547" width="10.42578125" style="32" customWidth="1"/>
    <col min="1548" max="1548" width="2.85546875" style="32" customWidth="1"/>
    <col min="1549" max="1792" width="9.140625" style="32"/>
    <col min="1793" max="1793" width="0" style="32" hidden="1" customWidth="1"/>
    <col min="1794" max="1794" width="21.85546875" style="32" customWidth="1"/>
    <col min="1795" max="1795" width="19.140625" style="32" customWidth="1"/>
    <col min="1796" max="1796" width="19.5703125" style="32" customWidth="1"/>
    <col min="1797" max="1797" width="17" style="32" customWidth="1"/>
    <col min="1798" max="1798" width="16.28515625" style="32" customWidth="1"/>
    <col min="1799" max="1799" width="18.140625" style="32" customWidth="1"/>
    <col min="1800" max="1800" width="15.5703125" style="32" customWidth="1"/>
    <col min="1801" max="1801" width="9.140625" style="32"/>
    <col min="1802" max="1802" width="4.140625" style="32" customWidth="1"/>
    <col min="1803" max="1803" width="10.42578125" style="32" customWidth="1"/>
    <col min="1804" max="1804" width="2.85546875" style="32" customWidth="1"/>
    <col min="1805" max="2048" width="9.140625" style="32"/>
    <col min="2049" max="2049" width="0" style="32" hidden="1" customWidth="1"/>
    <col min="2050" max="2050" width="21.85546875" style="32" customWidth="1"/>
    <col min="2051" max="2051" width="19.140625" style="32" customWidth="1"/>
    <col min="2052" max="2052" width="19.5703125" style="32" customWidth="1"/>
    <col min="2053" max="2053" width="17" style="32" customWidth="1"/>
    <col min="2054" max="2054" width="16.28515625" style="32" customWidth="1"/>
    <col min="2055" max="2055" width="18.140625" style="32" customWidth="1"/>
    <col min="2056" max="2056" width="15.5703125" style="32" customWidth="1"/>
    <col min="2057" max="2057" width="9.140625" style="32"/>
    <col min="2058" max="2058" width="4.140625" style="32" customWidth="1"/>
    <col min="2059" max="2059" width="10.42578125" style="32" customWidth="1"/>
    <col min="2060" max="2060" width="2.85546875" style="32" customWidth="1"/>
    <col min="2061" max="2304" width="9.140625" style="32"/>
    <col min="2305" max="2305" width="0" style="32" hidden="1" customWidth="1"/>
    <col min="2306" max="2306" width="21.85546875" style="32" customWidth="1"/>
    <col min="2307" max="2307" width="19.140625" style="32" customWidth="1"/>
    <col min="2308" max="2308" width="19.5703125" style="32" customWidth="1"/>
    <col min="2309" max="2309" width="17" style="32" customWidth="1"/>
    <col min="2310" max="2310" width="16.28515625" style="32" customWidth="1"/>
    <col min="2311" max="2311" width="18.140625" style="32" customWidth="1"/>
    <col min="2312" max="2312" width="15.5703125" style="32" customWidth="1"/>
    <col min="2313" max="2313" width="9.140625" style="32"/>
    <col min="2314" max="2314" width="4.140625" style="32" customWidth="1"/>
    <col min="2315" max="2315" width="10.42578125" style="32" customWidth="1"/>
    <col min="2316" max="2316" width="2.85546875" style="32" customWidth="1"/>
    <col min="2317" max="2560" width="9.140625" style="32"/>
    <col min="2561" max="2561" width="0" style="32" hidden="1" customWidth="1"/>
    <col min="2562" max="2562" width="21.85546875" style="32" customWidth="1"/>
    <col min="2563" max="2563" width="19.140625" style="32" customWidth="1"/>
    <col min="2564" max="2564" width="19.5703125" style="32" customWidth="1"/>
    <col min="2565" max="2565" width="17" style="32" customWidth="1"/>
    <col min="2566" max="2566" width="16.28515625" style="32" customWidth="1"/>
    <col min="2567" max="2567" width="18.140625" style="32" customWidth="1"/>
    <col min="2568" max="2568" width="15.5703125" style="32" customWidth="1"/>
    <col min="2569" max="2569" width="9.140625" style="32"/>
    <col min="2570" max="2570" width="4.140625" style="32" customWidth="1"/>
    <col min="2571" max="2571" width="10.42578125" style="32" customWidth="1"/>
    <col min="2572" max="2572" width="2.85546875" style="32" customWidth="1"/>
    <col min="2573" max="2816" width="9.140625" style="32"/>
    <col min="2817" max="2817" width="0" style="32" hidden="1" customWidth="1"/>
    <col min="2818" max="2818" width="21.85546875" style="32" customWidth="1"/>
    <col min="2819" max="2819" width="19.140625" style="32" customWidth="1"/>
    <col min="2820" max="2820" width="19.5703125" style="32" customWidth="1"/>
    <col min="2821" max="2821" width="17" style="32" customWidth="1"/>
    <col min="2822" max="2822" width="16.28515625" style="32" customWidth="1"/>
    <col min="2823" max="2823" width="18.140625" style="32" customWidth="1"/>
    <col min="2824" max="2824" width="15.5703125" style="32" customWidth="1"/>
    <col min="2825" max="2825" width="9.140625" style="32"/>
    <col min="2826" max="2826" width="4.140625" style="32" customWidth="1"/>
    <col min="2827" max="2827" width="10.42578125" style="32" customWidth="1"/>
    <col min="2828" max="2828" width="2.85546875" style="32" customWidth="1"/>
    <col min="2829" max="3072" width="9.140625" style="32"/>
    <col min="3073" max="3073" width="0" style="32" hidden="1" customWidth="1"/>
    <col min="3074" max="3074" width="21.85546875" style="32" customWidth="1"/>
    <col min="3075" max="3075" width="19.140625" style="32" customWidth="1"/>
    <col min="3076" max="3076" width="19.5703125" style="32" customWidth="1"/>
    <col min="3077" max="3077" width="17" style="32" customWidth="1"/>
    <col min="3078" max="3078" width="16.28515625" style="32" customWidth="1"/>
    <col min="3079" max="3079" width="18.140625" style="32" customWidth="1"/>
    <col min="3080" max="3080" width="15.5703125" style="32" customWidth="1"/>
    <col min="3081" max="3081" width="9.140625" style="32"/>
    <col min="3082" max="3082" width="4.140625" style="32" customWidth="1"/>
    <col min="3083" max="3083" width="10.42578125" style="32" customWidth="1"/>
    <col min="3084" max="3084" width="2.85546875" style="32" customWidth="1"/>
    <col min="3085" max="3328" width="9.140625" style="32"/>
    <col min="3329" max="3329" width="0" style="32" hidden="1" customWidth="1"/>
    <col min="3330" max="3330" width="21.85546875" style="32" customWidth="1"/>
    <col min="3331" max="3331" width="19.140625" style="32" customWidth="1"/>
    <col min="3332" max="3332" width="19.5703125" style="32" customWidth="1"/>
    <col min="3333" max="3333" width="17" style="32" customWidth="1"/>
    <col min="3334" max="3334" width="16.28515625" style="32" customWidth="1"/>
    <col min="3335" max="3335" width="18.140625" style="32" customWidth="1"/>
    <col min="3336" max="3336" width="15.5703125" style="32" customWidth="1"/>
    <col min="3337" max="3337" width="9.140625" style="32"/>
    <col min="3338" max="3338" width="4.140625" style="32" customWidth="1"/>
    <col min="3339" max="3339" width="10.42578125" style="32" customWidth="1"/>
    <col min="3340" max="3340" width="2.85546875" style="32" customWidth="1"/>
    <col min="3341" max="3584" width="9.140625" style="32"/>
    <col min="3585" max="3585" width="0" style="32" hidden="1" customWidth="1"/>
    <col min="3586" max="3586" width="21.85546875" style="32" customWidth="1"/>
    <col min="3587" max="3587" width="19.140625" style="32" customWidth="1"/>
    <col min="3588" max="3588" width="19.5703125" style="32" customWidth="1"/>
    <col min="3589" max="3589" width="17" style="32" customWidth="1"/>
    <col min="3590" max="3590" width="16.28515625" style="32" customWidth="1"/>
    <col min="3591" max="3591" width="18.140625" style="32" customWidth="1"/>
    <col min="3592" max="3592" width="15.5703125" style="32" customWidth="1"/>
    <col min="3593" max="3593" width="9.140625" style="32"/>
    <col min="3594" max="3594" width="4.140625" style="32" customWidth="1"/>
    <col min="3595" max="3595" width="10.42578125" style="32" customWidth="1"/>
    <col min="3596" max="3596" width="2.85546875" style="32" customWidth="1"/>
    <col min="3597" max="3840" width="9.140625" style="32"/>
    <col min="3841" max="3841" width="0" style="32" hidden="1" customWidth="1"/>
    <col min="3842" max="3842" width="21.85546875" style="32" customWidth="1"/>
    <col min="3843" max="3843" width="19.140625" style="32" customWidth="1"/>
    <col min="3844" max="3844" width="19.5703125" style="32" customWidth="1"/>
    <col min="3845" max="3845" width="17" style="32" customWidth="1"/>
    <col min="3846" max="3846" width="16.28515625" style="32" customWidth="1"/>
    <col min="3847" max="3847" width="18.140625" style="32" customWidth="1"/>
    <col min="3848" max="3848" width="15.5703125" style="32" customWidth="1"/>
    <col min="3849" max="3849" width="9.140625" style="32"/>
    <col min="3850" max="3850" width="4.140625" style="32" customWidth="1"/>
    <col min="3851" max="3851" width="10.42578125" style="32" customWidth="1"/>
    <col min="3852" max="3852" width="2.85546875" style="32" customWidth="1"/>
    <col min="3853" max="4096" width="9.140625" style="32"/>
    <col min="4097" max="4097" width="0" style="32" hidden="1" customWidth="1"/>
    <col min="4098" max="4098" width="21.85546875" style="32" customWidth="1"/>
    <col min="4099" max="4099" width="19.140625" style="32" customWidth="1"/>
    <col min="4100" max="4100" width="19.5703125" style="32" customWidth="1"/>
    <col min="4101" max="4101" width="17" style="32" customWidth="1"/>
    <col min="4102" max="4102" width="16.28515625" style="32" customWidth="1"/>
    <col min="4103" max="4103" width="18.140625" style="32" customWidth="1"/>
    <col min="4104" max="4104" width="15.5703125" style="32" customWidth="1"/>
    <col min="4105" max="4105" width="9.140625" style="32"/>
    <col min="4106" max="4106" width="4.140625" style="32" customWidth="1"/>
    <col min="4107" max="4107" width="10.42578125" style="32" customWidth="1"/>
    <col min="4108" max="4108" width="2.85546875" style="32" customWidth="1"/>
    <col min="4109" max="4352" width="9.140625" style="32"/>
    <col min="4353" max="4353" width="0" style="32" hidden="1" customWidth="1"/>
    <col min="4354" max="4354" width="21.85546875" style="32" customWidth="1"/>
    <col min="4355" max="4355" width="19.140625" style="32" customWidth="1"/>
    <col min="4356" max="4356" width="19.5703125" style="32" customWidth="1"/>
    <col min="4357" max="4357" width="17" style="32" customWidth="1"/>
    <col min="4358" max="4358" width="16.28515625" style="32" customWidth="1"/>
    <col min="4359" max="4359" width="18.140625" style="32" customWidth="1"/>
    <col min="4360" max="4360" width="15.5703125" style="32" customWidth="1"/>
    <col min="4361" max="4361" width="9.140625" style="32"/>
    <col min="4362" max="4362" width="4.140625" style="32" customWidth="1"/>
    <col min="4363" max="4363" width="10.42578125" style="32" customWidth="1"/>
    <col min="4364" max="4364" width="2.85546875" style="32" customWidth="1"/>
    <col min="4365" max="4608" width="9.140625" style="32"/>
    <col min="4609" max="4609" width="0" style="32" hidden="1" customWidth="1"/>
    <col min="4610" max="4610" width="21.85546875" style="32" customWidth="1"/>
    <col min="4611" max="4611" width="19.140625" style="32" customWidth="1"/>
    <col min="4612" max="4612" width="19.5703125" style="32" customWidth="1"/>
    <col min="4613" max="4613" width="17" style="32" customWidth="1"/>
    <col min="4614" max="4614" width="16.28515625" style="32" customWidth="1"/>
    <col min="4615" max="4615" width="18.140625" style="32" customWidth="1"/>
    <col min="4616" max="4616" width="15.5703125" style="32" customWidth="1"/>
    <col min="4617" max="4617" width="9.140625" style="32"/>
    <col min="4618" max="4618" width="4.140625" style="32" customWidth="1"/>
    <col min="4619" max="4619" width="10.42578125" style="32" customWidth="1"/>
    <col min="4620" max="4620" width="2.85546875" style="32" customWidth="1"/>
    <col min="4621" max="4864" width="9.140625" style="32"/>
    <col min="4865" max="4865" width="0" style="32" hidden="1" customWidth="1"/>
    <col min="4866" max="4866" width="21.85546875" style="32" customWidth="1"/>
    <col min="4867" max="4867" width="19.140625" style="32" customWidth="1"/>
    <col min="4868" max="4868" width="19.5703125" style="32" customWidth="1"/>
    <col min="4869" max="4869" width="17" style="32" customWidth="1"/>
    <col min="4870" max="4870" width="16.28515625" style="32" customWidth="1"/>
    <col min="4871" max="4871" width="18.140625" style="32" customWidth="1"/>
    <col min="4872" max="4872" width="15.5703125" style="32" customWidth="1"/>
    <col min="4873" max="4873" width="9.140625" style="32"/>
    <col min="4874" max="4874" width="4.140625" style="32" customWidth="1"/>
    <col min="4875" max="4875" width="10.42578125" style="32" customWidth="1"/>
    <col min="4876" max="4876" width="2.85546875" style="32" customWidth="1"/>
    <col min="4877" max="5120" width="9.140625" style="32"/>
    <col min="5121" max="5121" width="0" style="32" hidden="1" customWidth="1"/>
    <col min="5122" max="5122" width="21.85546875" style="32" customWidth="1"/>
    <col min="5123" max="5123" width="19.140625" style="32" customWidth="1"/>
    <col min="5124" max="5124" width="19.5703125" style="32" customWidth="1"/>
    <col min="5125" max="5125" width="17" style="32" customWidth="1"/>
    <col min="5126" max="5126" width="16.28515625" style="32" customWidth="1"/>
    <col min="5127" max="5127" width="18.140625" style="32" customWidth="1"/>
    <col min="5128" max="5128" width="15.5703125" style="32" customWidth="1"/>
    <col min="5129" max="5129" width="9.140625" style="32"/>
    <col min="5130" max="5130" width="4.140625" style="32" customWidth="1"/>
    <col min="5131" max="5131" width="10.42578125" style="32" customWidth="1"/>
    <col min="5132" max="5132" width="2.85546875" style="32" customWidth="1"/>
    <col min="5133" max="5376" width="9.140625" style="32"/>
    <col min="5377" max="5377" width="0" style="32" hidden="1" customWidth="1"/>
    <col min="5378" max="5378" width="21.85546875" style="32" customWidth="1"/>
    <col min="5379" max="5379" width="19.140625" style="32" customWidth="1"/>
    <col min="5380" max="5380" width="19.5703125" style="32" customWidth="1"/>
    <col min="5381" max="5381" width="17" style="32" customWidth="1"/>
    <col min="5382" max="5382" width="16.28515625" style="32" customWidth="1"/>
    <col min="5383" max="5383" width="18.140625" style="32" customWidth="1"/>
    <col min="5384" max="5384" width="15.5703125" style="32" customWidth="1"/>
    <col min="5385" max="5385" width="9.140625" style="32"/>
    <col min="5386" max="5386" width="4.140625" style="32" customWidth="1"/>
    <col min="5387" max="5387" width="10.42578125" style="32" customWidth="1"/>
    <col min="5388" max="5388" width="2.85546875" style="32" customWidth="1"/>
    <col min="5389" max="5632" width="9.140625" style="32"/>
    <col min="5633" max="5633" width="0" style="32" hidden="1" customWidth="1"/>
    <col min="5634" max="5634" width="21.85546875" style="32" customWidth="1"/>
    <col min="5635" max="5635" width="19.140625" style="32" customWidth="1"/>
    <col min="5636" max="5636" width="19.5703125" style="32" customWidth="1"/>
    <col min="5637" max="5637" width="17" style="32" customWidth="1"/>
    <col min="5638" max="5638" width="16.28515625" style="32" customWidth="1"/>
    <col min="5639" max="5639" width="18.140625" style="32" customWidth="1"/>
    <col min="5640" max="5640" width="15.5703125" style="32" customWidth="1"/>
    <col min="5641" max="5641" width="9.140625" style="32"/>
    <col min="5642" max="5642" width="4.140625" style="32" customWidth="1"/>
    <col min="5643" max="5643" width="10.42578125" style="32" customWidth="1"/>
    <col min="5644" max="5644" width="2.85546875" style="32" customWidth="1"/>
    <col min="5645" max="5888" width="9.140625" style="32"/>
    <col min="5889" max="5889" width="0" style="32" hidden="1" customWidth="1"/>
    <col min="5890" max="5890" width="21.85546875" style="32" customWidth="1"/>
    <col min="5891" max="5891" width="19.140625" style="32" customWidth="1"/>
    <col min="5892" max="5892" width="19.5703125" style="32" customWidth="1"/>
    <col min="5893" max="5893" width="17" style="32" customWidth="1"/>
    <col min="5894" max="5894" width="16.28515625" style="32" customWidth="1"/>
    <col min="5895" max="5895" width="18.140625" style="32" customWidth="1"/>
    <col min="5896" max="5896" width="15.5703125" style="32" customWidth="1"/>
    <col min="5897" max="5897" width="9.140625" style="32"/>
    <col min="5898" max="5898" width="4.140625" style="32" customWidth="1"/>
    <col min="5899" max="5899" width="10.42578125" style="32" customWidth="1"/>
    <col min="5900" max="5900" width="2.85546875" style="32" customWidth="1"/>
    <col min="5901" max="6144" width="9.140625" style="32"/>
    <col min="6145" max="6145" width="0" style="32" hidden="1" customWidth="1"/>
    <col min="6146" max="6146" width="21.85546875" style="32" customWidth="1"/>
    <col min="6147" max="6147" width="19.140625" style="32" customWidth="1"/>
    <col min="6148" max="6148" width="19.5703125" style="32" customWidth="1"/>
    <col min="6149" max="6149" width="17" style="32" customWidth="1"/>
    <col min="6150" max="6150" width="16.28515625" style="32" customWidth="1"/>
    <col min="6151" max="6151" width="18.140625" style="32" customWidth="1"/>
    <col min="6152" max="6152" width="15.5703125" style="32" customWidth="1"/>
    <col min="6153" max="6153" width="9.140625" style="32"/>
    <col min="6154" max="6154" width="4.140625" style="32" customWidth="1"/>
    <col min="6155" max="6155" width="10.42578125" style="32" customWidth="1"/>
    <col min="6156" max="6156" width="2.85546875" style="32" customWidth="1"/>
    <col min="6157" max="6400" width="9.140625" style="32"/>
    <col min="6401" max="6401" width="0" style="32" hidden="1" customWidth="1"/>
    <col min="6402" max="6402" width="21.85546875" style="32" customWidth="1"/>
    <col min="6403" max="6403" width="19.140625" style="32" customWidth="1"/>
    <col min="6404" max="6404" width="19.5703125" style="32" customWidth="1"/>
    <col min="6405" max="6405" width="17" style="32" customWidth="1"/>
    <col min="6406" max="6406" width="16.28515625" style="32" customWidth="1"/>
    <col min="6407" max="6407" width="18.140625" style="32" customWidth="1"/>
    <col min="6408" max="6408" width="15.5703125" style="32" customWidth="1"/>
    <col min="6409" max="6409" width="9.140625" style="32"/>
    <col min="6410" max="6410" width="4.140625" style="32" customWidth="1"/>
    <col min="6411" max="6411" width="10.42578125" style="32" customWidth="1"/>
    <col min="6412" max="6412" width="2.85546875" style="32" customWidth="1"/>
    <col min="6413" max="6656" width="9.140625" style="32"/>
    <col min="6657" max="6657" width="0" style="32" hidden="1" customWidth="1"/>
    <col min="6658" max="6658" width="21.85546875" style="32" customWidth="1"/>
    <col min="6659" max="6659" width="19.140625" style="32" customWidth="1"/>
    <col min="6660" max="6660" width="19.5703125" style="32" customWidth="1"/>
    <col min="6661" max="6661" width="17" style="32" customWidth="1"/>
    <col min="6662" max="6662" width="16.28515625" style="32" customWidth="1"/>
    <col min="6663" max="6663" width="18.140625" style="32" customWidth="1"/>
    <col min="6664" max="6664" width="15.5703125" style="32" customWidth="1"/>
    <col min="6665" max="6665" width="9.140625" style="32"/>
    <col min="6666" max="6666" width="4.140625" style="32" customWidth="1"/>
    <col min="6667" max="6667" width="10.42578125" style="32" customWidth="1"/>
    <col min="6668" max="6668" width="2.85546875" style="32" customWidth="1"/>
    <col min="6669" max="6912" width="9.140625" style="32"/>
    <col min="6913" max="6913" width="0" style="32" hidden="1" customWidth="1"/>
    <col min="6914" max="6914" width="21.85546875" style="32" customWidth="1"/>
    <col min="6915" max="6915" width="19.140625" style="32" customWidth="1"/>
    <col min="6916" max="6916" width="19.5703125" style="32" customWidth="1"/>
    <col min="6917" max="6917" width="17" style="32" customWidth="1"/>
    <col min="6918" max="6918" width="16.28515625" style="32" customWidth="1"/>
    <col min="6919" max="6919" width="18.140625" style="32" customWidth="1"/>
    <col min="6920" max="6920" width="15.5703125" style="32" customWidth="1"/>
    <col min="6921" max="6921" width="9.140625" style="32"/>
    <col min="6922" max="6922" width="4.140625" style="32" customWidth="1"/>
    <col min="6923" max="6923" width="10.42578125" style="32" customWidth="1"/>
    <col min="6924" max="6924" width="2.85546875" style="32" customWidth="1"/>
    <col min="6925" max="7168" width="9.140625" style="32"/>
    <col min="7169" max="7169" width="0" style="32" hidden="1" customWidth="1"/>
    <col min="7170" max="7170" width="21.85546875" style="32" customWidth="1"/>
    <col min="7171" max="7171" width="19.140625" style="32" customWidth="1"/>
    <col min="7172" max="7172" width="19.5703125" style="32" customWidth="1"/>
    <col min="7173" max="7173" width="17" style="32" customWidth="1"/>
    <col min="7174" max="7174" width="16.28515625" style="32" customWidth="1"/>
    <col min="7175" max="7175" width="18.140625" style="32" customWidth="1"/>
    <col min="7176" max="7176" width="15.5703125" style="32" customWidth="1"/>
    <col min="7177" max="7177" width="9.140625" style="32"/>
    <col min="7178" max="7178" width="4.140625" style="32" customWidth="1"/>
    <col min="7179" max="7179" width="10.42578125" style="32" customWidth="1"/>
    <col min="7180" max="7180" width="2.85546875" style="32" customWidth="1"/>
    <col min="7181" max="7424" width="9.140625" style="32"/>
    <col min="7425" max="7425" width="0" style="32" hidden="1" customWidth="1"/>
    <col min="7426" max="7426" width="21.85546875" style="32" customWidth="1"/>
    <col min="7427" max="7427" width="19.140625" style="32" customWidth="1"/>
    <col min="7428" max="7428" width="19.5703125" style="32" customWidth="1"/>
    <col min="7429" max="7429" width="17" style="32" customWidth="1"/>
    <col min="7430" max="7430" width="16.28515625" style="32" customWidth="1"/>
    <col min="7431" max="7431" width="18.140625" style="32" customWidth="1"/>
    <col min="7432" max="7432" width="15.5703125" style="32" customWidth="1"/>
    <col min="7433" max="7433" width="9.140625" style="32"/>
    <col min="7434" max="7434" width="4.140625" style="32" customWidth="1"/>
    <col min="7435" max="7435" width="10.42578125" style="32" customWidth="1"/>
    <col min="7436" max="7436" width="2.85546875" style="32" customWidth="1"/>
    <col min="7437" max="7680" width="9.140625" style="32"/>
    <col min="7681" max="7681" width="0" style="32" hidden="1" customWidth="1"/>
    <col min="7682" max="7682" width="21.85546875" style="32" customWidth="1"/>
    <col min="7683" max="7683" width="19.140625" style="32" customWidth="1"/>
    <col min="7684" max="7684" width="19.5703125" style="32" customWidth="1"/>
    <col min="7685" max="7685" width="17" style="32" customWidth="1"/>
    <col min="7686" max="7686" width="16.28515625" style="32" customWidth="1"/>
    <col min="7687" max="7687" width="18.140625" style="32" customWidth="1"/>
    <col min="7688" max="7688" width="15.5703125" style="32" customWidth="1"/>
    <col min="7689" max="7689" width="9.140625" style="32"/>
    <col min="7690" max="7690" width="4.140625" style="32" customWidth="1"/>
    <col min="7691" max="7691" width="10.42578125" style="32" customWidth="1"/>
    <col min="7692" max="7692" width="2.85546875" style="32" customWidth="1"/>
    <col min="7693" max="7936" width="9.140625" style="32"/>
    <col min="7937" max="7937" width="0" style="32" hidden="1" customWidth="1"/>
    <col min="7938" max="7938" width="21.85546875" style="32" customWidth="1"/>
    <col min="7939" max="7939" width="19.140625" style="32" customWidth="1"/>
    <col min="7940" max="7940" width="19.5703125" style="32" customWidth="1"/>
    <col min="7941" max="7941" width="17" style="32" customWidth="1"/>
    <col min="7942" max="7942" width="16.28515625" style="32" customWidth="1"/>
    <col min="7943" max="7943" width="18.140625" style="32" customWidth="1"/>
    <col min="7944" max="7944" width="15.5703125" style="32" customWidth="1"/>
    <col min="7945" max="7945" width="9.140625" style="32"/>
    <col min="7946" max="7946" width="4.140625" style="32" customWidth="1"/>
    <col min="7947" max="7947" width="10.42578125" style="32" customWidth="1"/>
    <col min="7948" max="7948" width="2.85546875" style="32" customWidth="1"/>
    <col min="7949" max="8192" width="9.140625" style="32"/>
    <col min="8193" max="8193" width="0" style="32" hidden="1" customWidth="1"/>
    <col min="8194" max="8194" width="21.85546875" style="32" customWidth="1"/>
    <col min="8195" max="8195" width="19.140625" style="32" customWidth="1"/>
    <col min="8196" max="8196" width="19.5703125" style="32" customWidth="1"/>
    <col min="8197" max="8197" width="17" style="32" customWidth="1"/>
    <col min="8198" max="8198" width="16.28515625" style="32" customWidth="1"/>
    <col min="8199" max="8199" width="18.140625" style="32" customWidth="1"/>
    <col min="8200" max="8200" width="15.5703125" style="32" customWidth="1"/>
    <col min="8201" max="8201" width="9.140625" style="32"/>
    <col min="8202" max="8202" width="4.140625" style="32" customWidth="1"/>
    <col min="8203" max="8203" width="10.42578125" style="32" customWidth="1"/>
    <col min="8204" max="8204" width="2.85546875" style="32" customWidth="1"/>
    <col min="8205" max="8448" width="9.140625" style="32"/>
    <col min="8449" max="8449" width="0" style="32" hidden="1" customWidth="1"/>
    <col min="8450" max="8450" width="21.85546875" style="32" customWidth="1"/>
    <col min="8451" max="8451" width="19.140625" style="32" customWidth="1"/>
    <col min="8452" max="8452" width="19.5703125" style="32" customWidth="1"/>
    <col min="8453" max="8453" width="17" style="32" customWidth="1"/>
    <col min="8454" max="8454" width="16.28515625" style="32" customWidth="1"/>
    <col min="8455" max="8455" width="18.140625" style="32" customWidth="1"/>
    <col min="8456" max="8456" width="15.5703125" style="32" customWidth="1"/>
    <col min="8457" max="8457" width="9.140625" style="32"/>
    <col min="8458" max="8458" width="4.140625" style="32" customWidth="1"/>
    <col min="8459" max="8459" width="10.42578125" style="32" customWidth="1"/>
    <col min="8460" max="8460" width="2.85546875" style="32" customWidth="1"/>
    <col min="8461" max="8704" width="9.140625" style="32"/>
    <col min="8705" max="8705" width="0" style="32" hidden="1" customWidth="1"/>
    <col min="8706" max="8706" width="21.85546875" style="32" customWidth="1"/>
    <col min="8707" max="8707" width="19.140625" style="32" customWidth="1"/>
    <col min="8708" max="8708" width="19.5703125" style="32" customWidth="1"/>
    <col min="8709" max="8709" width="17" style="32" customWidth="1"/>
    <col min="8710" max="8710" width="16.28515625" style="32" customWidth="1"/>
    <col min="8711" max="8711" width="18.140625" style="32" customWidth="1"/>
    <col min="8712" max="8712" width="15.5703125" style="32" customWidth="1"/>
    <col min="8713" max="8713" width="9.140625" style="32"/>
    <col min="8714" max="8714" width="4.140625" style="32" customWidth="1"/>
    <col min="8715" max="8715" width="10.42578125" style="32" customWidth="1"/>
    <col min="8716" max="8716" width="2.85546875" style="32" customWidth="1"/>
    <col min="8717" max="8960" width="9.140625" style="32"/>
    <col min="8961" max="8961" width="0" style="32" hidden="1" customWidth="1"/>
    <col min="8962" max="8962" width="21.85546875" style="32" customWidth="1"/>
    <col min="8963" max="8963" width="19.140625" style="32" customWidth="1"/>
    <col min="8964" max="8964" width="19.5703125" style="32" customWidth="1"/>
    <col min="8965" max="8965" width="17" style="32" customWidth="1"/>
    <col min="8966" max="8966" width="16.28515625" style="32" customWidth="1"/>
    <col min="8967" max="8967" width="18.140625" style="32" customWidth="1"/>
    <col min="8968" max="8968" width="15.5703125" style="32" customWidth="1"/>
    <col min="8969" max="8969" width="9.140625" style="32"/>
    <col min="8970" max="8970" width="4.140625" style="32" customWidth="1"/>
    <col min="8971" max="8971" width="10.42578125" style="32" customWidth="1"/>
    <col min="8972" max="8972" width="2.85546875" style="32" customWidth="1"/>
    <col min="8973" max="9216" width="9.140625" style="32"/>
    <col min="9217" max="9217" width="0" style="32" hidden="1" customWidth="1"/>
    <col min="9218" max="9218" width="21.85546875" style="32" customWidth="1"/>
    <col min="9219" max="9219" width="19.140625" style="32" customWidth="1"/>
    <col min="9220" max="9220" width="19.5703125" style="32" customWidth="1"/>
    <col min="9221" max="9221" width="17" style="32" customWidth="1"/>
    <col min="9222" max="9222" width="16.28515625" style="32" customWidth="1"/>
    <col min="9223" max="9223" width="18.140625" style="32" customWidth="1"/>
    <col min="9224" max="9224" width="15.5703125" style="32" customWidth="1"/>
    <col min="9225" max="9225" width="9.140625" style="32"/>
    <col min="9226" max="9226" width="4.140625" style="32" customWidth="1"/>
    <col min="9227" max="9227" width="10.42578125" style="32" customWidth="1"/>
    <col min="9228" max="9228" width="2.85546875" style="32" customWidth="1"/>
    <col min="9229" max="9472" width="9.140625" style="32"/>
    <col min="9473" max="9473" width="0" style="32" hidden="1" customWidth="1"/>
    <col min="9474" max="9474" width="21.85546875" style="32" customWidth="1"/>
    <col min="9475" max="9475" width="19.140625" style="32" customWidth="1"/>
    <col min="9476" max="9476" width="19.5703125" style="32" customWidth="1"/>
    <col min="9477" max="9477" width="17" style="32" customWidth="1"/>
    <col min="9478" max="9478" width="16.28515625" style="32" customWidth="1"/>
    <col min="9479" max="9479" width="18.140625" style="32" customWidth="1"/>
    <col min="9480" max="9480" width="15.5703125" style="32" customWidth="1"/>
    <col min="9481" max="9481" width="9.140625" style="32"/>
    <col min="9482" max="9482" width="4.140625" style="32" customWidth="1"/>
    <col min="9483" max="9483" width="10.42578125" style="32" customWidth="1"/>
    <col min="9484" max="9484" width="2.85546875" style="32" customWidth="1"/>
    <col min="9485" max="9728" width="9.140625" style="32"/>
    <col min="9729" max="9729" width="0" style="32" hidden="1" customWidth="1"/>
    <col min="9730" max="9730" width="21.85546875" style="32" customWidth="1"/>
    <col min="9731" max="9731" width="19.140625" style="32" customWidth="1"/>
    <col min="9732" max="9732" width="19.5703125" style="32" customWidth="1"/>
    <col min="9733" max="9733" width="17" style="32" customWidth="1"/>
    <col min="9734" max="9734" width="16.28515625" style="32" customWidth="1"/>
    <col min="9735" max="9735" width="18.140625" style="32" customWidth="1"/>
    <col min="9736" max="9736" width="15.5703125" style="32" customWidth="1"/>
    <col min="9737" max="9737" width="9.140625" style="32"/>
    <col min="9738" max="9738" width="4.140625" style="32" customWidth="1"/>
    <col min="9739" max="9739" width="10.42578125" style="32" customWidth="1"/>
    <col min="9740" max="9740" width="2.85546875" style="32" customWidth="1"/>
    <col min="9741" max="9984" width="9.140625" style="32"/>
    <col min="9985" max="9985" width="0" style="32" hidden="1" customWidth="1"/>
    <col min="9986" max="9986" width="21.85546875" style="32" customWidth="1"/>
    <col min="9987" max="9987" width="19.140625" style="32" customWidth="1"/>
    <col min="9988" max="9988" width="19.5703125" style="32" customWidth="1"/>
    <col min="9989" max="9989" width="17" style="32" customWidth="1"/>
    <col min="9990" max="9990" width="16.28515625" style="32" customWidth="1"/>
    <col min="9991" max="9991" width="18.140625" style="32" customWidth="1"/>
    <col min="9992" max="9992" width="15.5703125" style="32" customWidth="1"/>
    <col min="9993" max="9993" width="9.140625" style="32"/>
    <col min="9994" max="9994" width="4.140625" style="32" customWidth="1"/>
    <col min="9995" max="9995" width="10.42578125" style="32" customWidth="1"/>
    <col min="9996" max="9996" width="2.85546875" style="32" customWidth="1"/>
    <col min="9997" max="10240" width="9.140625" style="32"/>
    <col min="10241" max="10241" width="0" style="32" hidden="1" customWidth="1"/>
    <col min="10242" max="10242" width="21.85546875" style="32" customWidth="1"/>
    <col min="10243" max="10243" width="19.140625" style="32" customWidth="1"/>
    <col min="10244" max="10244" width="19.5703125" style="32" customWidth="1"/>
    <col min="10245" max="10245" width="17" style="32" customWidth="1"/>
    <col min="10246" max="10246" width="16.28515625" style="32" customWidth="1"/>
    <col min="10247" max="10247" width="18.140625" style="32" customWidth="1"/>
    <col min="10248" max="10248" width="15.5703125" style="32" customWidth="1"/>
    <col min="10249" max="10249" width="9.140625" style="32"/>
    <col min="10250" max="10250" width="4.140625" style="32" customWidth="1"/>
    <col min="10251" max="10251" width="10.42578125" style="32" customWidth="1"/>
    <col min="10252" max="10252" width="2.85546875" style="32" customWidth="1"/>
    <col min="10253" max="10496" width="9.140625" style="32"/>
    <col min="10497" max="10497" width="0" style="32" hidden="1" customWidth="1"/>
    <col min="10498" max="10498" width="21.85546875" style="32" customWidth="1"/>
    <col min="10499" max="10499" width="19.140625" style="32" customWidth="1"/>
    <col min="10500" max="10500" width="19.5703125" style="32" customWidth="1"/>
    <col min="10501" max="10501" width="17" style="32" customWidth="1"/>
    <col min="10502" max="10502" width="16.28515625" style="32" customWidth="1"/>
    <col min="10503" max="10503" width="18.140625" style="32" customWidth="1"/>
    <col min="10504" max="10504" width="15.5703125" style="32" customWidth="1"/>
    <col min="10505" max="10505" width="9.140625" style="32"/>
    <col min="10506" max="10506" width="4.140625" style="32" customWidth="1"/>
    <col min="10507" max="10507" width="10.42578125" style="32" customWidth="1"/>
    <col min="10508" max="10508" width="2.85546875" style="32" customWidth="1"/>
    <col min="10509" max="10752" width="9.140625" style="32"/>
    <col min="10753" max="10753" width="0" style="32" hidden="1" customWidth="1"/>
    <col min="10754" max="10754" width="21.85546875" style="32" customWidth="1"/>
    <col min="10755" max="10755" width="19.140625" style="32" customWidth="1"/>
    <col min="10756" max="10756" width="19.5703125" style="32" customWidth="1"/>
    <col min="10757" max="10757" width="17" style="32" customWidth="1"/>
    <col min="10758" max="10758" width="16.28515625" style="32" customWidth="1"/>
    <col min="10759" max="10759" width="18.140625" style="32" customWidth="1"/>
    <col min="10760" max="10760" width="15.5703125" style="32" customWidth="1"/>
    <col min="10761" max="10761" width="9.140625" style="32"/>
    <col min="10762" max="10762" width="4.140625" style="32" customWidth="1"/>
    <col min="10763" max="10763" width="10.42578125" style="32" customWidth="1"/>
    <col min="10764" max="10764" width="2.85546875" style="32" customWidth="1"/>
    <col min="10765" max="11008" width="9.140625" style="32"/>
    <col min="11009" max="11009" width="0" style="32" hidden="1" customWidth="1"/>
    <col min="11010" max="11010" width="21.85546875" style="32" customWidth="1"/>
    <col min="11011" max="11011" width="19.140625" style="32" customWidth="1"/>
    <col min="11012" max="11012" width="19.5703125" style="32" customWidth="1"/>
    <col min="11013" max="11013" width="17" style="32" customWidth="1"/>
    <col min="11014" max="11014" width="16.28515625" style="32" customWidth="1"/>
    <col min="11015" max="11015" width="18.140625" style="32" customWidth="1"/>
    <col min="11016" max="11016" width="15.5703125" style="32" customWidth="1"/>
    <col min="11017" max="11017" width="9.140625" style="32"/>
    <col min="11018" max="11018" width="4.140625" style="32" customWidth="1"/>
    <col min="11019" max="11019" width="10.42578125" style="32" customWidth="1"/>
    <col min="11020" max="11020" width="2.85546875" style="32" customWidth="1"/>
    <col min="11021" max="11264" width="9.140625" style="32"/>
    <col min="11265" max="11265" width="0" style="32" hidden="1" customWidth="1"/>
    <col min="11266" max="11266" width="21.85546875" style="32" customWidth="1"/>
    <col min="11267" max="11267" width="19.140625" style="32" customWidth="1"/>
    <col min="11268" max="11268" width="19.5703125" style="32" customWidth="1"/>
    <col min="11269" max="11269" width="17" style="32" customWidth="1"/>
    <col min="11270" max="11270" width="16.28515625" style="32" customWidth="1"/>
    <col min="11271" max="11271" width="18.140625" style="32" customWidth="1"/>
    <col min="11272" max="11272" width="15.5703125" style="32" customWidth="1"/>
    <col min="11273" max="11273" width="9.140625" style="32"/>
    <col min="11274" max="11274" width="4.140625" style="32" customWidth="1"/>
    <col min="11275" max="11275" width="10.42578125" style="32" customWidth="1"/>
    <col min="11276" max="11276" width="2.85546875" style="32" customWidth="1"/>
    <col min="11277" max="11520" width="9.140625" style="32"/>
    <col min="11521" max="11521" width="0" style="32" hidden="1" customWidth="1"/>
    <col min="11522" max="11522" width="21.85546875" style="32" customWidth="1"/>
    <col min="11523" max="11523" width="19.140625" style="32" customWidth="1"/>
    <col min="11524" max="11524" width="19.5703125" style="32" customWidth="1"/>
    <col min="11525" max="11525" width="17" style="32" customWidth="1"/>
    <col min="11526" max="11526" width="16.28515625" style="32" customWidth="1"/>
    <col min="11527" max="11527" width="18.140625" style="32" customWidth="1"/>
    <col min="11528" max="11528" width="15.5703125" style="32" customWidth="1"/>
    <col min="11529" max="11529" width="9.140625" style="32"/>
    <col min="11530" max="11530" width="4.140625" style="32" customWidth="1"/>
    <col min="11531" max="11531" width="10.42578125" style="32" customWidth="1"/>
    <col min="11532" max="11532" width="2.85546875" style="32" customWidth="1"/>
    <col min="11533" max="11776" width="9.140625" style="32"/>
    <col min="11777" max="11777" width="0" style="32" hidden="1" customWidth="1"/>
    <col min="11778" max="11778" width="21.85546875" style="32" customWidth="1"/>
    <col min="11779" max="11779" width="19.140625" style="32" customWidth="1"/>
    <col min="11780" max="11780" width="19.5703125" style="32" customWidth="1"/>
    <col min="11781" max="11781" width="17" style="32" customWidth="1"/>
    <col min="11782" max="11782" width="16.28515625" style="32" customWidth="1"/>
    <col min="11783" max="11783" width="18.140625" style="32" customWidth="1"/>
    <col min="11784" max="11784" width="15.5703125" style="32" customWidth="1"/>
    <col min="11785" max="11785" width="9.140625" style="32"/>
    <col min="11786" max="11786" width="4.140625" style="32" customWidth="1"/>
    <col min="11787" max="11787" width="10.42578125" style="32" customWidth="1"/>
    <col min="11788" max="11788" width="2.85546875" style="32" customWidth="1"/>
    <col min="11789" max="12032" width="9.140625" style="32"/>
    <col min="12033" max="12033" width="0" style="32" hidden="1" customWidth="1"/>
    <col min="12034" max="12034" width="21.85546875" style="32" customWidth="1"/>
    <col min="12035" max="12035" width="19.140625" style="32" customWidth="1"/>
    <col min="12036" max="12036" width="19.5703125" style="32" customWidth="1"/>
    <col min="12037" max="12037" width="17" style="32" customWidth="1"/>
    <col min="12038" max="12038" width="16.28515625" style="32" customWidth="1"/>
    <col min="12039" max="12039" width="18.140625" style="32" customWidth="1"/>
    <col min="12040" max="12040" width="15.5703125" style="32" customWidth="1"/>
    <col min="12041" max="12041" width="9.140625" style="32"/>
    <col min="12042" max="12042" width="4.140625" style="32" customWidth="1"/>
    <col min="12043" max="12043" width="10.42578125" style="32" customWidth="1"/>
    <col min="12044" max="12044" width="2.85546875" style="32" customWidth="1"/>
    <col min="12045" max="12288" width="9.140625" style="32"/>
    <col min="12289" max="12289" width="0" style="32" hidden="1" customWidth="1"/>
    <col min="12290" max="12290" width="21.85546875" style="32" customWidth="1"/>
    <col min="12291" max="12291" width="19.140625" style="32" customWidth="1"/>
    <col min="12292" max="12292" width="19.5703125" style="32" customWidth="1"/>
    <col min="12293" max="12293" width="17" style="32" customWidth="1"/>
    <col min="12294" max="12294" width="16.28515625" style="32" customWidth="1"/>
    <col min="12295" max="12295" width="18.140625" style="32" customWidth="1"/>
    <col min="12296" max="12296" width="15.5703125" style="32" customWidth="1"/>
    <col min="12297" max="12297" width="9.140625" style="32"/>
    <col min="12298" max="12298" width="4.140625" style="32" customWidth="1"/>
    <col min="12299" max="12299" width="10.42578125" style="32" customWidth="1"/>
    <col min="12300" max="12300" width="2.85546875" style="32" customWidth="1"/>
    <col min="12301" max="12544" width="9.140625" style="32"/>
    <col min="12545" max="12545" width="0" style="32" hidden="1" customWidth="1"/>
    <col min="12546" max="12546" width="21.85546875" style="32" customWidth="1"/>
    <col min="12547" max="12547" width="19.140625" style="32" customWidth="1"/>
    <col min="12548" max="12548" width="19.5703125" style="32" customWidth="1"/>
    <col min="12549" max="12549" width="17" style="32" customWidth="1"/>
    <col min="12550" max="12550" width="16.28515625" style="32" customWidth="1"/>
    <col min="12551" max="12551" width="18.140625" style="32" customWidth="1"/>
    <col min="12552" max="12552" width="15.5703125" style="32" customWidth="1"/>
    <col min="12553" max="12553" width="9.140625" style="32"/>
    <col min="12554" max="12554" width="4.140625" style="32" customWidth="1"/>
    <col min="12555" max="12555" width="10.42578125" style="32" customWidth="1"/>
    <col min="12556" max="12556" width="2.85546875" style="32" customWidth="1"/>
    <col min="12557" max="12800" width="9.140625" style="32"/>
    <col min="12801" max="12801" width="0" style="32" hidden="1" customWidth="1"/>
    <col min="12802" max="12802" width="21.85546875" style="32" customWidth="1"/>
    <col min="12803" max="12803" width="19.140625" style="32" customWidth="1"/>
    <col min="12804" max="12804" width="19.5703125" style="32" customWidth="1"/>
    <col min="12805" max="12805" width="17" style="32" customWidth="1"/>
    <col min="12806" max="12806" width="16.28515625" style="32" customWidth="1"/>
    <col min="12807" max="12807" width="18.140625" style="32" customWidth="1"/>
    <col min="12808" max="12808" width="15.5703125" style="32" customWidth="1"/>
    <col min="12809" max="12809" width="9.140625" style="32"/>
    <col min="12810" max="12810" width="4.140625" style="32" customWidth="1"/>
    <col min="12811" max="12811" width="10.42578125" style="32" customWidth="1"/>
    <col min="12812" max="12812" width="2.85546875" style="32" customWidth="1"/>
    <col min="12813" max="13056" width="9.140625" style="32"/>
    <col min="13057" max="13057" width="0" style="32" hidden="1" customWidth="1"/>
    <col min="13058" max="13058" width="21.85546875" style="32" customWidth="1"/>
    <col min="13059" max="13059" width="19.140625" style="32" customWidth="1"/>
    <col min="13060" max="13060" width="19.5703125" style="32" customWidth="1"/>
    <col min="13061" max="13061" width="17" style="32" customWidth="1"/>
    <col min="13062" max="13062" width="16.28515625" style="32" customWidth="1"/>
    <col min="13063" max="13063" width="18.140625" style="32" customWidth="1"/>
    <col min="13064" max="13064" width="15.5703125" style="32" customWidth="1"/>
    <col min="13065" max="13065" width="9.140625" style="32"/>
    <col min="13066" max="13066" width="4.140625" style="32" customWidth="1"/>
    <col min="13067" max="13067" width="10.42578125" style="32" customWidth="1"/>
    <col min="13068" max="13068" width="2.85546875" style="32" customWidth="1"/>
    <col min="13069" max="13312" width="9.140625" style="32"/>
    <col min="13313" max="13313" width="0" style="32" hidden="1" customWidth="1"/>
    <col min="13314" max="13314" width="21.85546875" style="32" customWidth="1"/>
    <col min="13315" max="13315" width="19.140625" style="32" customWidth="1"/>
    <col min="13316" max="13316" width="19.5703125" style="32" customWidth="1"/>
    <col min="13317" max="13317" width="17" style="32" customWidth="1"/>
    <col min="13318" max="13318" width="16.28515625" style="32" customWidth="1"/>
    <col min="13319" max="13319" width="18.140625" style="32" customWidth="1"/>
    <col min="13320" max="13320" width="15.5703125" style="32" customWidth="1"/>
    <col min="13321" max="13321" width="9.140625" style="32"/>
    <col min="13322" max="13322" width="4.140625" style="32" customWidth="1"/>
    <col min="13323" max="13323" width="10.42578125" style="32" customWidth="1"/>
    <col min="13324" max="13324" width="2.85546875" style="32" customWidth="1"/>
    <col min="13325" max="13568" width="9.140625" style="32"/>
    <col min="13569" max="13569" width="0" style="32" hidden="1" customWidth="1"/>
    <col min="13570" max="13570" width="21.85546875" style="32" customWidth="1"/>
    <col min="13571" max="13571" width="19.140625" style="32" customWidth="1"/>
    <col min="13572" max="13572" width="19.5703125" style="32" customWidth="1"/>
    <col min="13573" max="13573" width="17" style="32" customWidth="1"/>
    <col min="13574" max="13574" width="16.28515625" style="32" customWidth="1"/>
    <col min="13575" max="13575" width="18.140625" style="32" customWidth="1"/>
    <col min="13576" max="13576" width="15.5703125" style="32" customWidth="1"/>
    <col min="13577" max="13577" width="9.140625" style="32"/>
    <col min="13578" max="13578" width="4.140625" style="32" customWidth="1"/>
    <col min="13579" max="13579" width="10.42578125" style="32" customWidth="1"/>
    <col min="13580" max="13580" width="2.85546875" style="32" customWidth="1"/>
    <col min="13581" max="13824" width="9.140625" style="32"/>
    <col min="13825" max="13825" width="0" style="32" hidden="1" customWidth="1"/>
    <col min="13826" max="13826" width="21.85546875" style="32" customWidth="1"/>
    <col min="13827" max="13827" width="19.140625" style="32" customWidth="1"/>
    <col min="13828" max="13828" width="19.5703125" style="32" customWidth="1"/>
    <col min="13829" max="13829" width="17" style="32" customWidth="1"/>
    <col min="13830" max="13830" width="16.28515625" style="32" customWidth="1"/>
    <col min="13831" max="13831" width="18.140625" style="32" customWidth="1"/>
    <col min="13832" max="13832" width="15.5703125" style="32" customWidth="1"/>
    <col min="13833" max="13833" width="9.140625" style="32"/>
    <col min="13834" max="13834" width="4.140625" style="32" customWidth="1"/>
    <col min="13835" max="13835" width="10.42578125" style="32" customWidth="1"/>
    <col min="13836" max="13836" width="2.85546875" style="32" customWidth="1"/>
    <col min="13837" max="14080" width="9.140625" style="32"/>
    <col min="14081" max="14081" width="0" style="32" hidden="1" customWidth="1"/>
    <col min="14082" max="14082" width="21.85546875" style="32" customWidth="1"/>
    <col min="14083" max="14083" width="19.140625" style="32" customWidth="1"/>
    <col min="14084" max="14084" width="19.5703125" style="32" customWidth="1"/>
    <col min="14085" max="14085" width="17" style="32" customWidth="1"/>
    <col min="14086" max="14086" width="16.28515625" style="32" customWidth="1"/>
    <col min="14087" max="14087" width="18.140625" style="32" customWidth="1"/>
    <col min="14088" max="14088" width="15.5703125" style="32" customWidth="1"/>
    <col min="14089" max="14089" width="9.140625" style="32"/>
    <col min="14090" max="14090" width="4.140625" style="32" customWidth="1"/>
    <col min="14091" max="14091" width="10.42578125" style="32" customWidth="1"/>
    <col min="14092" max="14092" width="2.85546875" style="32" customWidth="1"/>
    <col min="14093" max="14336" width="9.140625" style="32"/>
    <col min="14337" max="14337" width="0" style="32" hidden="1" customWidth="1"/>
    <col min="14338" max="14338" width="21.85546875" style="32" customWidth="1"/>
    <col min="14339" max="14339" width="19.140625" style="32" customWidth="1"/>
    <col min="14340" max="14340" width="19.5703125" style="32" customWidth="1"/>
    <col min="14341" max="14341" width="17" style="32" customWidth="1"/>
    <col min="14342" max="14342" width="16.28515625" style="32" customWidth="1"/>
    <col min="14343" max="14343" width="18.140625" style="32" customWidth="1"/>
    <col min="14344" max="14344" width="15.5703125" style="32" customWidth="1"/>
    <col min="14345" max="14345" width="9.140625" style="32"/>
    <col min="14346" max="14346" width="4.140625" style="32" customWidth="1"/>
    <col min="14347" max="14347" width="10.42578125" style="32" customWidth="1"/>
    <col min="14348" max="14348" width="2.85546875" style="32" customWidth="1"/>
    <col min="14349" max="14592" width="9.140625" style="32"/>
    <col min="14593" max="14593" width="0" style="32" hidden="1" customWidth="1"/>
    <col min="14594" max="14594" width="21.85546875" style="32" customWidth="1"/>
    <col min="14595" max="14595" width="19.140625" style="32" customWidth="1"/>
    <col min="14596" max="14596" width="19.5703125" style="32" customWidth="1"/>
    <col min="14597" max="14597" width="17" style="32" customWidth="1"/>
    <col min="14598" max="14598" width="16.28515625" style="32" customWidth="1"/>
    <col min="14599" max="14599" width="18.140625" style="32" customWidth="1"/>
    <col min="14600" max="14600" width="15.5703125" style="32" customWidth="1"/>
    <col min="14601" max="14601" width="9.140625" style="32"/>
    <col min="14602" max="14602" width="4.140625" style="32" customWidth="1"/>
    <col min="14603" max="14603" width="10.42578125" style="32" customWidth="1"/>
    <col min="14604" max="14604" width="2.85546875" style="32" customWidth="1"/>
    <col min="14605" max="14848" width="9.140625" style="32"/>
    <col min="14849" max="14849" width="0" style="32" hidden="1" customWidth="1"/>
    <col min="14850" max="14850" width="21.85546875" style="32" customWidth="1"/>
    <col min="14851" max="14851" width="19.140625" style="32" customWidth="1"/>
    <col min="14852" max="14852" width="19.5703125" style="32" customWidth="1"/>
    <col min="14853" max="14853" width="17" style="32" customWidth="1"/>
    <col min="14854" max="14854" width="16.28515625" style="32" customWidth="1"/>
    <col min="14855" max="14855" width="18.140625" style="32" customWidth="1"/>
    <col min="14856" max="14856" width="15.5703125" style="32" customWidth="1"/>
    <col min="14857" max="14857" width="9.140625" style="32"/>
    <col min="14858" max="14858" width="4.140625" style="32" customWidth="1"/>
    <col min="14859" max="14859" width="10.42578125" style="32" customWidth="1"/>
    <col min="14860" max="14860" width="2.85546875" style="32" customWidth="1"/>
    <col min="14861" max="15104" width="9.140625" style="32"/>
    <col min="15105" max="15105" width="0" style="32" hidden="1" customWidth="1"/>
    <col min="15106" max="15106" width="21.85546875" style="32" customWidth="1"/>
    <col min="15107" max="15107" width="19.140625" style="32" customWidth="1"/>
    <col min="15108" max="15108" width="19.5703125" style="32" customWidth="1"/>
    <col min="15109" max="15109" width="17" style="32" customWidth="1"/>
    <col min="15110" max="15110" width="16.28515625" style="32" customWidth="1"/>
    <col min="15111" max="15111" width="18.140625" style="32" customWidth="1"/>
    <col min="15112" max="15112" width="15.5703125" style="32" customWidth="1"/>
    <col min="15113" max="15113" width="9.140625" style="32"/>
    <col min="15114" max="15114" width="4.140625" style="32" customWidth="1"/>
    <col min="15115" max="15115" width="10.42578125" style="32" customWidth="1"/>
    <col min="15116" max="15116" width="2.85546875" style="32" customWidth="1"/>
    <col min="15117" max="15360" width="9.140625" style="32"/>
    <col min="15361" max="15361" width="0" style="32" hidden="1" customWidth="1"/>
    <col min="15362" max="15362" width="21.85546875" style="32" customWidth="1"/>
    <col min="15363" max="15363" width="19.140625" style="32" customWidth="1"/>
    <col min="15364" max="15364" width="19.5703125" style="32" customWidth="1"/>
    <col min="15365" max="15365" width="17" style="32" customWidth="1"/>
    <col min="15366" max="15366" width="16.28515625" style="32" customWidth="1"/>
    <col min="15367" max="15367" width="18.140625" style="32" customWidth="1"/>
    <col min="15368" max="15368" width="15.5703125" style="32" customWidth="1"/>
    <col min="15369" max="15369" width="9.140625" style="32"/>
    <col min="15370" max="15370" width="4.140625" style="32" customWidth="1"/>
    <col min="15371" max="15371" width="10.42578125" style="32" customWidth="1"/>
    <col min="15372" max="15372" width="2.85546875" style="32" customWidth="1"/>
    <col min="15373" max="15616" width="9.140625" style="32"/>
    <col min="15617" max="15617" width="0" style="32" hidden="1" customWidth="1"/>
    <col min="15618" max="15618" width="21.85546875" style="32" customWidth="1"/>
    <col min="15619" max="15619" width="19.140625" style="32" customWidth="1"/>
    <col min="15620" max="15620" width="19.5703125" style="32" customWidth="1"/>
    <col min="15621" max="15621" width="17" style="32" customWidth="1"/>
    <col min="15622" max="15622" width="16.28515625" style="32" customWidth="1"/>
    <col min="15623" max="15623" width="18.140625" style="32" customWidth="1"/>
    <col min="15624" max="15624" width="15.5703125" style="32" customWidth="1"/>
    <col min="15625" max="15625" width="9.140625" style="32"/>
    <col min="15626" max="15626" width="4.140625" style="32" customWidth="1"/>
    <col min="15627" max="15627" width="10.42578125" style="32" customWidth="1"/>
    <col min="15628" max="15628" width="2.85546875" style="32" customWidth="1"/>
    <col min="15629" max="15872" width="9.140625" style="32"/>
    <col min="15873" max="15873" width="0" style="32" hidden="1" customWidth="1"/>
    <col min="15874" max="15874" width="21.85546875" style="32" customWidth="1"/>
    <col min="15875" max="15875" width="19.140625" style="32" customWidth="1"/>
    <col min="15876" max="15876" width="19.5703125" style="32" customWidth="1"/>
    <col min="15877" max="15877" width="17" style="32" customWidth="1"/>
    <col min="15878" max="15878" width="16.28515625" style="32" customWidth="1"/>
    <col min="15879" max="15879" width="18.140625" style="32" customWidth="1"/>
    <col min="15880" max="15880" width="15.5703125" style="32" customWidth="1"/>
    <col min="15881" max="15881" width="9.140625" style="32"/>
    <col min="15882" max="15882" width="4.140625" style="32" customWidth="1"/>
    <col min="15883" max="15883" width="10.42578125" style="32" customWidth="1"/>
    <col min="15884" max="15884" width="2.85546875" style="32" customWidth="1"/>
    <col min="15885" max="16128" width="9.140625" style="32"/>
    <col min="16129" max="16129" width="0" style="32" hidden="1" customWidth="1"/>
    <col min="16130" max="16130" width="21.85546875" style="32" customWidth="1"/>
    <col min="16131" max="16131" width="19.140625" style="32" customWidth="1"/>
    <col min="16132" max="16132" width="19.5703125" style="32" customWidth="1"/>
    <col min="16133" max="16133" width="17" style="32" customWidth="1"/>
    <col min="16134" max="16134" width="16.28515625" style="32" customWidth="1"/>
    <col min="16135" max="16135" width="18.140625" style="32" customWidth="1"/>
    <col min="16136" max="16136" width="15.5703125" style="32" customWidth="1"/>
    <col min="16137" max="16137" width="9.140625" style="32"/>
    <col min="16138" max="16138" width="4.140625" style="32" customWidth="1"/>
    <col min="16139" max="16139" width="10.42578125" style="32" customWidth="1"/>
    <col min="16140" max="16140" width="2.85546875" style="32" customWidth="1"/>
    <col min="16141" max="16384" width="9.140625" style="32"/>
  </cols>
  <sheetData>
    <row r="1" spans="1:241" s="117" customFormat="1" ht="20.25" customHeight="1" x14ac:dyDescent="0.2">
      <c r="A1" s="116"/>
      <c r="C1" s="163" t="str">
        <f>'[3]1. LDC Information'!B2</f>
        <v>2007 INCENTIVE RATE MECHANISM ADJUSTMENT MODEL</v>
      </c>
      <c r="D1" s="163"/>
      <c r="E1" s="163"/>
      <c r="F1" s="163"/>
      <c r="G1" s="118"/>
      <c r="H1" s="118"/>
    </row>
    <row r="2" spans="1:241" s="117" customFormat="1" ht="18.75" customHeight="1" x14ac:dyDescent="0.3">
      <c r="A2" s="116"/>
      <c r="C2" s="164" t="str">
        <f>'[3]1. LDC Information'!C12</f>
        <v>London Hydro Inc.</v>
      </c>
      <c r="D2" s="164"/>
      <c r="E2" s="164"/>
      <c r="F2" s="164"/>
    </row>
    <row r="3" spans="1:241" s="117" customFormat="1" ht="18.75" customHeight="1" x14ac:dyDescent="0.25">
      <c r="A3" s="116"/>
      <c r="C3" s="165" t="str">
        <f>'[3]1. LDC Information'!C16 &amp; ",  " &amp; '[3]1. LDC Information'!E18</f>
        <v>EB-2007-0552,  EB-2005-0389</v>
      </c>
      <c r="D3" s="165"/>
      <c r="E3" s="165"/>
      <c r="F3" s="165"/>
      <c r="H3" s="119"/>
    </row>
    <row r="4" spans="1:241" s="117" customFormat="1" ht="18" x14ac:dyDescent="0.25">
      <c r="A4" s="116"/>
      <c r="C4" s="166">
        <f>'[3]1. LDC Information'!C20</f>
        <v>39108</v>
      </c>
      <c r="D4" s="166"/>
      <c r="E4" s="120"/>
      <c r="F4" s="120"/>
    </row>
    <row r="5" spans="1:241" s="117" customFormat="1" ht="20.25" customHeight="1" x14ac:dyDescent="0.3">
      <c r="A5" s="116"/>
      <c r="C5" s="167" t="s">
        <v>147</v>
      </c>
      <c r="D5" s="167"/>
      <c r="E5" s="167"/>
      <c r="F5" s="167"/>
      <c r="G5" s="167"/>
      <c r="H5" s="167"/>
      <c r="I5" s="167"/>
      <c r="J5" s="167"/>
      <c r="K5" s="167"/>
      <c r="L5" s="167"/>
      <c r="M5" s="167"/>
    </row>
    <row r="6" spans="1:241" s="117" customFormat="1" ht="6" customHeight="1" x14ac:dyDescent="0.2">
      <c r="A6" s="116"/>
      <c r="B6" s="121"/>
      <c r="C6" s="121"/>
      <c r="D6" s="121"/>
      <c r="E6" s="121"/>
      <c r="F6" s="121"/>
      <c r="G6" s="121"/>
      <c r="H6" s="121"/>
    </row>
    <row r="7" spans="1:241" s="117" customFormat="1" ht="6" customHeight="1" x14ac:dyDescent="0.2">
      <c r="A7" s="116"/>
    </row>
    <row r="8" spans="1:241" s="117" customFormat="1" ht="6" customHeight="1" x14ac:dyDescent="0.2">
      <c r="A8" s="116"/>
    </row>
    <row r="9" spans="1:241" ht="18.75" x14ac:dyDescent="0.3">
      <c r="B9" s="168" t="s">
        <v>148</v>
      </c>
      <c r="C9" s="168"/>
      <c r="D9" s="168"/>
      <c r="E9" s="168"/>
      <c r="F9" s="123"/>
      <c r="G9" s="124"/>
      <c r="H9" s="124"/>
      <c r="I9" s="124"/>
      <c r="J9" s="124"/>
    </row>
    <row r="10" spans="1:241" ht="12.75" customHeight="1" x14ac:dyDescent="0.25">
      <c r="B10" s="160" t="s">
        <v>149</v>
      </c>
      <c r="C10" s="160"/>
      <c r="D10" s="160"/>
      <c r="E10" s="160"/>
      <c r="F10" s="160"/>
      <c r="G10" s="160"/>
      <c r="H10" s="160"/>
      <c r="I10" s="125"/>
      <c r="J10" s="125"/>
      <c r="K10" s="125"/>
    </row>
    <row r="11" spans="1:241" x14ac:dyDescent="0.25">
      <c r="B11" s="160"/>
      <c r="C11" s="160"/>
      <c r="D11" s="160"/>
      <c r="E11" s="160"/>
      <c r="F11" s="160"/>
      <c r="G11" s="160"/>
      <c r="H11" s="160"/>
      <c r="I11" s="125"/>
      <c r="J11" s="125"/>
      <c r="K11" s="125"/>
    </row>
    <row r="12" spans="1:241" ht="16.5" customHeight="1" x14ac:dyDescent="0.25">
      <c r="B12" s="160"/>
      <c r="C12" s="160"/>
      <c r="D12" s="160"/>
      <c r="E12" s="160"/>
      <c r="F12" s="160"/>
      <c r="G12" s="160"/>
      <c r="H12" s="160"/>
      <c r="I12" s="125"/>
      <c r="J12" s="125"/>
      <c r="K12" s="125"/>
      <c r="IG12" s="2" t="b">
        <v>0</v>
      </c>
    </row>
    <row r="13" spans="1:241" ht="30" customHeight="1" x14ac:dyDescent="0.25">
      <c r="B13" s="160"/>
      <c r="C13" s="160"/>
      <c r="D13" s="160"/>
      <c r="E13" s="160"/>
      <c r="F13" s="160"/>
      <c r="G13" s="160"/>
      <c r="H13" s="160"/>
      <c r="I13" s="125"/>
      <c r="J13" s="125"/>
      <c r="K13" s="125"/>
      <c r="IG13" s="2" t="b">
        <v>1</v>
      </c>
    </row>
    <row r="14" spans="1:241" ht="15.75" thickBot="1" x14ac:dyDescent="0.3"/>
    <row r="15" spans="1:241" ht="15.75" thickBot="1" x14ac:dyDescent="0.3">
      <c r="B15" s="126" t="s">
        <v>150</v>
      </c>
      <c r="D15" s="127">
        <v>130133</v>
      </c>
    </row>
    <row r="16" spans="1:241" ht="15.75" thickBot="1" x14ac:dyDescent="0.3"/>
    <row r="17" spans="1:13" ht="15.75" thickBot="1" x14ac:dyDescent="0.3">
      <c r="B17" s="126" t="s">
        <v>151</v>
      </c>
      <c r="C17" s="126"/>
      <c r="D17" s="128">
        <v>51354867.140433736</v>
      </c>
    </row>
    <row r="18" spans="1:13" ht="15.75" thickBot="1" x14ac:dyDescent="0.3"/>
    <row r="19" spans="1:13" ht="15.75" thickBot="1" x14ac:dyDescent="0.3">
      <c r="B19" s="126" t="s">
        <v>152</v>
      </c>
      <c r="C19" s="126"/>
      <c r="D19" s="129">
        <f>IF(ISERROR($D$15/$D$17), "-", $D$15/$D$17)</f>
        <v>2.5339954564411889E-3</v>
      </c>
    </row>
    <row r="22" spans="1:13" ht="36.75" customHeight="1" x14ac:dyDescent="0.25">
      <c r="B22" s="130" t="s">
        <v>153</v>
      </c>
      <c r="C22" s="161" t="s">
        <v>154</v>
      </c>
      <c r="D22" s="131" t="s">
        <v>155</v>
      </c>
      <c r="E22" s="132" t="s">
        <v>156</v>
      </c>
      <c r="F22" s="131" t="s">
        <v>157</v>
      </c>
      <c r="G22" s="131" t="s">
        <v>155</v>
      </c>
      <c r="H22" s="132" t="s">
        <v>158</v>
      </c>
    </row>
    <row r="23" spans="1:13" ht="15.75" thickBot="1" x14ac:dyDescent="0.3">
      <c r="B23" s="133"/>
      <c r="C23" s="162"/>
      <c r="D23" s="134"/>
      <c r="E23" s="133"/>
      <c r="F23" s="135" t="s">
        <v>159</v>
      </c>
      <c r="G23" s="136"/>
      <c r="H23" s="135" t="s">
        <v>159</v>
      </c>
    </row>
    <row r="24" spans="1:13" x14ac:dyDescent="0.25">
      <c r="B24" s="130"/>
      <c r="C24" s="131"/>
      <c r="D24" s="137"/>
      <c r="E24" s="131"/>
      <c r="F24" s="138"/>
    </row>
    <row r="25" spans="1:13" ht="25.5" customHeight="1" x14ac:dyDescent="0.25">
      <c r="A25" s="122" t="str">
        <f>'[3]2. 2006 Rate Classes'!C32</f>
        <v>Yes</v>
      </c>
      <c r="B25" s="139" t="str">
        <f>IF('[3]2. 2006 Rate Classes'!C32="Yes", '[3]2. 2006 Rate Classes'!B32, "")</f>
        <v>Residential</v>
      </c>
      <c r="C25" s="140">
        <f>VLOOKUP($B25, '[3]6. CDM Adjustment'!$B$19:$H$37, 6,0)</f>
        <v>11.73</v>
      </c>
      <c r="D25" s="140">
        <f>IF(ISERROR(C25*$D$19), 0, C25*$D$19)</f>
        <v>2.9723766704055146E-2</v>
      </c>
      <c r="E25" s="140">
        <f>C25-D25</f>
        <v>11.700276233295945</v>
      </c>
      <c r="F25" s="141">
        <f>VLOOKUP($B25, '[3]6. CDM Adjustment'!$B$19:$H$37, 7,0)</f>
        <v>1.2999999999999999E-2</v>
      </c>
      <c r="G25" s="141">
        <f>IF(ISERROR(F25*$D$19), 0, F25*$D$19)</f>
        <v>3.2941940933735456E-5</v>
      </c>
      <c r="H25" s="141">
        <f>F25-G25</f>
        <v>1.2967058059066264E-2</v>
      </c>
    </row>
    <row r="26" spans="1:13" ht="25.5" customHeight="1" x14ac:dyDescent="0.25">
      <c r="A26" s="122" t="str">
        <f>'[3]2. 2006 Rate Classes'!C33</f>
        <v>Yes</v>
      </c>
      <c r="B26" s="142" t="str">
        <f>IF('[3]2. 2006 Rate Classes'!C33="Yes", '[3]2. 2006 Rate Classes'!B33, "")</f>
        <v>General Service less than 50 kW</v>
      </c>
      <c r="C26" s="143">
        <f>VLOOKUP($B26, '[3]6. CDM Adjustment'!$B$19:$H$37, 6,0)</f>
        <v>32</v>
      </c>
      <c r="D26" s="140">
        <f t="shared" ref="D26:D40" si="0">IF(ISERROR(C26*$D$19), 0, C26*$D$19)</f>
        <v>8.1087854606118046E-2</v>
      </c>
      <c r="E26" s="143">
        <f t="shared" ref="E26:E40" si="1">C26-D26</f>
        <v>31.918912145393882</v>
      </c>
      <c r="F26" s="141">
        <f>VLOOKUP($B26, '[3]6. CDM Adjustment'!$B$19:$H$37, 7,0)</f>
        <v>9.7000000000000003E-3</v>
      </c>
      <c r="G26" s="141">
        <f t="shared" ref="G26:G40" si="2">IF(ISERROR(F26*$D$19), 0, F26*$D$19)</f>
        <v>2.4579755927479534E-5</v>
      </c>
      <c r="H26" s="144">
        <f t="shared" ref="H26:H40" si="3">F26-G26</f>
        <v>9.6754202440725214E-3</v>
      </c>
      <c r="I26" s="145"/>
      <c r="M26" s="146"/>
    </row>
    <row r="27" spans="1:13" ht="25.5" customHeight="1" x14ac:dyDescent="0.25">
      <c r="A27" s="122" t="str">
        <f>'[3]2. 2006 Rate Classes'!C34</f>
        <v>Yes</v>
      </c>
      <c r="B27" s="142" t="str">
        <f>IF('[3]2. 2006 Rate Classes'!C34="Yes", '[3]2. 2006 Rate Classes'!B34, "")</f>
        <v>General Service 50 to 4,999 kW</v>
      </c>
      <c r="C27" s="143">
        <f>VLOOKUP($B27, '[3]6. CDM Adjustment'!$B$19:$H$37, 6,0)</f>
        <v>236.78</v>
      </c>
      <c r="D27" s="140">
        <f t="shared" si="0"/>
        <v>0.5999994441761447</v>
      </c>
      <c r="E27" s="143">
        <f t="shared" si="1"/>
        <v>236.18000055582385</v>
      </c>
      <c r="F27" s="141">
        <f>VLOOKUP($B27, '[3]6. CDM Adjustment'!$B$19:$H$37, 7,0)</f>
        <v>1.2894000000000001</v>
      </c>
      <c r="G27" s="141">
        <f t="shared" si="2"/>
        <v>3.2673337415352693E-3</v>
      </c>
      <c r="H27" s="144">
        <f t="shared" si="3"/>
        <v>1.2861326662584649</v>
      </c>
    </row>
    <row r="28" spans="1:13" ht="25.5" customHeight="1" x14ac:dyDescent="0.25">
      <c r="A28" s="122" t="str">
        <f>'[3]2. 2006 Rate Classes'!C35</f>
        <v>Yes</v>
      </c>
      <c r="B28" s="142" t="str">
        <f>IF('[3]2. 2006 Rate Classes'!C35="Yes", '[3]2. 2006 Rate Classes'!B35, "")</f>
        <v>General Service 50 - 4,999 kW (CoGeneration)</v>
      </c>
      <c r="C28" s="143">
        <f>VLOOKUP($B28, '[3]6. CDM Adjustment'!$B$19:$H$37, 6,0)</f>
        <v>3001.12</v>
      </c>
      <c r="D28" s="140">
        <f t="shared" si="0"/>
        <v>7.6048244442347803</v>
      </c>
      <c r="E28" s="143">
        <f t="shared" si="1"/>
        <v>2993.5151755557649</v>
      </c>
      <c r="F28" s="141">
        <f>VLOOKUP($B28, '[3]6. CDM Adjustment'!$B$19:$H$37, 7,0)</f>
        <v>4.5860000000000003</v>
      </c>
      <c r="G28" s="141">
        <f t="shared" si="2"/>
        <v>1.1620903163239294E-2</v>
      </c>
      <c r="H28" s="144">
        <f t="shared" si="3"/>
        <v>4.5743790968367612</v>
      </c>
    </row>
    <row r="29" spans="1:13" ht="25.5" customHeight="1" x14ac:dyDescent="0.25">
      <c r="A29" s="122" t="str">
        <f>'[3]2. 2006 Rate Classes'!C36</f>
        <v>Yes</v>
      </c>
      <c r="B29" s="142" t="str">
        <f>IF('[3]2. 2006 Rate Classes'!C36="Yes", '[3]2. 2006 Rate Classes'!B36, "")</f>
        <v>Standby Power - (APPROVED ON AN INTERIM BASIS)</v>
      </c>
      <c r="C29" s="143">
        <f>VLOOKUP($B29, '[3]6. CDM Adjustment'!$B$19:$H$37, 6,0)</f>
        <v>0</v>
      </c>
      <c r="D29" s="140">
        <f t="shared" si="0"/>
        <v>0</v>
      </c>
      <c r="E29" s="143">
        <f t="shared" si="1"/>
        <v>0</v>
      </c>
      <c r="F29" s="141">
        <f>VLOOKUP($B29, '[3]6. CDM Adjustment'!$B$19:$H$37, 7,0)</f>
        <v>0</v>
      </c>
      <c r="G29" s="141">
        <f t="shared" si="2"/>
        <v>0</v>
      </c>
      <c r="H29" s="144">
        <f t="shared" si="3"/>
        <v>0</v>
      </c>
    </row>
    <row r="30" spans="1:13" ht="25.5" customHeight="1" x14ac:dyDescent="0.25">
      <c r="A30" s="122" t="str">
        <f>'[3]2. 2006 Rate Classes'!C37</f>
        <v>Yes</v>
      </c>
      <c r="B30" s="142" t="str">
        <f>IF('[3]2. 2006 Rate Classes'!C37="Yes", '[3]2. 2006 Rate Classes'!B37, "")</f>
        <v>Large Use</v>
      </c>
      <c r="C30" s="143">
        <f>VLOOKUP($B30, '[3]6. CDM Adjustment'!$B$19:$H$37, 6,0)</f>
        <v>13401.869999999999</v>
      </c>
      <c r="D30" s="140">
        <f t="shared" si="0"/>
        <v>33.960277687815477</v>
      </c>
      <c r="E30" s="143">
        <f t="shared" si="1"/>
        <v>13367.909722312184</v>
      </c>
      <c r="F30" s="141">
        <f>VLOOKUP($B30, '[3]6. CDM Adjustment'!$B$19:$H$37, 7,0)</f>
        <v>1.4463999999999999</v>
      </c>
      <c r="G30" s="141">
        <f t="shared" si="2"/>
        <v>3.6651710281965354E-3</v>
      </c>
      <c r="H30" s="144">
        <f t="shared" si="3"/>
        <v>1.4427348289718034</v>
      </c>
      <c r="I30" s="145"/>
    </row>
    <row r="31" spans="1:13" ht="25.5" customHeight="1" x14ac:dyDescent="0.25">
      <c r="A31" s="122" t="str">
        <f>'[3]2. 2006 Rate Classes'!C38</f>
        <v>Yes</v>
      </c>
      <c r="B31" s="142" t="str">
        <f>IF('[3]2. 2006 Rate Classes'!C38="Yes", '[3]2. 2006 Rate Classes'!B38, "")</f>
        <v>Unmetered Scattered Load</v>
      </c>
      <c r="C31" s="143">
        <f>VLOOKUP($B31, '[3]6. CDM Adjustment'!$B$19:$H$37, 6,0)</f>
        <v>0.42</v>
      </c>
      <c r="D31" s="140">
        <f t="shared" si="0"/>
        <v>1.0642780917052993E-3</v>
      </c>
      <c r="E31" s="143">
        <f t="shared" si="1"/>
        <v>0.4189357219082947</v>
      </c>
      <c r="F31" s="141">
        <f>VLOOKUP($B31, '[3]6. CDM Adjustment'!$B$19:$H$37, 7,0)</f>
        <v>8.5000000000000006E-3</v>
      </c>
      <c r="G31" s="141">
        <f t="shared" si="2"/>
        <v>2.1538961379750107E-5</v>
      </c>
      <c r="H31" s="144">
        <f t="shared" si="3"/>
        <v>8.4784610386202507E-3</v>
      </c>
    </row>
    <row r="32" spans="1:13" ht="25.5" customHeight="1" x14ac:dyDescent="0.25">
      <c r="A32" s="122" t="str">
        <f>'[3]2. 2006 Rate Classes'!C39</f>
        <v>Yes</v>
      </c>
      <c r="B32" s="142" t="str">
        <f>IF('[3]2. 2006 Rate Classes'!C39="Yes", '[3]2. 2006 Rate Classes'!B39, "")</f>
        <v>Sentinel Lighting</v>
      </c>
      <c r="C32" s="143">
        <f>VLOOKUP($B32, '[3]6. CDM Adjustment'!$B$19:$H$37, 6,0)</f>
        <v>0.49</v>
      </c>
      <c r="D32" s="140">
        <f t="shared" si="0"/>
        <v>1.2416577736561825E-3</v>
      </c>
      <c r="E32" s="143">
        <f t="shared" si="1"/>
        <v>0.48875834222634379</v>
      </c>
      <c r="F32" s="141">
        <f>VLOOKUP($B32, '[3]6. CDM Adjustment'!$B$19:$H$37, 7,0)</f>
        <v>1.5873999999999999</v>
      </c>
      <c r="G32" s="141">
        <f t="shared" si="2"/>
        <v>4.0224643875547434E-3</v>
      </c>
      <c r="H32" s="144">
        <f t="shared" si="3"/>
        <v>1.5833775356124451</v>
      </c>
    </row>
    <row r="33" spans="1:9" ht="25.5" customHeight="1" x14ac:dyDescent="0.25">
      <c r="A33" s="122" t="str">
        <f>'[3]2. 2006 Rate Classes'!C40</f>
        <v>Yes</v>
      </c>
      <c r="B33" s="142" t="str">
        <f>IF('[3]2. 2006 Rate Classes'!C40="Yes", '[3]2. 2006 Rate Classes'!B40, "")</f>
        <v>Street Lighting</v>
      </c>
      <c r="C33" s="143">
        <f>VLOOKUP($B33, '[3]6. CDM Adjustment'!$B$19:$H$37, 6,0)</f>
        <v>0.28000000000000003</v>
      </c>
      <c r="D33" s="140">
        <f t="shared" si="0"/>
        <v>7.0951872780353295E-4</v>
      </c>
      <c r="E33" s="143">
        <f t="shared" si="1"/>
        <v>0.27929048127219647</v>
      </c>
      <c r="F33" s="141">
        <f>VLOOKUP($B33, '[3]6. CDM Adjustment'!$B$19:$H$37, 7,0)</f>
        <v>1.4144000000000001</v>
      </c>
      <c r="G33" s="141">
        <f t="shared" si="2"/>
        <v>3.5840831735904177E-3</v>
      </c>
      <c r="H33" s="144">
        <f t="shared" si="3"/>
        <v>1.4108159168264096</v>
      </c>
    </row>
    <row r="34" spans="1:9" ht="25.5" hidden="1" customHeight="1" x14ac:dyDescent="0.25">
      <c r="A34" s="122" t="str">
        <f>'[3]2. 2006 Rate Classes'!C41</f>
        <v>No</v>
      </c>
      <c r="B34" s="142" t="str">
        <f>IF('[3]2. 2006 Rate Classes'!C41="Yes", '[3]2. 2006 Rate Classes'!B41, "")</f>
        <v/>
      </c>
      <c r="C34" s="143">
        <f>VLOOKUP($B34, '[3]6. CDM Adjustment'!$B$19:$H$37, 6,0)</f>
        <v>0</v>
      </c>
      <c r="D34" s="140">
        <f t="shared" si="0"/>
        <v>0</v>
      </c>
      <c r="E34" s="143">
        <f t="shared" si="1"/>
        <v>0</v>
      </c>
      <c r="F34" s="141">
        <f>VLOOKUP($B34, '[3]6. CDM Adjustment'!$B$19:$H$37, 7,0)</f>
        <v>0</v>
      </c>
      <c r="G34" s="141">
        <f t="shared" si="2"/>
        <v>0</v>
      </c>
      <c r="H34" s="144">
        <f t="shared" si="3"/>
        <v>0</v>
      </c>
      <c r="I34" s="145"/>
    </row>
    <row r="35" spans="1:9" ht="25.5" hidden="1" customHeight="1" x14ac:dyDescent="0.25">
      <c r="A35" s="122" t="str">
        <f>'[3]2. 2006 Rate Classes'!C42</f>
        <v>No</v>
      </c>
      <c r="B35" s="142" t="str">
        <f>IF('[3]2. 2006 Rate Classes'!C42="Yes", '[3]2. 2006 Rate Classes'!B42, "")</f>
        <v/>
      </c>
      <c r="C35" s="143">
        <f>VLOOKUP($B35, '[3]6. CDM Adjustment'!$B$19:$H$37, 6,0)</f>
        <v>0</v>
      </c>
      <c r="D35" s="140">
        <f t="shared" si="0"/>
        <v>0</v>
      </c>
      <c r="E35" s="143">
        <f t="shared" si="1"/>
        <v>0</v>
      </c>
      <c r="F35" s="141">
        <f>VLOOKUP($B35, '[3]6. CDM Adjustment'!$B$19:$H$37, 7,0)</f>
        <v>0</v>
      </c>
      <c r="G35" s="141">
        <f t="shared" si="2"/>
        <v>0</v>
      </c>
      <c r="H35" s="144">
        <f t="shared" si="3"/>
        <v>0</v>
      </c>
    </row>
    <row r="36" spans="1:9" ht="25.5" hidden="1" customHeight="1" x14ac:dyDescent="0.25">
      <c r="A36" s="122" t="str">
        <f>'[3]2. 2006 Rate Classes'!C43</f>
        <v>No</v>
      </c>
      <c r="B36" s="142" t="str">
        <f>IF('[3]2. 2006 Rate Classes'!C43="Yes", '[3]2. 2006 Rate Classes'!B43, "")</f>
        <v/>
      </c>
      <c r="C36" s="143">
        <f>VLOOKUP($B36, '[3]6. CDM Adjustment'!$B$19:$H$37, 6,0)</f>
        <v>0</v>
      </c>
      <c r="D36" s="140">
        <f t="shared" si="0"/>
        <v>0</v>
      </c>
      <c r="E36" s="143">
        <f t="shared" si="1"/>
        <v>0</v>
      </c>
      <c r="F36" s="141">
        <f>VLOOKUP($B36, '[3]6. CDM Adjustment'!$B$19:$H$37, 7,0)</f>
        <v>0</v>
      </c>
      <c r="G36" s="141">
        <f t="shared" si="2"/>
        <v>0</v>
      </c>
      <c r="H36" s="144">
        <f t="shared" si="3"/>
        <v>0</v>
      </c>
    </row>
    <row r="37" spans="1:9" ht="25.5" hidden="1" customHeight="1" x14ac:dyDescent="0.25">
      <c r="A37" s="122" t="str">
        <f>'[3]2. 2006 Rate Classes'!C44</f>
        <v>No</v>
      </c>
      <c r="B37" s="142" t="str">
        <f>IF('[3]2. 2006 Rate Classes'!C44="Yes", '[3]2. 2006 Rate Classes'!B44, "")</f>
        <v/>
      </c>
      <c r="C37" s="143">
        <f>VLOOKUP($B37, '[3]6. CDM Adjustment'!$B$19:$H$37, 6,0)</f>
        <v>0</v>
      </c>
      <c r="D37" s="140">
        <f t="shared" si="0"/>
        <v>0</v>
      </c>
      <c r="E37" s="143">
        <f t="shared" si="1"/>
        <v>0</v>
      </c>
      <c r="F37" s="141">
        <f>VLOOKUP($B37, '[3]6. CDM Adjustment'!$B$19:$H$37, 7,0)</f>
        <v>0</v>
      </c>
      <c r="G37" s="141">
        <f t="shared" si="2"/>
        <v>0</v>
      </c>
      <c r="H37" s="144">
        <f t="shared" si="3"/>
        <v>0</v>
      </c>
    </row>
    <row r="38" spans="1:9" ht="25.5" hidden="1" customHeight="1" x14ac:dyDescent="0.25">
      <c r="A38" s="122" t="str">
        <f>'[3]2. 2006 Rate Classes'!C45</f>
        <v>No</v>
      </c>
      <c r="B38" s="142" t="str">
        <f>IF('[3]2. 2006 Rate Classes'!C45="Yes", '[3]2. 2006 Rate Classes'!B45, "")</f>
        <v/>
      </c>
      <c r="C38" s="143">
        <f>VLOOKUP($B38, '[3]6. CDM Adjustment'!$B$19:$H$37, 6,0)</f>
        <v>0</v>
      </c>
      <c r="D38" s="140">
        <f t="shared" si="0"/>
        <v>0</v>
      </c>
      <c r="E38" s="143">
        <f t="shared" si="1"/>
        <v>0</v>
      </c>
      <c r="F38" s="141">
        <f>VLOOKUP($B38, '[3]6. CDM Adjustment'!$B$19:$H$37, 7,0)</f>
        <v>0</v>
      </c>
      <c r="G38" s="141">
        <f t="shared" si="2"/>
        <v>0</v>
      </c>
      <c r="H38" s="144">
        <f t="shared" si="3"/>
        <v>0</v>
      </c>
      <c r="I38" s="145"/>
    </row>
    <row r="39" spans="1:9" ht="25.5" hidden="1" customHeight="1" x14ac:dyDescent="0.25">
      <c r="A39" s="122" t="str">
        <f>'[3]2. 2006 Rate Classes'!C46</f>
        <v>No</v>
      </c>
      <c r="B39" s="142" t="str">
        <f>IF('[3]2. 2006 Rate Classes'!C46="Yes", '[3]2. 2006 Rate Classes'!B46, "")</f>
        <v/>
      </c>
      <c r="C39" s="143">
        <f>VLOOKUP($B39, '[3]6. CDM Adjustment'!$B$19:$H$37, 6,0)</f>
        <v>0</v>
      </c>
      <c r="D39" s="140">
        <f t="shared" si="0"/>
        <v>0</v>
      </c>
      <c r="E39" s="143">
        <f t="shared" si="1"/>
        <v>0</v>
      </c>
      <c r="F39" s="141">
        <f>VLOOKUP($B39, '[3]6. CDM Adjustment'!$B$19:$H$37, 7,0)</f>
        <v>0</v>
      </c>
      <c r="G39" s="141">
        <f t="shared" si="2"/>
        <v>0</v>
      </c>
      <c r="H39" s="144">
        <f t="shared" si="3"/>
        <v>0</v>
      </c>
    </row>
    <row r="40" spans="1:9" ht="25.5" hidden="1" customHeight="1" x14ac:dyDescent="0.25">
      <c r="A40" s="122" t="str">
        <f>'[3]2. 2006 Rate Classes'!C47</f>
        <v>No</v>
      </c>
      <c r="B40" s="142" t="str">
        <f>IF('[3]2. 2006 Rate Classes'!C47="Yes", '[3]2. 2006 Rate Classes'!B47, "")</f>
        <v/>
      </c>
      <c r="C40" s="143">
        <f>VLOOKUP($B40, '[3]6. CDM Adjustment'!$B$19:$H$37, 6,0)</f>
        <v>0</v>
      </c>
      <c r="D40" s="140">
        <f t="shared" si="0"/>
        <v>0</v>
      </c>
      <c r="E40" s="143">
        <f t="shared" si="1"/>
        <v>0</v>
      </c>
      <c r="F40" s="141">
        <f>VLOOKUP($B40, '[3]6. CDM Adjustment'!$B$19:$H$37, 7,0)</f>
        <v>0</v>
      </c>
      <c r="G40" s="141">
        <f t="shared" si="2"/>
        <v>0</v>
      </c>
      <c r="H40" s="144">
        <f t="shared" si="3"/>
        <v>0</v>
      </c>
    </row>
    <row r="41" spans="1:9" x14ac:dyDescent="0.25">
      <c r="B41" s="147"/>
      <c r="G41" s="148"/>
      <c r="H41" s="148"/>
    </row>
    <row r="42" spans="1:9" x14ac:dyDescent="0.25">
      <c r="B42" s="147"/>
      <c r="D42" s="146"/>
      <c r="E42" s="146"/>
      <c r="G42" s="148"/>
      <c r="H42" s="148"/>
      <c r="I42" s="145"/>
    </row>
  </sheetData>
  <mergeCells count="8">
    <mergeCell ref="B10:H13"/>
    <mergeCell ref="C22:C23"/>
    <mergeCell ref="C1:F1"/>
    <mergeCell ref="C2:F2"/>
    <mergeCell ref="C3:F3"/>
    <mergeCell ref="C4:D4"/>
    <mergeCell ref="C5:M5"/>
    <mergeCell ref="B9:E9"/>
  </mergeCells>
  <pageMargins left="0.7" right="0.7" top="0.75" bottom="0.75" header="0.3" footer="0.3"/>
  <pageSetup scale="70" orientation="portrait" r:id="rId1"/>
  <drawing r:id="rId2"/>
  <legacyDrawing r:id="rId3"/>
  <oleObjects>
    <mc:AlternateContent xmlns:mc="http://schemas.openxmlformats.org/markup-compatibility/2006">
      <mc:Choice Requires="x14">
        <oleObject progId="Unknown" shapeId="3073" r:id="rId4">
          <objectPr defaultSize="0" autoPict="0" r:id="rId5">
            <anchor moveWithCells="1">
              <from>
                <xdr:col>1</xdr:col>
                <xdr:colOff>85725</xdr:colOff>
                <xdr:row>0</xdr:row>
                <xdr:rowOff>28575</xdr:rowOff>
              </from>
              <to>
                <xdr:col>1</xdr:col>
                <xdr:colOff>609600</xdr:colOff>
                <xdr:row>5</xdr:row>
                <xdr:rowOff>0</xdr:rowOff>
              </to>
            </anchor>
          </objectPr>
        </oleObject>
      </mc:Choice>
      <mc:Fallback>
        <oleObject progId="Unknown" shapeId="3073" r:id="rId4"/>
      </mc:Fallback>
    </mc:AlternateContent>
  </oleObjects>
  <mc:AlternateContent xmlns:mc="http://schemas.openxmlformats.org/markup-compatibility/2006">
    <mc:Choice Requires="x14">
      <controls>
        <mc:AlternateContent xmlns:mc="http://schemas.openxmlformats.org/markup-compatibility/2006">
          <mc:Choice Requires="x14">
            <control shapeId="3074" r:id="rId6" name="Check Box 2">
              <controlPr locked="0" defaultSize="0" autoFill="0" autoLine="0" autoPict="0" macro="[3]!checkbox_Yes2">
                <anchor moveWithCells="1">
                  <from>
                    <xdr:col>4</xdr:col>
                    <xdr:colOff>762000</xdr:colOff>
                    <xdr:row>7</xdr:row>
                    <xdr:rowOff>57150</xdr:rowOff>
                  </from>
                  <to>
                    <xdr:col>4</xdr:col>
                    <xdr:colOff>971550</xdr:colOff>
                    <xdr:row>9</xdr:row>
                    <xdr:rowOff>0</xdr:rowOff>
                  </to>
                </anchor>
              </controlPr>
            </control>
          </mc:Choice>
        </mc:AlternateContent>
        <mc:AlternateContent xmlns:mc="http://schemas.openxmlformats.org/markup-compatibility/2006">
          <mc:Choice Requires="x14">
            <control shapeId="3075" r:id="rId7" name="Check Box 3">
              <controlPr locked="0" defaultSize="0" autoFill="0" autoLine="0" autoPict="0" macro="[3]!checkbox_No2">
                <anchor moveWithCells="1">
                  <from>
                    <xdr:col>5</xdr:col>
                    <xdr:colOff>238125</xdr:colOff>
                    <xdr:row>7</xdr:row>
                    <xdr:rowOff>57150</xdr:rowOff>
                  </from>
                  <to>
                    <xdr:col>5</xdr:col>
                    <xdr:colOff>609600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02"/>
  <sheetViews>
    <sheetView tabSelected="1" topLeftCell="A109" workbookViewId="0">
      <selection activeCell="L136" sqref="L136"/>
    </sheetView>
  </sheetViews>
  <sheetFormatPr defaultRowHeight="15" x14ac:dyDescent="0.25"/>
  <cols>
    <col min="2" max="2" width="12.28515625" style="227" customWidth="1"/>
    <col min="3" max="3" width="15.140625" customWidth="1"/>
    <col min="4" max="4" width="14" customWidth="1"/>
    <col min="5" max="5" width="14.85546875" customWidth="1"/>
    <col min="6" max="6" width="13.5703125" customWidth="1"/>
    <col min="7" max="7" width="12.140625" customWidth="1"/>
    <col min="8" max="8" width="14.140625" customWidth="1"/>
    <col min="9" max="9" width="11.28515625" customWidth="1"/>
    <col min="10" max="10" width="11.85546875" bestFit="1" customWidth="1"/>
    <col min="11" max="11" width="12.7109375" customWidth="1"/>
    <col min="12" max="12" width="12.28515625" customWidth="1"/>
    <col min="13" max="13" width="11.42578125" customWidth="1"/>
    <col min="14" max="14" width="11.85546875" bestFit="1" customWidth="1"/>
    <col min="15" max="15" width="10.28515625" bestFit="1" customWidth="1"/>
  </cols>
  <sheetData>
    <row r="1" spans="3:18" customFormat="1" x14ac:dyDescent="0.25">
      <c r="C1" s="218" t="s">
        <v>196</v>
      </c>
    </row>
    <row r="3" spans="3:18" customFormat="1" ht="13.5" customHeight="1" x14ac:dyDescent="0.25"/>
    <row r="4" spans="3:18" customFormat="1" x14ac:dyDescent="0.25">
      <c r="C4" s="169" t="s">
        <v>197</v>
      </c>
      <c r="J4" s="219"/>
      <c r="K4" s="219"/>
      <c r="L4" s="219"/>
      <c r="M4" s="219"/>
      <c r="N4" s="219"/>
      <c r="O4" s="219"/>
      <c r="P4" s="219"/>
      <c r="Q4" s="219"/>
      <c r="R4" s="219"/>
    </row>
    <row r="5" spans="3:18" customFormat="1" x14ac:dyDescent="0.25">
      <c r="C5" s="220"/>
      <c r="D5" s="219"/>
      <c r="E5" s="219"/>
      <c r="F5" s="219"/>
      <c r="G5" s="219"/>
      <c r="H5" s="219"/>
      <c r="I5" s="219"/>
      <c r="J5" s="219"/>
    </row>
    <row r="6" spans="3:18" customFormat="1" x14ac:dyDescent="0.25">
      <c r="C6" s="218" t="s">
        <v>198</v>
      </c>
      <c r="D6" s="219"/>
      <c r="E6" s="219"/>
      <c r="F6" s="219"/>
      <c r="G6" s="219"/>
      <c r="H6" s="219"/>
      <c r="I6" s="219"/>
      <c r="J6" s="219"/>
    </row>
    <row r="7" spans="3:18" customFormat="1" x14ac:dyDescent="0.25">
      <c r="C7" s="219"/>
      <c r="D7" s="207"/>
      <c r="E7" s="221" t="s">
        <v>199</v>
      </c>
      <c r="F7" s="221"/>
      <c r="G7" s="221" t="s">
        <v>200</v>
      </c>
      <c r="H7" s="221"/>
      <c r="I7" s="221" t="s">
        <v>201</v>
      </c>
      <c r="J7" s="221"/>
      <c r="K7" s="219"/>
    </row>
    <row r="8" spans="3:18" customFormat="1" ht="35.25" thickBot="1" x14ac:dyDescent="0.3">
      <c r="C8" s="222" t="s">
        <v>202</v>
      </c>
      <c r="D8" s="223" t="s">
        <v>203</v>
      </c>
      <c r="E8" s="223" t="s">
        <v>129</v>
      </c>
      <c r="F8" s="223" t="s">
        <v>204</v>
      </c>
      <c r="G8" s="223" t="s">
        <v>129</v>
      </c>
      <c r="H8" s="223" t="s">
        <v>204</v>
      </c>
      <c r="I8" s="223" t="s">
        <v>129</v>
      </c>
      <c r="J8" s="223" t="s">
        <v>204</v>
      </c>
      <c r="K8" s="223" t="s">
        <v>205</v>
      </c>
    </row>
    <row r="9" spans="3:18" customFormat="1" x14ac:dyDescent="0.25">
      <c r="C9" s="219"/>
      <c r="D9" s="219"/>
      <c r="E9" s="219"/>
      <c r="F9" s="219"/>
      <c r="G9" s="219"/>
      <c r="H9" s="219"/>
      <c r="I9" s="219"/>
      <c r="J9" s="219"/>
      <c r="K9" s="219"/>
    </row>
    <row r="10" spans="3:18" customFormat="1" x14ac:dyDescent="0.25">
      <c r="C10" s="219"/>
      <c r="D10" s="219"/>
      <c r="E10" s="219"/>
      <c r="F10" s="219"/>
      <c r="G10" s="219"/>
      <c r="H10" s="219"/>
      <c r="I10" s="219"/>
      <c r="J10" s="219"/>
      <c r="K10" s="219"/>
    </row>
    <row r="11" spans="3:18" customFormat="1" x14ac:dyDescent="0.25">
      <c r="C11" s="224">
        <v>39447</v>
      </c>
      <c r="D11" s="225">
        <f>+K32</f>
        <v>-135356.03304191781</v>
      </c>
      <c r="E11" s="226">
        <f t="shared" ref="E11:E21" si="0">+J33</f>
        <v>-1685.9532339726029</v>
      </c>
      <c r="F11" s="225">
        <v>-6909</v>
      </c>
      <c r="G11" s="225">
        <v>0</v>
      </c>
      <c r="H11" s="225">
        <v>-130133</v>
      </c>
      <c r="I11" s="225">
        <f t="shared" ref="I11:I21" si="1">+I33</f>
        <v>0</v>
      </c>
      <c r="J11" s="225">
        <v>0</v>
      </c>
      <c r="K11" s="225">
        <f t="shared" ref="K11:K21" si="2">+D11+E11+G11+I11</f>
        <v>-137041.98627589041</v>
      </c>
    </row>
    <row r="12" spans="3:18" customFormat="1" x14ac:dyDescent="0.25">
      <c r="C12" s="224">
        <v>39538</v>
      </c>
      <c r="D12" s="225">
        <f t="shared" ref="D12:D21" si="3">+K11</f>
        <v>-137041.98627589041</v>
      </c>
      <c r="E12" s="226">
        <f t="shared" si="0"/>
        <v>-1663.0712956284151</v>
      </c>
      <c r="F12" s="225">
        <f t="shared" ref="F12:F21" si="4">+F11+E12</f>
        <v>-8572.0712956284151</v>
      </c>
      <c r="G12" s="225">
        <v>0</v>
      </c>
      <c r="H12" s="225">
        <f t="shared" ref="H12:H21" si="5">+H11+G12</f>
        <v>-130133</v>
      </c>
      <c r="I12" s="225">
        <f t="shared" si="1"/>
        <v>0</v>
      </c>
      <c r="J12" s="225">
        <f t="shared" ref="J12:J21" si="6">+J11+I12</f>
        <v>0</v>
      </c>
      <c r="K12" s="225">
        <f t="shared" si="2"/>
        <v>-138705.05757151882</v>
      </c>
    </row>
    <row r="13" spans="3:18" customFormat="1" x14ac:dyDescent="0.25">
      <c r="C13" s="224">
        <v>39629</v>
      </c>
      <c r="D13" s="225">
        <f t="shared" si="3"/>
        <v>-138705.05757151882</v>
      </c>
      <c r="E13" s="226">
        <f t="shared" si="0"/>
        <v>-1320.1032852459018</v>
      </c>
      <c r="F13" s="225">
        <f t="shared" si="4"/>
        <v>-9892.1745808743162</v>
      </c>
      <c r="G13" s="225">
        <v>0</v>
      </c>
      <c r="H13" s="225">
        <f t="shared" si="5"/>
        <v>-130133</v>
      </c>
      <c r="I13" s="225">
        <f t="shared" si="1"/>
        <v>0</v>
      </c>
      <c r="J13" s="225">
        <f t="shared" si="6"/>
        <v>0</v>
      </c>
      <c r="K13" s="225">
        <f t="shared" si="2"/>
        <v>-140025.16085676471</v>
      </c>
    </row>
    <row r="14" spans="3:18" customFormat="1" x14ac:dyDescent="0.25">
      <c r="C14" s="224">
        <v>39721</v>
      </c>
      <c r="D14" s="225">
        <f t="shared" si="3"/>
        <v>-140025.16085676471</v>
      </c>
      <c r="E14" s="226">
        <f t="shared" si="0"/>
        <v>-1095.8194153005466</v>
      </c>
      <c r="F14" s="225">
        <f t="shared" si="4"/>
        <v>-10987.993996174862</v>
      </c>
      <c r="G14" s="225">
        <v>0</v>
      </c>
      <c r="H14" s="225">
        <f t="shared" si="5"/>
        <v>-130133</v>
      </c>
      <c r="I14" s="225">
        <f t="shared" si="1"/>
        <v>0</v>
      </c>
      <c r="J14" s="225">
        <f t="shared" si="6"/>
        <v>0</v>
      </c>
      <c r="K14" s="225">
        <f t="shared" si="2"/>
        <v>-141120.98027206527</v>
      </c>
    </row>
    <row r="15" spans="3:18" customFormat="1" x14ac:dyDescent="0.25">
      <c r="C15" s="224">
        <v>39813</v>
      </c>
      <c r="D15" s="225">
        <f t="shared" si="3"/>
        <v>-141120.98027206527</v>
      </c>
      <c r="E15" s="226">
        <f t="shared" si="0"/>
        <v>-1095.8194153005466</v>
      </c>
      <c r="F15" s="225">
        <f t="shared" si="4"/>
        <v>-12083.813411475408</v>
      </c>
      <c r="G15" s="225">
        <v>0</v>
      </c>
      <c r="H15" s="225">
        <f t="shared" si="5"/>
        <v>-130133</v>
      </c>
      <c r="I15" s="225">
        <f t="shared" si="1"/>
        <v>0</v>
      </c>
      <c r="J15" s="225">
        <f t="shared" si="6"/>
        <v>0</v>
      </c>
      <c r="K15" s="225">
        <f t="shared" si="2"/>
        <v>-142216.79968736583</v>
      </c>
    </row>
    <row r="16" spans="3:18" customFormat="1" x14ac:dyDescent="0.25">
      <c r="C16" s="224">
        <v>39903</v>
      </c>
      <c r="D16" s="225">
        <f t="shared" si="3"/>
        <v>-142216.79968736583</v>
      </c>
      <c r="E16" s="226">
        <f t="shared" si="0"/>
        <v>-786.14593150684937</v>
      </c>
      <c r="F16" s="225">
        <f t="shared" si="4"/>
        <v>-12869.959342982258</v>
      </c>
      <c r="G16" s="225">
        <v>0</v>
      </c>
      <c r="H16" s="225">
        <f t="shared" si="5"/>
        <v>-130133</v>
      </c>
      <c r="I16" s="225">
        <f t="shared" si="1"/>
        <v>0</v>
      </c>
      <c r="J16" s="225">
        <f t="shared" si="6"/>
        <v>0</v>
      </c>
      <c r="K16" s="225">
        <f t="shared" si="2"/>
        <v>-143002.94561887268</v>
      </c>
    </row>
    <row r="17" spans="2:12" x14ac:dyDescent="0.25">
      <c r="C17" s="224">
        <v>39994</v>
      </c>
      <c r="D17" s="225">
        <f t="shared" si="3"/>
        <v>-143002.94561887268</v>
      </c>
      <c r="E17" s="226">
        <f t="shared" si="0"/>
        <v>-324.44117808219175</v>
      </c>
      <c r="F17" s="225">
        <f t="shared" si="4"/>
        <v>-13194.40052106445</v>
      </c>
      <c r="G17" s="225">
        <v>0</v>
      </c>
      <c r="H17" s="225">
        <f t="shared" si="5"/>
        <v>-130133</v>
      </c>
      <c r="I17" s="225">
        <f t="shared" si="1"/>
        <v>0</v>
      </c>
      <c r="J17" s="225">
        <f t="shared" si="6"/>
        <v>0</v>
      </c>
      <c r="K17" s="225">
        <f t="shared" si="2"/>
        <v>-143327.38679695487</v>
      </c>
    </row>
    <row r="18" spans="2:12" x14ac:dyDescent="0.25">
      <c r="C18" s="224">
        <v>40086</v>
      </c>
      <c r="D18" s="225">
        <f t="shared" si="3"/>
        <v>-143327.38679695487</v>
      </c>
      <c r="E18" s="226">
        <f t="shared" si="0"/>
        <v>-180.40355616438356</v>
      </c>
      <c r="F18" s="225">
        <f t="shared" si="4"/>
        <v>-13374.804077228833</v>
      </c>
      <c r="G18" s="225">
        <v>0</v>
      </c>
      <c r="H18" s="225">
        <f t="shared" si="5"/>
        <v>-130133</v>
      </c>
      <c r="I18" s="225">
        <f t="shared" si="1"/>
        <v>0</v>
      </c>
      <c r="J18" s="225">
        <f t="shared" si="6"/>
        <v>0</v>
      </c>
      <c r="K18" s="225">
        <f t="shared" si="2"/>
        <v>-143507.79035311926</v>
      </c>
    </row>
    <row r="19" spans="2:12" x14ac:dyDescent="0.25">
      <c r="C19" s="224">
        <v>40178</v>
      </c>
      <c r="D19" s="225">
        <f t="shared" si="3"/>
        <v>-143507.79035311926</v>
      </c>
      <c r="E19" s="226">
        <f t="shared" si="0"/>
        <v>-180.40355616438356</v>
      </c>
      <c r="F19" s="225">
        <f t="shared" si="4"/>
        <v>-13555.207633393216</v>
      </c>
      <c r="G19" s="225">
        <v>0</v>
      </c>
      <c r="H19" s="225">
        <f t="shared" si="5"/>
        <v>-130133</v>
      </c>
      <c r="I19" s="225">
        <f t="shared" si="1"/>
        <v>0</v>
      </c>
      <c r="J19" s="225">
        <f t="shared" si="6"/>
        <v>0</v>
      </c>
      <c r="K19" s="225">
        <f t="shared" si="2"/>
        <v>-143688.19390928364</v>
      </c>
    </row>
    <row r="20" spans="2:12" x14ac:dyDescent="0.25">
      <c r="C20" s="224">
        <v>40268</v>
      </c>
      <c r="D20" s="225">
        <f t="shared" si="3"/>
        <v>-143688.19390928364</v>
      </c>
      <c r="E20" s="226">
        <f t="shared" si="0"/>
        <v>-176.4817397260274</v>
      </c>
      <c r="F20" s="225">
        <f t="shared" si="4"/>
        <v>-13731.689373119243</v>
      </c>
      <c r="G20" s="225">
        <v>0</v>
      </c>
      <c r="H20" s="225">
        <f t="shared" si="5"/>
        <v>-130133</v>
      </c>
      <c r="I20" s="225">
        <f t="shared" si="1"/>
        <v>0</v>
      </c>
      <c r="J20" s="225">
        <f t="shared" si="6"/>
        <v>0</v>
      </c>
      <c r="K20" s="225">
        <f t="shared" si="2"/>
        <v>-143864.67564900967</v>
      </c>
    </row>
    <row r="21" spans="2:12" x14ac:dyDescent="0.25">
      <c r="C21" s="224">
        <v>40359</v>
      </c>
      <c r="D21" s="225">
        <f t="shared" si="3"/>
        <v>-143864.67564900967</v>
      </c>
      <c r="E21" s="226">
        <f t="shared" si="0"/>
        <v>-178.44264794520547</v>
      </c>
      <c r="F21" s="225">
        <f t="shared" si="4"/>
        <v>-13910.132021064448</v>
      </c>
      <c r="G21" s="225">
        <v>0</v>
      </c>
      <c r="H21" s="225">
        <f t="shared" si="5"/>
        <v>-130133</v>
      </c>
      <c r="I21" s="225">
        <f t="shared" si="1"/>
        <v>0</v>
      </c>
      <c r="J21" s="225">
        <f t="shared" si="6"/>
        <v>0</v>
      </c>
      <c r="K21" s="225">
        <f t="shared" si="2"/>
        <v>-144043.11829695487</v>
      </c>
    </row>
    <row r="22" spans="2:12" x14ac:dyDescent="0.25">
      <c r="C22" s="219"/>
      <c r="D22" s="219"/>
      <c r="E22" s="219"/>
      <c r="F22" s="219"/>
      <c r="G22" s="219"/>
      <c r="H22" s="219"/>
    </row>
    <row r="24" spans="2:12" x14ac:dyDescent="0.25">
      <c r="C24" s="169" t="s">
        <v>197</v>
      </c>
    </row>
    <row r="25" spans="2:12" ht="15.75" thickBot="1" x14ac:dyDescent="0.3">
      <c r="B25" s="169"/>
    </row>
    <row r="26" spans="2:12" ht="15.75" thickBot="1" x14ac:dyDescent="0.3">
      <c r="B26" s="169"/>
      <c r="C26" s="228" t="s">
        <v>206</v>
      </c>
      <c r="D26" s="229"/>
      <c r="E26" s="229"/>
      <c r="F26" s="229"/>
      <c r="G26" s="229"/>
      <c r="H26" s="229"/>
      <c r="I26" s="229"/>
      <c r="J26" s="229"/>
      <c r="K26" s="230"/>
    </row>
    <row r="27" spans="2:12" x14ac:dyDescent="0.25">
      <c r="B27" s="169"/>
      <c r="C27" s="231"/>
    </row>
    <row r="28" spans="2:12" ht="35.25" thickBot="1" x14ac:dyDescent="0.3">
      <c r="C28" s="223" t="s">
        <v>207</v>
      </c>
      <c r="D28" s="223" t="s">
        <v>208</v>
      </c>
      <c r="E28" s="223" t="s">
        <v>209</v>
      </c>
      <c r="F28" s="223" t="s">
        <v>210</v>
      </c>
      <c r="G28" s="223" t="s">
        <v>211</v>
      </c>
      <c r="H28" s="223" t="s">
        <v>212</v>
      </c>
      <c r="I28" s="223" t="s">
        <v>213</v>
      </c>
      <c r="J28" s="223" t="s">
        <v>214</v>
      </c>
      <c r="K28" s="223" t="s">
        <v>215</v>
      </c>
      <c r="L28" s="223" t="s">
        <v>216</v>
      </c>
    </row>
    <row r="29" spans="2:12" x14ac:dyDescent="0.25">
      <c r="B29" s="169"/>
      <c r="C29" s="232" t="s">
        <v>217</v>
      </c>
      <c r="D29" s="233">
        <v>5953665</v>
      </c>
      <c r="E29" s="233">
        <v>130133</v>
      </c>
      <c r="F29" s="233">
        <f>-E29/12</f>
        <v>-10844.416666666666</v>
      </c>
      <c r="G29" s="234">
        <v>8</v>
      </c>
      <c r="H29" s="233">
        <f>+G29*F29</f>
        <v>-86755.333333333328</v>
      </c>
      <c r="I29" s="234">
        <f>SUM(E52:E59)</f>
        <v>0</v>
      </c>
      <c r="J29" s="234">
        <f>SUM(I52:I59)</f>
        <v>-1164.6545128767125</v>
      </c>
      <c r="K29" s="234">
        <f>SUM(H29:J29)</f>
        <v>-87919.987846210046</v>
      </c>
      <c r="L29" s="235">
        <v>39082</v>
      </c>
    </row>
    <row r="30" spans="2:12" x14ac:dyDescent="0.25">
      <c r="B30" s="169"/>
      <c r="C30" s="232" t="s">
        <v>218</v>
      </c>
      <c r="D30" s="234">
        <v>5953665</v>
      </c>
      <c r="E30" s="234">
        <v>130133</v>
      </c>
      <c r="F30" s="234">
        <f>-E30/12</f>
        <v>-10844.416666666666</v>
      </c>
      <c r="G30" s="234">
        <v>4</v>
      </c>
      <c r="H30" s="234">
        <f>+G30*F30</f>
        <v>-43377.666666666664</v>
      </c>
      <c r="I30" s="234">
        <v>0</v>
      </c>
      <c r="J30" s="234">
        <f>SUM(I60:I63)</f>
        <v>-1554.5839561643838</v>
      </c>
      <c r="K30" s="234">
        <f t="shared" ref="K30:K43" si="7">SUM(H30:J30)+K29</f>
        <v>-132852.2384690411</v>
      </c>
      <c r="L30" s="235">
        <v>39172</v>
      </c>
    </row>
    <row r="31" spans="2:12" x14ac:dyDescent="0.25">
      <c r="B31" s="169"/>
      <c r="C31" s="232" t="s">
        <v>219</v>
      </c>
      <c r="D31" s="234">
        <v>0</v>
      </c>
      <c r="F31" s="234">
        <v>0</v>
      </c>
      <c r="H31" s="234">
        <v>0</v>
      </c>
      <c r="I31" s="234">
        <v>0</v>
      </c>
      <c r="J31" s="234">
        <f>SUM(I64:I65)</f>
        <v>-998.24489506849329</v>
      </c>
      <c r="K31" s="234">
        <f t="shared" si="7"/>
        <v>-133850.48336410959</v>
      </c>
      <c r="L31" s="235">
        <v>39263</v>
      </c>
    </row>
    <row r="32" spans="2:12" x14ac:dyDescent="0.25">
      <c r="B32" s="169"/>
      <c r="C32" s="232" t="s">
        <v>220</v>
      </c>
      <c r="D32" s="234">
        <v>0</v>
      </c>
      <c r="F32" s="234">
        <v>0</v>
      </c>
      <c r="H32" s="234">
        <v>0</v>
      </c>
      <c r="I32" s="234">
        <v>0</v>
      </c>
      <c r="J32" s="234">
        <f>SUM(I66:I68)</f>
        <v>-1505.5496778082193</v>
      </c>
      <c r="K32" s="234">
        <f t="shared" si="7"/>
        <v>-135356.03304191781</v>
      </c>
      <c r="L32" s="235">
        <v>39355</v>
      </c>
    </row>
    <row r="33" spans="2:12" x14ac:dyDescent="0.25">
      <c r="B33" s="169"/>
      <c r="C33" s="232" t="s">
        <v>221</v>
      </c>
      <c r="D33" s="234">
        <v>0</v>
      </c>
      <c r="F33" s="234">
        <v>0</v>
      </c>
      <c r="H33" s="234">
        <v>0</v>
      </c>
      <c r="I33" s="234">
        <v>0</v>
      </c>
      <c r="J33" s="234">
        <f>SUM(I69:I71)</f>
        <v>-1685.9532339726029</v>
      </c>
      <c r="K33" s="234">
        <f t="shared" si="7"/>
        <v>-137041.98627589041</v>
      </c>
      <c r="L33" s="235">
        <v>39447</v>
      </c>
    </row>
    <row r="34" spans="2:12" x14ac:dyDescent="0.25">
      <c r="B34" s="169"/>
      <c r="C34" s="232" t="s">
        <v>222</v>
      </c>
      <c r="D34" s="234">
        <v>0</v>
      </c>
      <c r="F34" s="234">
        <v>0</v>
      </c>
      <c r="H34" s="234">
        <v>0</v>
      </c>
      <c r="I34" s="234">
        <v>0</v>
      </c>
      <c r="J34" s="234">
        <f>SUM(I72:I74)</f>
        <v>-1663.0712956284151</v>
      </c>
      <c r="K34" s="234">
        <f t="shared" si="7"/>
        <v>-138705.05757151882</v>
      </c>
      <c r="L34" s="235">
        <v>39538</v>
      </c>
    </row>
    <row r="35" spans="2:12" x14ac:dyDescent="0.25">
      <c r="B35" s="169"/>
      <c r="C35" s="232" t="s">
        <v>223</v>
      </c>
      <c r="D35" s="234"/>
      <c r="F35" s="234"/>
      <c r="H35" s="234"/>
      <c r="I35" s="234">
        <v>0</v>
      </c>
      <c r="J35" s="234">
        <f>SUM(I75:I77)</f>
        <v>-1320.1032852459018</v>
      </c>
      <c r="K35" s="234">
        <f t="shared" si="7"/>
        <v>-140025.16085676471</v>
      </c>
      <c r="L35" s="235">
        <v>39629</v>
      </c>
    </row>
    <row r="36" spans="2:12" x14ac:dyDescent="0.25">
      <c r="B36" s="169"/>
      <c r="C36" s="232" t="s">
        <v>224</v>
      </c>
      <c r="D36" s="234"/>
      <c r="F36" s="234"/>
      <c r="H36" s="234"/>
      <c r="I36" s="234">
        <v>0</v>
      </c>
      <c r="J36" s="234">
        <f>SUM(I78:I80)</f>
        <v>-1095.8194153005466</v>
      </c>
      <c r="K36" s="234">
        <f t="shared" si="7"/>
        <v>-141120.98027206527</v>
      </c>
      <c r="L36" s="235">
        <v>39721</v>
      </c>
    </row>
    <row r="37" spans="2:12" x14ac:dyDescent="0.25">
      <c r="B37" s="169"/>
      <c r="C37" s="232" t="s">
        <v>225</v>
      </c>
      <c r="D37" s="234"/>
      <c r="E37" s="234"/>
      <c r="F37" s="236"/>
      <c r="H37" s="234"/>
      <c r="I37" s="234">
        <v>0</v>
      </c>
      <c r="J37" s="234">
        <f>SUM(I81:I83)</f>
        <v>-1095.8194153005466</v>
      </c>
      <c r="K37" s="234">
        <f t="shared" si="7"/>
        <v>-142216.79968736583</v>
      </c>
      <c r="L37" s="235">
        <v>39813</v>
      </c>
    </row>
    <row r="38" spans="2:12" x14ac:dyDescent="0.25">
      <c r="B38" s="169"/>
      <c r="C38" s="232" t="s">
        <v>226</v>
      </c>
      <c r="D38" s="234"/>
      <c r="E38" s="234"/>
      <c r="F38" s="236"/>
      <c r="H38" s="234"/>
      <c r="I38" s="234">
        <f>SUM(E84:E86)+SUM(J84:J86)</f>
        <v>0</v>
      </c>
      <c r="J38" s="234">
        <f>SUM(I84:I86)</f>
        <v>-786.14593150684937</v>
      </c>
      <c r="K38" s="234">
        <f t="shared" si="7"/>
        <v>-143002.94561887268</v>
      </c>
      <c r="L38" s="235">
        <v>39903</v>
      </c>
    </row>
    <row r="39" spans="2:12" x14ac:dyDescent="0.25">
      <c r="B39" s="169"/>
      <c r="C39" s="232" t="s">
        <v>227</v>
      </c>
      <c r="D39" s="234"/>
      <c r="E39" s="234"/>
      <c r="F39" s="236"/>
      <c r="H39" s="234"/>
      <c r="I39" s="234">
        <f>SUM(E87:E89)+SUM(J87:J89)</f>
        <v>0</v>
      </c>
      <c r="J39" s="234">
        <f>SUM(I87:I89)</f>
        <v>-324.44117808219175</v>
      </c>
      <c r="K39" s="234">
        <f t="shared" si="7"/>
        <v>-143327.38679695487</v>
      </c>
      <c r="L39" s="235">
        <v>39994</v>
      </c>
    </row>
    <row r="40" spans="2:12" x14ac:dyDescent="0.25">
      <c r="B40" s="169"/>
      <c r="C40" s="232" t="s">
        <v>228</v>
      </c>
      <c r="D40" s="234"/>
      <c r="E40" s="234"/>
      <c r="F40" s="236"/>
      <c r="H40" s="234"/>
      <c r="I40" s="234">
        <f>SUM(E90:E92)+SUM(J90:J92)</f>
        <v>0</v>
      </c>
      <c r="J40" s="234">
        <f>SUM(I90:I92)</f>
        <v>-180.40355616438356</v>
      </c>
      <c r="K40" s="234">
        <f t="shared" si="7"/>
        <v>-143507.79035311926</v>
      </c>
      <c r="L40" s="235">
        <v>40086</v>
      </c>
    </row>
    <row r="41" spans="2:12" x14ac:dyDescent="0.25">
      <c r="B41" s="169"/>
      <c r="C41" s="232" t="s">
        <v>229</v>
      </c>
      <c r="D41" s="234"/>
      <c r="E41" s="234"/>
      <c r="F41" s="236"/>
      <c r="H41" s="234"/>
      <c r="I41" s="234">
        <f>SUM(E93:E95)+SUM(J93:J95)</f>
        <v>0</v>
      </c>
      <c r="J41" s="234">
        <f>SUM(I93:I95)</f>
        <v>-180.40355616438356</v>
      </c>
      <c r="K41" s="234">
        <f t="shared" si="7"/>
        <v>-143688.19390928364</v>
      </c>
      <c r="L41" s="235">
        <v>40178</v>
      </c>
    </row>
    <row r="42" spans="2:12" x14ac:dyDescent="0.25">
      <c r="B42" s="169"/>
      <c r="C42" s="232" t="s">
        <v>230</v>
      </c>
      <c r="D42" s="234"/>
      <c r="E42" s="234"/>
      <c r="F42" s="236"/>
      <c r="H42" s="234"/>
      <c r="I42" s="234">
        <f>SUM(E96:E98)+SUM(J96:J98)</f>
        <v>0</v>
      </c>
      <c r="J42" s="234">
        <f>SUM(I96:I98)</f>
        <v>-176.4817397260274</v>
      </c>
      <c r="K42" s="234">
        <f t="shared" si="7"/>
        <v>-143864.67564900967</v>
      </c>
      <c r="L42" s="235">
        <v>40268</v>
      </c>
    </row>
    <row r="43" spans="2:12" x14ac:dyDescent="0.25">
      <c r="B43" s="169"/>
      <c r="C43" s="232" t="s">
        <v>231</v>
      </c>
      <c r="D43" s="234"/>
      <c r="E43" s="234"/>
      <c r="F43" s="236"/>
      <c r="H43" s="234"/>
      <c r="I43" s="234">
        <f>SUM(E99:E101)+SUM(J99:J101)</f>
        <v>0</v>
      </c>
      <c r="J43" s="234">
        <f>SUM(I99:I101)</f>
        <v>-178.44264794520547</v>
      </c>
      <c r="K43" s="234">
        <f t="shared" si="7"/>
        <v>-144043.11829695487</v>
      </c>
      <c r="L43" s="235">
        <v>40359</v>
      </c>
    </row>
    <row r="44" spans="2:12" x14ac:dyDescent="0.25">
      <c r="B44" s="169"/>
      <c r="C44" s="232"/>
      <c r="D44" s="234"/>
      <c r="E44" s="234"/>
      <c r="F44" s="236"/>
      <c r="G44" s="234"/>
      <c r="H44" s="234"/>
      <c r="I44" s="234"/>
      <c r="J44" s="234"/>
      <c r="K44" s="235"/>
    </row>
    <row r="45" spans="2:12" x14ac:dyDescent="0.25">
      <c r="B45" s="169"/>
      <c r="C45" s="232"/>
      <c r="D45" s="234"/>
      <c r="E45" s="234"/>
      <c r="F45" s="237"/>
    </row>
    <row r="46" spans="2:12" ht="15.75" thickBot="1" x14ac:dyDescent="0.3">
      <c r="B46" s="169"/>
      <c r="H46" s="238">
        <f>SUM(H29:H45)</f>
        <v>-130133</v>
      </c>
      <c r="I46" s="238">
        <f>SUM(I29:I45)</f>
        <v>0</v>
      </c>
      <c r="J46" s="238">
        <f>SUM(J29:J45)</f>
        <v>-13910.118296954861</v>
      </c>
      <c r="K46" s="238">
        <f>SUM(H46:J46)</f>
        <v>-144043.11829695487</v>
      </c>
    </row>
    <row r="47" spans="2:12" ht="15.75" thickTop="1" x14ac:dyDescent="0.25">
      <c r="B47" s="169"/>
      <c r="H47" s="239"/>
      <c r="I47" s="239"/>
      <c r="K47" s="239"/>
      <c r="L47" s="239"/>
    </row>
    <row r="48" spans="2:12" x14ac:dyDescent="0.25">
      <c r="B48" s="169"/>
    </row>
    <row r="49" spans="2:13" ht="15.75" thickBot="1" x14ac:dyDescent="0.3">
      <c r="B49" s="240"/>
      <c r="C49" s="241"/>
      <c r="D49" s="242"/>
      <c r="F49" s="242"/>
      <c r="G49" s="242"/>
      <c r="H49" s="242"/>
      <c r="I49" s="242"/>
    </row>
    <row r="50" spans="2:13" ht="57.75" thickBot="1" x14ac:dyDescent="0.3">
      <c r="B50" s="243" t="s">
        <v>232</v>
      </c>
      <c r="C50" s="244" t="s">
        <v>233</v>
      </c>
      <c r="D50" s="244" t="s">
        <v>209</v>
      </c>
      <c r="E50" s="244" t="s">
        <v>213</v>
      </c>
      <c r="F50" s="244" t="s">
        <v>234</v>
      </c>
      <c r="G50" s="244" t="s">
        <v>235</v>
      </c>
      <c r="H50" s="244" t="s">
        <v>236</v>
      </c>
      <c r="I50" s="244" t="s">
        <v>237</v>
      </c>
      <c r="J50" s="244" t="s">
        <v>213</v>
      </c>
      <c r="K50" s="244" t="s">
        <v>238</v>
      </c>
      <c r="L50" s="244" t="s">
        <v>239</v>
      </c>
      <c r="M50" s="244" t="s">
        <v>240</v>
      </c>
    </row>
    <row r="51" spans="2:13" x14ac:dyDescent="0.25">
      <c r="B51" s="245"/>
      <c r="C51" s="246"/>
      <c r="D51" s="246"/>
      <c r="E51" s="246"/>
      <c r="F51" s="246"/>
      <c r="G51" s="246"/>
      <c r="H51" s="246"/>
      <c r="I51" s="246"/>
      <c r="K51" s="246"/>
      <c r="L51" s="246"/>
    </row>
    <row r="52" spans="2:13" x14ac:dyDescent="0.25">
      <c r="B52" s="235">
        <v>38843</v>
      </c>
      <c r="C52" s="226">
        <v>0</v>
      </c>
      <c r="D52" s="225">
        <v>-10844</v>
      </c>
      <c r="E52" s="225">
        <v>0</v>
      </c>
      <c r="F52" s="234">
        <f t="shared" ref="F52:F99" si="8">SUM(C52:E52)</f>
        <v>-10844</v>
      </c>
      <c r="G52" s="247">
        <v>31</v>
      </c>
      <c r="H52" s="248">
        <v>4.1399999999999999E-2</v>
      </c>
      <c r="I52" s="234">
        <f t="shared" ref="I52:I71" si="9">SUM(C52*H52*G52/365)</f>
        <v>0</v>
      </c>
      <c r="J52" s="234">
        <v>0</v>
      </c>
      <c r="K52" s="234">
        <f>+J52+I52</f>
        <v>0</v>
      </c>
      <c r="L52" s="234">
        <f t="shared" ref="L52:L115" si="10">+F52+K52</f>
        <v>-10844</v>
      </c>
    </row>
    <row r="53" spans="2:13" x14ac:dyDescent="0.25">
      <c r="B53" s="235">
        <v>38874</v>
      </c>
      <c r="C53" s="226">
        <f t="shared" ref="C53:C116" si="11">+F52</f>
        <v>-10844</v>
      </c>
      <c r="D53" s="225">
        <v>-10844</v>
      </c>
      <c r="E53" s="225">
        <v>0</v>
      </c>
      <c r="F53" s="234">
        <f>SUM(C53:E53)</f>
        <v>-21688</v>
      </c>
      <c r="G53" s="247">
        <v>30</v>
      </c>
      <c r="H53" s="248">
        <v>4.1399999999999999E-2</v>
      </c>
      <c r="I53" s="234">
        <f t="shared" si="9"/>
        <v>-36.899309589041096</v>
      </c>
      <c r="J53" s="234"/>
      <c r="K53" s="234">
        <f t="shared" ref="K53:K116" si="12">+K52+I53+J53</f>
        <v>-36.899309589041096</v>
      </c>
      <c r="L53" s="234">
        <f t="shared" si="10"/>
        <v>-21724.89930958904</v>
      </c>
    </row>
    <row r="54" spans="2:13" x14ac:dyDescent="0.25">
      <c r="B54" s="235">
        <v>38904</v>
      </c>
      <c r="C54" s="226">
        <f t="shared" si="11"/>
        <v>-21688</v>
      </c>
      <c r="D54" s="225">
        <v>-10844</v>
      </c>
      <c r="E54" s="225">
        <v>0</v>
      </c>
      <c r="F54" s="234">
        <f t="shared" si="8"/>
        <v>-32532</v>
      </c>
      <c r="G54" s="247">
        <v>31</v>
      </c>
      <c r="H54" s="248">
        <v>4.5900000000000003E-2</v>
      </c>
      <c r="I54" s="234">
        <f t="shared" si="9"/>
        <v>-84.547548493150686</v>
      </c>
      <c r="J54" s="234"/>
      <c r="K54" s="234">
        <f t="shared" si="12"/>
        <v>-121.44685808219178</v>
      </c>
      <c r="L54" s="234">
        <f t="shared" si="10"/>
        <v>-32653.446858082192</v>
      </c>
    </row>
    <row r="55" spans="2:13" x14ac:dyDescent="0.25">
      <c r="B55" s="235">
        <v>38935</v>
      </c>
      <c r="C55" s="226">
        <f t="shared" si="11"/>
        <v>-32532</v>
      </c>
      <c r="D55" s="225">
        <v>-10844</v>
      </c>
      <c r="E55" s="225">
        <v>0</v>
      </c>
      <c r="F55" s="234">
        <f t="shared" si="8"/>
        <v>-43376</v>
      </c>
      <c r="G55" s="247">
        <v>31</v>
      </c>
      <c r="H55" s="248">
        <v>4.5900000000000003E-2</v>
      </c>
      <c r="I55" s="234">
        <f t="shared" si="9"/>
        <v>-126.82132273972603</v>
      </c>
      <c r="J55" s="234"/>
      <c r="K55" s="234">
        <f t="shared" si="12"/>
        <v>-248.26818082191781</v>
      </c>
      <c r="L55" s="234">
        <f t="shared" si="10"/>
        <v>-43624.26818082192</v>
      </c>
    </row>
    <row r="56" spans="2:13" x14ac:dyDescent="0.25">
      <c r="B56" s="235">
        <v>38966</v>
      </c>
      <c r="C56" s="226">
        <f t="shared" si="11"/>
        <v>-43376</v>
      </c>
      <c r="D56" s="225">
        <v>-10844</v>
      </c>
      <c r="E56" s="225"/>
      <c r="F56" s="234">
        <f t="shared" si="8"/>
        <v>-54220</v>
      </c>
      <c r="G56" s="247">
        <v>30</v>
      </c>
      <c r="H56" s="248">
        <v>4.5900000000000003E-2</v>
      </c>
      <c r="I56" s="234">
        <f t="shared" si="9"/>
        <v>-163.6404164383562</v>
      </c>
      <c r="J56" s="234"/>
      <c r="K56" s="234">
        <f t="shared" si="12"/>
        <v>-411.90859726027401</v>
      </c>
      <c r="L56" s="234">
        <f t="shared" si="10"/>
        <v>-54631.908597260277</v>
      </c>
    </row>
    <row r="57" spans="2:13" x14ac:dyDescent="0.25">
      <c r="B57" s="235">
        <v>38996</v>
      </c>
      <c r="C57" s="226">
        <f t="shared" si="11"/>
        <v>-54220</v>
      </c>
      <c r="D57" s="225">
        <v>-10844</v>
      </c>
      <c r="E57" s="225"/>
      <c r="F57" s="234">
        <f t="shared" si="8"/>
        <v>-65064</v>
      </c>
      <c r="G57" s="247">
        <v>31</v>
      </c>
      <c r="H57" s="248">
        <v>4.5900000000000003E-2</v>
      </c>
      <c r="I57" s="234">
        <f t="shared" si="9"/>
        <v>-211.36887123287673</v>
      </c>
      <c r="J57" s="234"/>
      <c r="K57" s="234">
        <f t="shared" si="12"/>
        <v>-623.27746849315076</v>
      </c>
      <c r="L57" s="234">
        <f t="shared" si="10"/>
        <v>-65687.27746849315</v>
      </c>
    </row>
    <row r="58" spans="2:13" x14ac:dyDescent="0.25">
      <c r="B58" s="235">
        <v>39027</v>
      </c>
      <c r="C58" s="226">
        <f t="shared" si="11"/>
        <v>-65064</v>
      </c>
      <c r="D58" s="225">
        <v>-10844</v>
      </c>
      <c r="E58" s="225"/>
      <c r="F58" s="234">
        <f t="shared" si="8"/>
        <v>-75908</v>
      </c>
      <c r="G58" s="247">
        <v>30</v>
      </c>
      <c r="H58" s="248">
        <v>4.5900000000000003E-2</v>
      </c>
      <c r="I58" s="234">
        <f t="shared" si="9"/>
        <v>-245.46062465753428</v>
      </c>
      <c r="J58" s="234"/>
      <c r="K58" s="234">
        <f t="shared" si="12"/>
        <v>-868.73809315068502</v>
      </c>
      <c r="L58" s="234">
        <f t="shared" si="10"/>
        <v>-76776.738093150692</v>
      </c>
    </row>
    <row r="59" spans="2:13" x14ac:dyDescent="0.25">
      <c r="B59" s="235">
        <v>39057</v>
      </c>
      <c r="C59" s="226">
        <f t="shared" si="11"/>
        <v>-75908</v>
      </c>
      <c r="D59" s="225">
        <v>-10844</v>
      </c>
      <c r="E59" s="225"/>
      <c r="F59" s="234">
        <f t="shared" si="8"/>
        <v>-86752</v>
      </c>
      <c r="G59" s="247">
        <v>31</v>
      </c>
      <c r="H59" s="248">
        <v>4.5900000000000003E-2</v>
      </c>
      <c r="I59" s="234">
        <f t="shared" si="9"/>
        <v>-295.91641972602741</v>
      </c>
      <c r="J59" s="234"/>
      <c r="K59" s="234">
        <f t="shared" si="12"/>
        <v>-1164.6545128767125</v>
      </c>
      <c r="L59" s="234">
        <f t="shared" si="10"/>
        <v>-87916.654512876717</v>
      </c>
    </row>
    <row r="60" spans="2:13" x14ac:dyDescent="0.25">
      <c r="B60" s="235">
        <v>39088</v>
      </c>
      <c r="C60" s="226">
        <f t="shared" si="11"/>
        <v>-86752</v>
      </c>
      <c r="D60" s="225">
        <v>-10844</v>
      </c>
      <c r="E60" s="225"/>
      <c r="F60" s="234">
        <f t="shared" si="8"/>
        <v>-97596</v>
      </c>
      <c r="G60" s="247">
        <v>31</v>
      </c>
      <c r="H60" s="248">
        <v>4.5900000000000003E-2</v>
      </c>
      <c r="I60" s="234">
        <f t="shared" si="9"/>
        <v>-338.19019397260274</v>
      </c>
      <c r="J60" s="234"/>
      <c r="K60" s="234">
        <f t="shared" si="12"/>
        <v>-1502.8447068493151</v>
      </c>
      <c r="L60" s="234">
        <f t="shared" si="10"/>
        <v>-99098.844706849311</v>
      </c>
    </row>
    <row r="61" spans="2:13" x14ac:dyDescent="0.25">
      <c r="B61" s="235">
        <v>39119</v>
      </c>
      <c r="C61" s="226">
        <f t="shared" si="11"/>
        <v>-97596</v>
      </c>
      <c r="D61" s="225">
        <v>-10844</v>
      </c>
      <c r="E61" s="225"/>
      <c r="F61" s="234">
        <f t="shared" si="8"/>
        <v>-108440</v>
      </c>
      <c r="G61" s="247">
        <v>28</v>
      </c>
      <c r="H61" s="248">
        <v>4.5900000000000003E-2</v>
      </c>
      <c r="I61" s="234">
        <f t="shared" si="9"/>
        <v>-343.644874520548</v>
      </c>
      <c r="J61" s="234"/>
      <c r="K61" s="234">
        <f t="shared" si="12"/>
        <v>-1846.4895813698631</v>
      </c>
      <c r="L61" s="234">
        <f t="shared" si="10"/>
        <v>-110286.48958136987</v>
      </c>
    </row>
    <row r="62" spans="2:13" x14ac:dyDescent="0.25">
      <c r="B62" s="235">
        <v>39147</v>
      </c>
      <c r="C62" s="226">
        <f t="shared" si="11"/>
        <v>-108440</v>
      </c>
      <c r="D62" s="225">
        <v>-10844</v>
      </c>
      <c r="E62" s="225">
        <v>0</v>
      </c>
      <c r="F62" s="234">
        <f t="shared" si="8"/>
        <v>-119284</v>
      </c>
      <c r="G62" s="247">
        <v>31</v>
      </c>
      <c r="H62" s="248">
        <v>4.5900000000000003E-2</v>
      </c>
      <c r="I62" s="234">
        <f t="shared" si="9"/>
        <v>-422.73774246575346</v>
      </c>
      <c r="J62" s="234"/>
      <c r="K62" s="234">
        <f t="shared" si="12"/>
        <v>-2269.2273238356165</v>
      </c>
      <c r="L62" s="234">
        <f t="shared" si="10"/>
        <v>-121553.22732383561</v>
      </c>
    </row>
    <row r="63" spans="2:13" x14ac:dyDescent="0.25">
      <c r="B63" s="235">
        <v>39178</v>
      </c>
      <c r="C63" s="226">
        <f t="shared" si="11"/>
        <v>-119284</v>
      </c>
      <c r="D63" s="225">
        <v>-10849</v>
      </c>
      <c r="E63" s="225">
        <v>0</v>
      </c>
      <c r="F63" s="234">
        <f t="shared" si="8"/>
        <v>-130133</v>
      </c>
      <c r="G63" s="247">
        <v>30</v>
      </c>
      <c r="H63" s="248">
        <v>4.5900000000000003E-2</v>
      </c>
      <c r="I63" s="234">
        <f t="shared" si="9"/>
        <v>-450.01114520547952</v>
      </c>
      <c r="J63" s="234"/>
      <c r="K63" s="234">
        <f t="shared" si="12"/>
        <v>-2719.2384690410959</v>
      </c>
      <c r="L63" s="234">
        <f t="shared" si="10"/>
        <v>-132852.2384690411</v>
      </c>
    </row>
    <row r="64" spans="2:13" x14ac:dyDescent="0.25">
      <c r="B64" s="235">
        <v>39208</v>
      </c>
      <c r="C64" s="226">
        <f t="shared" si="11"/>
        <v>-130133</v>
      </c>
      <c r="D64" s="225">
        <v>0</v>
      </c>
      <c r="E64" s="225">
        <v>0</v>
      </c>
      <c r="F64" s="234">
        <f t="shared" si="8"/>
        <v>-130133</v>
      </c>
      <c r="G64" s="247">
        <v>31</v>
      </c>
      <c r="H64" s="248">
        <v>4.5900000000000003E-2</v>
      </c>
      <c r="I64" s="234">
        <f t="shared" si="9"/>
        <v>-507.30478273972608</v>
      </c>
      <c r="J64" s="234"/>
      <c r="K64" s="234">
        <f t="shared" si="12"/>
        <v>-3226.5432517808222</v>
      </c>
      <c r="L64" s="234">
        <f t="shared" si="10"/>
        <v>-133359.54325178082</v>
      </c>
    </row>
    <row r="65" spans="2:14" x14ac:dyDescent="0.25">
      <c r="B65" s="235">
        <v>39239</v>
      </c>
      <c r="C65" s="226">
        <f t="shared" si="11"/>
        <v>-130133</v>
      </c>
      <c r="D65" s="225">
        <v>0</v>
      </c>
      <c r="E65" s="225">
        <v>0</v>
      </c>
      <c r="F65" s="234">
        <f t="shared" si="8"/>
        <v>-130133</v>
      </c>
      <c r="G65" s="247">
        <v>30</v>
      </c>
      <c r="H65" s="248">
        <v>4.5900000000000003E-2</v>
      </c>
      <c r="I65" s="234">
        <f t="shared" si="9"/>
        <v>-490.94011232876721</v>
      </c>
      <c r="J65" s="234"/>
      <c r="K65" s="234">
        <f t="shared" si="12"/>
        <v>-3717.4833641095893</v>
      </c>
      <c r="L65" s="234">
        <f t="shared" si="10"/>
        <v>-133850.48336410959</v>
      </c>
    </row>
    <row r="66" spans="2:14" x14ac:dyDescent="0.25">
      <c r="B66" s="235">
        <v>39269</v>
      </c>
      <c r="C66" s="226">
        <f t="shared" si="11"/>
        <v>-130133</v>
      </c>
      <c r="D66" s="225">
        <v>0</v>
      </c>
      <c r="E66" s="225">
        <v>0</v>
      </c>
      <c r="F66" s="234">
        <f t="shared" si="8"/>
        <v>-130133</v>
      </c>
      <c r="G66" s="247">
        <v>31</v>
      </c>
      <c r="H66" s="248">
        <v>4.5900000000000003E-2</v>
      </c>
      <c r="I66" s="234">
        <f t="shared" si="9"/>
        <v>-507.30478273972608</v>
      </c>
      <c r="J66" s="234"/>
      <c r="K66" s="234">
        <f t="shared" si="12"/>
        <v>-4224.7881468493151</v>
      </c>
      <c r="L66" s="234">
        <f t="shared" si="10"/>
        <v>-134357.78814684931</v>
      </c>
    </row>
    <row r="67" spans="2:14" x14ac:dyDescent="0.25">
      <c r="B67" s="235">
        <v>39300</v>
      </c>
      <c r="C67" s="226">
        <f t="shared" si="11"/>
        <v>-130133</v>
      </c>
      <c r="D67" s="225">
        <v>0</v>
      </c>
      <c r="E67" s="225">
        <v>0</v>
      </c>
      <c r="F67" s="234">
        <f t="shared" si="8"/>
        <v>-130133</v>
      </c>
      <c r="G67" s="247">
        <v>31</v>
      </c>
      <c r="H67" s="248">
        <v>4.5900000000000003E-2</v>
      </c>
      <c r="I67" s="234">
        <f t="shared" si="9"/>
        <v>-507.30478273972608</v>
      </c>
      <c r="J67" s="234"/>
      <c r="K67" s="234">
        <f t="shared" si="12"/>
        <v>-4732.092929589041</v>
      </c>
      <c r="L67" s="234">
        <f t="shared" si="10"/>
        <v>-134865.09292958904</v>
      </c>
    </row>
    <row r="68" spans="2:14" x14ac:dyDescent="0.25">
      <c r="B68" s="235">
        <v>39331</v>
      </c>
      <c r="C68" s="226">
        <f t="shared" si="11"/>
        <v>-130133</v>
      </c>
      <c r="D68" s="225">
        <v>0</v>
      </c>
      <c r="E68" s="225">
        <v>0</v>
      </c>
      <c r="F68" s="234">
        <f t="shared" si="8"/>
        <v>-130133</v>
      </c>
      <c r="G68" s="247">
        <v>30</v>
      </c>
      <c r="H68" s="248">
        <v>4.5900000000000003E-2</v>
      </c>
      <c r="I68" s="234">
        <f t="shared" si="9"/>
        <v>-490.94011232876721</v>
      </c>
      <c r="J68" s="234"/>
      <c r="K68" s="234">
        <f t="shared" si="12"/>
        <v>-5223.0330419178081</v>
      </c>
      <c r="L68" s="234">
        <f t="shared" si="10"/>
        <v>-135356.03304191781</v>
      </c>
    </row>
    <row r="69" spans="2:14" x14ac:dyDescent="0.25">
      <c r="B69" s="235">
        <v>39361</v>
      </c>
      <c r="C69" s="226">
        <f t="shared" si="11"/>
        <v>-130133</v>
      </c>
      <c r="D69" s="225">
        <v>0</v>
      </c>
      <c r="E69" s="225">
        <v>0</v>
      </c>
      <c r="F69" s="234">
        <f t="shared" si="8"/>
        <v>-130133</v>
      </c>
      <c r="G69" s="247">
        <v>31</v>
      </c>
      <c r="H69" s="248">
        <v>5.1400000000000001E-2</v>
      </c>
      <c r="I69" s="234">
        <f t="shared" si="9"/>
        <v>-568.09293753424663</v>
      </c>
      <c r="J69" s="234"/>
      <c r="K69" s="234">
        <f t="shared" si="12"/>
        <v>-5791.1259794520547</v>
      </c>
      <c r="L69" s="234">
        <f t="shared" si="10"/>
        <v>-135924.12597945204</v>
      </c>
    </row>
    <row r="70" spans="2:14" x14ac:dyDescent="0.25">
      <c r="B70" s="235">
        <v>39392</v>
      </c>
      <c r="C70" s="226">
        <f t="shared" si="11"/>
        <v>-130133</v>
      </c>
      <c r="D70" s="225">
        <v>0</v>
      </c>
      <c r="E70" s="225">
        <v>0</v>
      </c>
      <c r="F70" s="234">
        <f t="shared" si="8"/>
        <v>-130133</v>
      </c>
      <c r="G70" s="247">
        <v>30</v>
      </c>
      <c r="H70" s="248">
        <v>5.1400000000000001E-2</v>
      </c>
      <c r="I70" s="234">
        <f t="shared" si="9"/>
        <v>-549.76735890410953</v>
      </c>
      <c r="J70" s="234"/>
      <c r="K70" s="234">
        <f t="shared" si="12"/>
        <v>-6340.8933383561643</v>
      </c>
      <c r="L70" s="234">
        <f t="shared" si="10"/>
        <v>-136473.89333835617</v>
      </c>
    </row>
    <row r="71" spans="2:14" x14ac:dyDescent="0.25">
      <c r="B71" s="235">
        <v>39422</v>
      </c>
      <c r="C71" s="226">
        <f t="shared" si="11"/>
        <v>-130133</v>
      </c>
      <c r="D71" s="225">
        <v>0</v>
      </c>
      <c r="E71" s="225">
        <v>0</v>
      </c>
      <c r="F71" s="234">
        <f t="shared" si="8"/>
        <v>-130133</v>
      </c>
      <c r="G71" s="247">
        <v>31</v>
      </c>
      <c r="H71" s="248">
        <v>5.1400000000000001E-2</v>
      </c>
      <c r="I71" s="234">
        <f t="shared" si="9"/>
        <v>-568.09293753424663</v>
      </c>
      <c r="J71" s="234"/>
      <c r="K71" s="234">
        <f t="shared" si="12"/>
        <v>-6908.986275890411</v>
      </c>
      <c r="L71" s="234">
        <f t="shared" si="10"/>
        <v>-137041.98627589041</v>
      </c>
    </row>
    <row r="72" spans="2:14" x14ac:dyDescent="0.25">
      <c r="B72" s="235">
        <v>39453</v>
      </c>
      <c r="C72" s="226">
        <f t="shared" si="11"/>
        <v>-130133</v>
      </c>
      <c r="D72" s="225">
        <v>0</v>
      </c>
      <c r="E72" s="225">
        <v>0</v>
      </c>
      <c r="F72" s="234">
        <f t="shared" si="8"/>
        <v>-130133</v>
      </c>
      <c r="G72" s="247">
        <v>31</v>
      </c>
      <c r="H72" s="248">
        <v>5.1400000000000001E-2</v>
      </c>
      <c r="I72" s="234">
        <f t="shared" ref="I72:I83" si="13">SUM(C72*H72*G72/366)</f>
        <v>-566.54077103825136</v>
      </c>
      <c r="J72" s="234"/>
      <c r="K72" s="234">
        <f t="shared" si="12"/>
        <v>-7475.5270469286625</v>
      </c>
      <c r="L72" s="234">
        <f t="shared" si="10"/>
        <v>-137608.52704692865</v>
      </c>
    </row>
    <row r="73" spans="2:14" x14ac:dyDescent="0.25">
      <c r="B73" s="235">
        <v>39484</v>
      </c>
      <c r="C73" s="226">
        <f t="shared" si="11"/>
        <v>-130133</v>
      </c>
      <c r="D73" s="225">
        <v>0</v>
      </c>
      <c r="E73" s="225">
        <v>0</v>
      </c>
      <c r="F73" s="234">
        <f t="shared" si="8"/>
        <v>-130133</v>
      </c>
      <c r="G73" s="247">
        <v>29</v>
      </c>
      <c r="H73" s="248">
        <v>5.1400000000000001E-2</v>
      </c>
      <c r="I73" s="234">
        <f t="shared" si="13"/>
        <v>-529.98975355191249</v>
      </c>
      <c r="J73" s="234"/>
      <c r="K73" s="234">
        <f t="shared" si="12"/>
        <v>-8005.5168004805746</v>
      </c>
      <c r="L73" s="234">
        <f t="shared" si="10"/>
        <v>-138138.51680048057</v>
      </c>
    </row>
    <row r="74" spans="2:14" x14ac:dyDescent="0.25">
      <c r="B74" s="235">
        <v>39513</v>
      </c>
      <c r="C74" s="226">
        <f t="shared" si="11"/>
        <v>-130133</v>
      </c>
      <c r="D74" s="225">
        <v>0</v>
      </c>
      <c r="E74" s="225">
        <v>0</v>
      </c>
      <c r="F74" s="234">
        <f t="shared" si="8"/>
        <v>-130133</v>
      </c>
      <c r="G74" s="247">
        <v>31</v>
      </c>
      <c r="H74" s="248">
        <v>5.1400000000000001E-2</v>
      </c>
      <c r="I74" s="234">
        <f t="shared" si="13"/>
        <v>-566.54077103825136</v>
      </c>
      <c r="J74" s="234"/>
      <c r="K74" s="234">
        <f t="shared" si="12"/>
        <v>-8572.0575715188261</v>
      </c>
      <c r="L74" s="234">
        <f t="shared" si="10"/>
        <v>-138705.05757151882</v>
      </c>
    </row>
    <row r="75" spans="2:14" x14ac:dyDescent="0.25">
      <c r="B75" s="235">
        <v>39544</v>
      </c>
      <c r="C75" s="226">
        <f t="shared" si="11"/>
        <v>-130133</v>
      </c>
      <c r="D75" s="225">
        <v>0</v>
      </c>
      <c r="E75" s="225">
        <v>0</v>
      </c>
      <c r="F75" s="234">
        <f t="shared" si="8"/>
        <v>-130133</v>
      </c>
      <c r="G75" s="247">
        <v>30</v>
      </c>
      <c r="H75" s="248">
        <v>4.0800000000000003E-2</v>
      </c>
      <c r="I75" s="234">
        <f t="shared" si="13"/>
        <v>-435.19888524590169</v>
      </c>
      <c r="J75" s="234"/>
      <c r="K75" s="234">
        <f t="shared" si="12"/>
        <v>-9007.2564567647278</v>
      </c>
      <c r="L75" s="234">
        <f t="shared" si="10"/>
        <v>-139140.25645676474</v>
      </c>
    </row>
    <row r="76" spans="2:14" x14ac:dyDescent="0.25">
      <c r="B76" s="235">
        <v>39574</v>
      </c>
      <c r="C76" s="226">
        <f t="shared" si="11"/>
        <v>-130133</v>
      </c>
      <c r="D76" s="225">
        <v>0</v>
      </c>
      <c r="E76" s="225">
        <v>0</v>
      </c>
      <c r="F76" s="234">
        <f t="shared" si="8"/>
        <v>-130133</v>
      </c>
      <c r="G76" s="247">
        <v>31</v>
      </c>
      <c r="H76" s="248">
        <v>4.0800000000000003E-2</v>
      </c>
      <c r="I76" s="234">
        <f t="shared" si="13"/>
        <v>-449.70551475409837</v>
      </c>
      <c r="J76" s="234"/>
      <c r="K76" s="234">
        <f t="shared" si="12"/>
        <v>-9456.9619715188255</v>
      </c>
      <c r="L76" s="234">
        <f t="shared" si="10"/>
        <v>-139589.96197151882</v>
      </c>
    </row>
    <row r="77" spans="2:14" x14ac:dyDescent="0.25">
      <c r="B77" s="235">
        <v>39605</v>
      </c>
      <c r="C77" s="226">
        <f t="shared" si="11"/>
        <v>-130133</v>
      </c>
      <c r="D77" s="225">
        <v>0</v>
      </c>
      <c r="E77" s="225">
        <v>0</v>
      </c>
      <c r="F77" s="234">
        <f t="shared" si="8"/>
        <v>-130133</v>
      </c>
      <c r="G77" s="247">
        <v>30</v>
      </c>
      <c r="H77" s="248">
        <v>4.0800000000000003E-2</v>
      </c>
      <c r="I77" s="234">
        <f t="shared" si="13"/>
        <v>-435.19888524590169</v>
      </c>
      <c r="J77" s="234"/>
      <c r="K77" s="234">
        <f t="shared" si="12"/>
        <v>-9892.1608567647272</v>
      </c>
      <c r="L77" s="234">
        <f t="shared" si="10"/>
        <v>-140025.16085676473</v>
      </c>
      <c r="M77" s="90" t="s">
        <v>128</v>
      </c>
    </row>
    <row r="78" spans="2:14" x14ac:dyDescent="0.25">
      <c r="B78" s="235">
        <v>39635</v>
      </c>
      <c r="C78" s="226">
        <f t="shared" si="11"/>
        <v>-130133</v>
      </c>
      <c r="D78" s="225">
        <v>0</v>
      </c>
      <c r="E78" s="225">
        <v>0</v>
      </c>
      <c r="F78" s="234">
        <f t="shared" si="8"/>
        <v>-130133</v>
      </c>
      <c r="G78" s="247">
        <v>31</v>
      </c>
      <c r="H78" s="248">
        <v>3.3500000000000002E-2</v>
      </c>
      <c r="I78" s="234">
        <f t="shared" si="13"/>
        <v>-369.24349863387977</v>
      </c>
      <c r="J78" s="234"/>
      <c r="K78" s="234">
        <f t="shared" si="12"/>
        <v>-10261.404355398607</v>
      </c>
      <c r="L78" s="234">
        <f t="shared" si="10"/>
        <v>-140394.40435539861</v>
      </c>
    </row>
    <row r="79" spans="2:14" x14ac:dyDescent="0.25">
      <c r="B79" s="235">
        <v>39666</v>
      </c>
      <c r="C79" s="226">
        <f t="shared" si="11"/>
        <v>-130133</v>
      </c>
      <c r="D79" s="225">
        <v>0</v>
      </c>
      <c r="E79" s="225">
        <v>0</v>
      </c>
      <c r="F79" s="234">
        <f t="shared" si="8"/>
        <v>-130133</v>
      </c>
      <c r="G79" s="247">
        <v>31</v>
      </c>
      <c r="H79" s="248">
        <v>3.3500000000000002E-2</v>
      </c>
      <c r="I79" s="234">
        <f t="shared" si="13"/>
        <v>-369.24349863387977</v>
      </c>
      <c r="J79" s="234"/>
      <c r="K79" s="234">
        <f t="shared" si="12"/>
        <v>-10630.647854032486</v>
      </c>
      <c r="L79" s="234">
        <f t="shared" si="10"/>
        <v>-140763.64785403249</v>
      </c>
      <c r="M79" s="219"/>
      <c r="N79" s="219"/>
    </row>
    <row r="80" spans="2:14" x14ac:dyDescent="0.25">
      <c r="B80" s="235">
        <v>39697</v>
      </c>
      <c r="C80" s="226">
        <f t="shared" si="11"/>
        <v>-130133</v>
      </c>
      <c r="D80" s="225">
        <v>0</v>
      </c>
      <c r="E80" s="225">
        <v>0</v>
      </c>
      <c r="F80" s="234">
        <f t="shared" si="8"/>
        <v>-130133</v>
      </c>
      <c r="G80" s="247">
        <v>30</v>
      </c>
      <c r="H80" s="248">
        <v>3.3500000000000002E-2</v>
      </c>
      <c r="I80" s="234">
        <f t="shared" si="13"/>
        <v>-357.3324180327869</v>
      </c>
      <c r="J80" s="234"/>
      <c r="K80" s="234">
        <f t="shared" si="12"/>
        <v>-10987.980272065273</v>
      </c>
      <c r="L80" s="234">
        <f t="shared" si="10"/>
        <v>-141120.98027206527</v>
      </c>
      <c r="M80" s="219"/>
      <c r="N80" s="219"/>
    </row>
    <row r="81" spans="2:14" x14ac:dyDescent="0.25">
      <c r="B81" s="235">
        <v>39727</v>
      </c>
      <c r="C81" s="226">
        <f t="shared" si="11"/>
        <v>-130133</v>
      </c>
      <c r="D81" s="225">
        <v>0</v>
      </c>
      <c r="E81" s="225">
        <v>0</v>
      </c>
      <c r="F81" s="234">
        <f t="shared" si="8"/>
        <v>-130133</v>
      </c>
      <c r="G81" s="247">
        <v>31</v>
      </c>
      <c r="H81" s="248">
        <v>3.3500000000000002E-2</v>
      </c>
      <c r="I81" s="234">
        <f t="shared" si="13"/>
        <v>-369.24349863387977</v>
      </c>
      <c r="J81" s="234"/>
      <c r="K81" s="234">
        <f t="shared" si="12"/>
        <v>-11357.223770699153</v>
      </c>
      <c r="L81" s="234">
        <f t="shared" si="10"/>
        <v>-141490.22377069914</v>
      </c>
      <c r="M81" s="219"/>
      <c r="N81" s="219"/>
    </row>
    <row r="82" spans="2:14" x14ac:dyDescent="0.25">
      <c r="B82" s="235">
        <v>39758</v>
      </c>
      <c r="C82" s="226">
        <f t="shared" si="11"/>
        <v>-130133</v>
      </c>
      <c r="D82" s="225">
        <v>0</v>
      </c>
      <c r="E82" s="225">
        <v>0</v>
      </c>
      <c r="F82" s="234">
        <f t="shared" si="8"/>
        <v>-130133</v>
      </c>
      <c r="G82" s="247">
        <v>30</v>
      </c>
      <c r="H82" s="248">
        <v>3.3500000000000002E-2</v>
      </c>
      <c r="I82" s="234">
        <f t="shared" si="13"/>
        <v>-357.3324180327869</v>
      </c>
      <c r="J82" s="234"/>
      <c r="K82" s="234">
        <f t="shared" si="12"/>
        <v>-11714.55618873194</v>
      </c>
      <c r="L82" s="234">
        <f t="shared" si="10"/>
        <v>-141847.55618873195</v>
      </c>
      <c r="M82" s="219"/>
      <c r="N82" s="219"/>
    </row>
    <row r="83" spans="2:14" x14ac:dyDescent="0.25">
      <c r="B83" s="235">
        <v>39788</v>
      </c>
      <c r="C83" s="226">
        <f t="shared" si="11"/>
        <v>-130133</v>
      </c>
      <c r="D83" s="225">
        <v>0</v>
      </c>
      <c r="E83" s="225">
        <v>0</v>
      </c>
      <c r="F83" s="234">
        <f t="shared" si="8"/>
        <v>-130133</v>
      </c>
      <c r="G83" s="247">
        <v>31</v>
      </c>
      <c r="H83" s="248">
        <v>3.3500000000000002E-2</v>
      </c>
      <c r="I83" s="234">
        <f t="shared" si="13"/>
        <v>-369.24349863387977</v>
      </c>
      <c r="J83" s="234"/>
      <c r="K83" s="234">
        <f t="shared" si="12"/>
        <v>-12083.799687365819</v>
      </c>
      <c r="L83" s="234">
        <f t="shared" si="10"/>
        <v>-142216.79968736583</v>
      </c>
      <c r="M83" s="219"/>
      <c r="N83" s="219"/>
    </row>
    <row r="84" spans="2:14" x14ac:dyDescent="0.25">
      <c r="B84" s="235">
        <v>39819</v>
      </c>
      <c r="C84" s="226">
        <f t="shared" si="11"/>
        <v>-130133</v>
      </c>
      <c r="D84" s="225">
        <v>0</v>
      </c>
      <c r="E84" s="225">
        <v>0</v>
      </c>
      <c r="F84" s="234">
        <f t="shared" si="8"/>
        <v>-130133</v>
      </c>
      <c r="G84" s="247">
        <v>31</v>
      </c>
      <c r="H84" s="248">
        <v>2.4500000000000001E-2</v>
      </c>
      <c r="I84" s="234">
        <f t="shared" ref="I84:I143" si="14">SUM(C84*H84*G84/365)</f>
        <v>-270.78359863013696</v>
      </c>
      <c r="J84" s="234"/>
      <c r="K84" s="234">
        <f t="shared" si="12"/>
        <v>-12354.583285995956</v>
      </c>
      <c r="L84" s="234">
        <f t="shared" si="10"/>
        <v>-142487.58328599596</v>
      </c>
      <c r="M84" s="219"/>
      <c r="N84" s="219"/>
    </row>
    <row r="85" spans="2:14" x14ac:dyDescent="0.25">
      <c r="B85" s="235">
        <v>39850</v>
      </c>
      <c r="C85" s="226">
        <f t="shared" si="11"/>
        <v>-130133</v>
      </c>
      <c r="D85" s="225">
        <v>0</v>
      </c>
      <c r="E85" s="225">
        <v>0</v>
      </c>
      <c r="F85" s="234">
        <f t="shared" si="8"/>
        <v>-130133</v>
      </c>
      <c r="G85" s="247">
        <v>28</v>
      </c>
      <c r="H85" s="248">
        <v>2.4500000000000001E-2</v>
      </c>
      <c r="I85" s="234">
        <f t="shared" si="14"/>
        <v>-244.57873424657532</v>
      </c>
      <c r="J85" s="234"/>
      <c r="K85" s="234">
        <f t="shared" si="12"/>
        <v>-12599.162020242531</v>
      </c>
      <c r="L85" s="234">
        <f t="shared" si="10"/>
        <v>-142732.16202024254</v>
      </c>
      <c r="M85" s="219"/>
      <c r="N85" s="219"/>
    </row>
    <row r="86" spans="2:14" x14ac:dyDescent="0.25">
      <c r="B86" s="235">
        <v>39878</v>
      </c>
      <c r="C86" s="226">
        <f t="shared" si="11"/>
        <v>-130133</v>
      </c>
      <c r="D86" s="225">
        <v>0</v>
      </c>
      <c r="E86" s="225">
        <v>0</v>
      </c>
      <c r="F86" s="234">
        <f t="shared" si="8"/>
        <v>-130133</v>
      </c>
      <c r="G86" s="247">
        <v>31</v>
      </c>
      <c r="H86" s="248">
        <v>2.4500000000000001E-2</v>
      </c>
      <c r="I86" s="234">
        <f t="shared" si="14"/>
        <v>-270.78359863013696</v>
      </c>
      <c r="J86" s="234"/>
      <c r="K86" s="234">
        <f t="shared" si="12"/>
        <v>-12869.945618872667</v>
      </c>
      <c r="L86" s="234">
        <f t="shared" si="10"/>
        <v>-143002.94561887268</v>
      </c>
      <c r="M86" s="219"/>
      <c r="N86" s="219"/>
    </row>
    <row r="87" spans="2:14" x14ac:dyDescent="0.25">
      <c r="B87" s="235">
        <v>39909</v>
      </c>
      <c r="C87" s="226">
        <f t="shared" si="11"/>
        <v>-130133</v>
      </c>
      <c r="D87" s="225">
        <v>0</v>
      </c>
      <c r="E87" s="225">
        <v>0</v>
      </c>
      <c r="F87" s="234">
        <f t="shared" si="8"/>
        <v>-130133</v>
      </c>
      <c r="G87" s="247">
        <v>30</v>
      </c>
      <c r="H87" s="248">
        <v>0.01</v>
      </c>
      <c r="I87" s="234">
        <f t="shared" si="14"/>
        <v>-106.95863013698629</v>
      </c>
      <c r="J87" s="234"/>
      <c r="K87" s="234">
        <f t="shared" si="12"/>
        <v>-12976.904249009653</v>
      </c>
      <c r="L87" s="234">
        <f t="shared" si="10"/>
        <v>-143109.90424900965</v>
      </c>
      <c r="M87" s="249">
        <v>0</v>
      </c>
      <c r="N87" s="219"/>
    </row>
    <row r="88" spans="2:14" x14ac:dyDescent="0.25">
      <c r="B88" s="235">
        <v>39939</v>
      </c>
      <c r="C88" s="226">
        <f t="shared" si="11"/>
        <v>-130133</v>
      </c>
      <c r="D88" s="225">
        <v>0</v>
      </c>
      <c r="E88" s="250"/>
      <c r="F88" s="234">
        <f t="shared" si="8"/>
        <v>-130133</v>
      </c>
      <c r="G88" s="247">
        <v>31</v>
      </c>
      <c r="H88" s="248">
        <v>0.01</v>
      </c>
      <c r="I88" s="234">
        <f t="shared" si="14"/>
        <v>-110.52391780821917</v>
      </c>
      <c r="J88" s="251"/>
      <c r="K88" s="234">
        <f t="shared" si="12"/>
        <v>-13087.428166817872</v>
      </c>
      <c r="L88" s="234">
        <f t="shared" si="10"/>
        <v>-143220.42816681787</v>
      </c>
      <c r="M88" s="249">
        <v>0</v>
      </c>
      <c r="N88" s="219"/>
    </row>
    <row r="89" spans="2:14" x14ac:dyDescent="0.25">
      <c r="B89" s="235">
        <v>39970</v>
      </c>
      <c r="C89" s="226">
        <f t="shared" si="11"/>
        <v>-130133</v>
      </c>
      <c r="D89" s="225">
        <v>0</v>
      </c>
      <c r="E89" s="250">
        <f t="shared" ref="E89:E143" si="15">+E88</f>
        <v>0</v>
      </c>
      <c r="F89" s="234">
        <f t="shared" si="8"/>
        <v>-130133</v>
      </c>
      <c r="G89" s="247">
        <v>30</v>
      </c>
      <c r="H89" s="248">
        <v>0.01</v>
      </c>
      <c r="I89" s="234">
        <f t="shared" si="14"/>
        <v>-106.95863013698629</v>
      </c>
      <c r="J89" s="251">
        <f t="shared" ref="J89:J143" si="16">+J88</f>
        <v>0</v>
      </c>
      <c r="K89" s="234">
        <f t="shared" si="12"/>
        <v>-13194.386796954857</v>
      </c>
      <c r="L89" s="234">
        <f t="shared" si="10"/>
        <v>-143327.38679695484</v>
      </c>
      <c r="M89" s="249">
        <v>0</v>
      </c>
      <c r="N89" s="219"/>
    </row>
    <row r="90" spans="2:14" x14ac:dyDescent="0.25">
      <c r="B90" s="235">
        <v>40000</v>
      </c>
      <c r="C90" s="226">
        <f t="shared" si="11"/>
        <v>-130133</v>
      </c>
      <c r="D90" s="225">
        <v>0</v>
      </c>
      <c r="E90" s="250">
        <f t="shared" si="15"/>
        <v>0</v>
      </c>
      <c r="F90" s="234">
        <f t="shared" si="8"/>
        <v>-130133</v>
      </c>
      <c r="G90" s="247">
        <v>31</v>
      </c>
      <c r="H90" s="248">
        <v>5.4999999999999997E-3</v>
      </c>
      <c r="I90" s="234">
        <f t="shared" si="14"/>
        <v>-60.788154794520544</v>
      </c>
      <c r="J90" s="251">
        <f t="shared" si="16"/>
        <v>0</v>
      </c>
      <c r="K90" s="234">
        <f t="shared" si="12"/>
        <v>-13255.174951749377</v>
      </c>
      <c r="L90" s="234">
        <f t="shared" si="10"/>
        <v>-143388.17495174939</v>
      </c>
      <c r="M90" s="249">
        <v>0</v>
      </c>
      <c r="N90" s="219"/>
    </row>
    <row r="91" spans="2:14" x14ac:dyDescent="0.25">
      <c r="B91" s="235">
        <v>40031</v>
      </c>
      <c r="C91" s="226">
        <f t="shared" si="11"/>
        <v>-130133</v>
      </c>
      <c r="D91" s="225">
        <v>0</v>
      </c>
      <c r="E91" s="250">
        <f t="shared" si="15"/>
        <v>0</v>
      </c>
      <c r="F91" s="234">
        <f t="shared" si="8"/>
        <v>-130133</v>
      </c>
      <c r="G91" s="247">
        <v>31</v>
      </c>
      <c r="H91" s="248">
        <v>5.4999999999999997E-3</v>
      </c>
      <c r="I91" s="234">
        <f t="shared" si="14"/>
        <v>-60.788154794520544</v>
      </c>
      <c r="J91" s="251">
        <f t="shared" si="16"/>
        <v>0</v>
      </c>
      <c r="K91" s="234">
        <f t="shared" si="12"/>
        <v>-13315.963106543897</v>
      </c>
      <c r="L91" s="234">
        <f t="shared" si="10"/>
        <v>-143448.9631065439</v>
      </c>
      <c r="M91" s="249">
        <v>0</v>
      </c>
      <c r="N91" s="219"/>
    </row>
    <row r="92" spans="2:14" x14ac:dyDescent="0.25">
      <c r="B92" s="235">
        <v>40062</v>
      </c>
      <c r="C92" s="226">
        <f t="shared" si="11"/>
        <v>-130133</v>
      </c>
      <c r="D92" s="225">
        <v>0</v>
      </c>
      <c r="E92" s="225">
        <v>0</v>
      </c>
      <c r="F92" s="234">
        <f t="shared" si="8"/>
        <v>-130133</v>
      </c>
      <c r="G92" s="247">
        <v>30</v>
      </c>
      <c r="H92" s="248">
        <v>5.4999999999999997E-3</v>
      </c>
      <c r="I92" s="234">
        <f t="shared" si="14"/>
        <v>-58.827246575342464</v>
      </c>
      <c r="J92" s="234">
        <v>0</v>
      </c>
      <c r="K92" s="234">
        <f t="shared" si="12"/>
        <v>-13374.790353119239</v>
      </c>
      <c r="L92" s="234">
        <f t="shared" si="10"/>
        <v>-143507.79035311923</v>
      </c>
      <c r="M92" s="249">
        <v>0</v>
      </c>
      <c r="N92" s="219"/>
    </row>
    <row r="93" spans="2:14" x14ac:dyDescent="0.25">
      <c r="B93" s="235">
        <v>40092</v>
      </c>
      <c r="C93" s="226">
        <f t="shared" si="11"/>
        <v>-130133</v>
      </c>
      <c r="D93" s="225">
        <v>0</v>
      </c>
      <c r="E93" s="225">
        <f t="shared" si="15"/>
        <v>0</v>
      </c>
      <c r="F93" s="234">
        <f t="shared" si="8"/>
        <v>-130133</v>
      </c>
      <c r="G93" s="247">
        <v>31</v>
      </c>
      <c r="H93" s="248">
        <v>5.4999999999999997E-3</v>
      </c>
      <c r="I93" s="234">
        <f t="shared" si="14"/>
        <v>-60.788154794520544</v>
      </c>
      <c r="J93" s="234">
        <f t="shared" si="16"/>
        <v>0</v>
      </c>
      <c r="K93" s="234">
        <f t="shared" si="12"/>
        <v>-13435.578507913759</v>
      </c>
      <c r="L93" s="234">
        <f t="shared" si="10"/>
        <v>-143568.57850791377</v>
      </c>
      <c r="M93" s="249">
        <v>0</v>
      </c>
      <c r="N93" s="219"/>
    </row>
    <row r="94" spans="2:14" x14ac:dyDescent="0.25">
      <c r="B94" s="235">
        <v>40123</v>
      </c>
      <c r="C94" s="226">
        <f t="shared" si="11"/>
        <v>-130133</v>
      </c>
      <c r="D94" s="225">
        <v>0</v>
      </c>
      <c r="E94" s="225">
        <f t="shared" si="15"/>
        <v>0</v>
      </c>
      <c r="F94" s="234">
        <f t="shared" si="8"/>
        <v>-130133</v>
      </c>
      <c r="G94" s="247">
        <v>30</v>
      </c>
      <c r="H94" s="248">
        <v>5.4999999999999997E-3</v>
      </c>
      <c r="I94" s="234">
        <f t="shared" si="14"/>
        <v>-58.827246575342464</v>
      </c>
      <c r="J94" s="234">
        <f t="shared" si="16"/>
        <v>0</v>
      </c>
      <c r="K94" s="234">
        <f t="shared" si="12"/>
        <v>-13494.4057544891</v>
      </c>
      <c r="L94" s="234">
        <f t="shared" si="10"/>
        <v>-143627.4057544891</v>
      </c>
      <c r="M94" s="249">
        <v>0</v>
      </c>
      <c r="N94" s="219"/>
    </row>
    <row r="95" spans="2:14" x14ac:dyDescent="0.25">
      <c r="B95" s="235">
        <v>40153</v>
      </c>
      <c r="C95" s="226">
        <f t="shared" si="11"/>
        <v>-130133</v>
      </c>
      <c r="D95" s="225">
        <v>0</v>
      </c>
      <c r="E95" s="225">
        <f t="shared" si="15"/>
        <v>0</v>
      </c>
      <c r="F95" s="234">
        <f t="shared" si="8"/>
        <v>-130133</v>
      </c>
      <c r="G95" s="247">
        <v>31</v>
      </c>
      <c r="H95" s="248">
        <v>5.4999999999999997E-3</v>
      </c>
      <c r="I95" s="234">
        <f t="shared" si="14"/>
        <v>-60.788154794520544</v>
      </c>
      <c r="J95" s="234">
        <f t="shared" si="16"/>
        <v>0</v>
      </c>
      <c r="K95" s="234">
        <f t="shared" si="12"/>
        <v>-13555.19390928362</v>
      </c>
      <c r="L95" s="234">
        <f t="shared" si="10"/>
        <v>-143688.19390928361</v>
      </c>
      <c r="M95" s="249">
        <v>0</v>
      </c>
      <c r="N95" s="219"/>
    </row>
    <row r="96" spans="2:14" x14ac:dyDescent="0.25">
      <c r="B96" s="235">
        <v>40184</v>
      </c>
      <c r="C96" s="226">
        <f t="shared" si="11"/>
        <v>-130133</v>
      </c>
      <c r="D96" s="225">
        <v>0</v>
      </c>
      <c r="E96" s="225">
        <f t="shared" si="15"/>
        <v>0</v>
      </c>
      <c r="F96" s="234">
        <f t="shared" si="8"/>
        <v>-130133</v>
      </c>
      <c r="G96" s="247">
        <v>31</v>
      </c>
      <c r="H96" s="248">
        <v>5.4999999999999997E-3</v>
      </c>
      <c r="I96" s="234">
        <f t="shared" si="14"/>
        <v>-60.788154794520544</v>
      </c>
      <c r="J96" s="234">
        <f t="shared" si="16"/>
        <v>0</v>
      </c>
      <c r="K96" s="234">
        <f t="shared" si="12"/>
        <v>-13615.98206407814</v>
      </c>
      <c r="L96" s="234">
        <f t="shared" si="10"/>
        <v>-143748.98206407815</v>
      </c>
      <c r="M96" s="249">
        <v>0</v>
      </c>
      <c r="N96" s="219"/>
    </row>
    <row r="97" spans="1:14" x14ac:dyDescent="0.25">
      <c r="B97" s="235">
        <v>40215</v>
      </c>
      <c r="C97" s="226">
        <f t="shared" si="11"/>
        <v>-130133</v>
      </c>
      <c r="D97" s="225">
        <v>0</v>
      </c>
      <c r="E97" s="225">
        <f t="shared" si="15"/>
        <v>0</v>
      </c>
      <c r="F97" s="234">
        <f t="shared" si="8"/>
        <v>-130133</v>
      </c>
      <c r="G97" s="247">
        <v>28</v>
      </c>
      <c r="H97" s="248">
        <v>5.4999999999999997E-3</v>
      </c>
      <c r="I97" s="234">
        <f t="shared" si="14"/>
        <v>-54.905430136986304</v>
      </c>
      <c r="J97" s="234">
        <f t="shared" si="16"/>
        <v>0</v>
      </c>
      <c r="K97" s="234">
        <f t="shared" si="12"/>
        <v>-13670.887494215127</v>
      </c>
      <c r="L97" s="234">
        <f t="shared" si="10"/>
        <v>-143803.88749421513</v>
      </c>
      <c r="M97" s="249">
        <v>0</v>
      </c>
      <c r="N97" s="219"/>
    </row>
    <row r="98" spans="1:14" x14ac:dyDescent="0.25">
      <c r="B98" s="235">
        <v>40243</v>
      </c>
      <c r="C98" s="226">
        <f t="shared" si="11"/>
        <v>-130133</v>
      </c>
      <c r="D98" s="225">
        <v>0</v>
      </c>
      <c r="E98" s="225">
        <f t="shared" si="15"/>
        <v>0</v>
      </c>
      <c r="F98" s="234">
        <f t="shared" si="8"/>
        <v>-130133</v>
      </c>
      <c r="G98" s="247">
        <v>31</v>
      </c>
      <c r="H98" s="248">
        <v>5.4999999999999997E-3</v>
      </c>
      <c r="I98" s="234">
        <f t="shared" si="14"/>
        <v>-60.788154794520544</v>
      </c>
      <c r="J98" s="234">
        <f t="shared" si="16"/>
        <v>0</v>
      </c>
      <c r="K98" s="234">
        <f t="shared" si="12"/>
        <v>-13731.675649009647</v>
      </c>
      <c r="L98" s="234">
        <f t="shared" si="10"/>
        <v>-143864.67564900964</v>
      </c>
      <c r="M98" s="249">
        <v>0</v>
      </c>
      <c r="N98" s="219"/>
    </row>
    <row r="99" spans="1:14" x14ac:dyDescent="0.25">
      <c r="B99" s="235">
        <v>40274</v>
      </c>
      <c r="C99" s="226">
        <f t="shared" si="11"/>
        <v>-130133</v>
      </c>
      <c r="D99" s="225">
        <v>0</v>
      </c>
      <c r="E99" s="225">
        <f t="shared" si="15"/>
        <v>0</v>
      </c>
      <c r="F99" s="234">
        <f t="shared" si="8"/>
        <v>-130133</v>
      </c>
      <c r="G99" s="247">
        <v>30</v>
      </c>
      <c r="H99" s="248">
        <v>5.4999999999999997E-3</v>
      </c>
      <c r="I99" s="234">
        <f t="shared" si="14"/>
        <v>-58.827246575342464</v>
      </c>
      <c r="J99" s="234">
        <f t="shared" si="16"/>
        <v>0</v>
      </c>
      <c r="K99" s="234">
        <f t="shared" si="12"/>
        <v>-13790.502895584988</v>
      </c>
      <c r="L99" s="234">
        <f t="shared" si="10"/>
        <v>-143923.502895585</v>
      </c>
      <c r="M99" s="249">
        <v>0</v>
      </c>
      <c r="N99" s="219"/>
    </row>
    <row r="100" spans="1:14" x14ac:dyDescent="0.25">
      <c r="B100" s="235">
        <v>40329</v>
      </c>
      <c r="C100" s="226">
        <f t="shared" si="11"/>
        <v>-130133</v>
      </c>
      <c r="D100" s="225">
        <v>0</v>
      </c>
      <c r="E100" s="225">
        <f t="shared" si="15"/>
        <v>0</v>
      </c>
      <c r="F100" s="234">
        <f t="shared" ref="F100:F122" si="17">SUM(C100:E100)</f>
        <v>-130133</v>
      </c>
      <c r="G100" s="247">
        <v>31</v>
      </c>
      <c r="H100" s="248">
        <v>5.4999999999999997E-3</v>
      </c>
      <c r="I100" s="234">
        <f t="shared" si="14"/>
        <v>-60.788154794520544</v>
      </c>
      <c r="J100" s="234">
        <f t="shared" si="16"/>
        <v>0</v>
      </c>
      <c r="K100" s="234">
        <f t="shared" si="12"/>
        <v>-13851.291050379508</v>
      </c>
      <c r="L100" s="234">
        <f t="shared" si="10"/>
        <v>-143984.29105037951</v>
      </c>
      <c r="M100" s="249">
        <v>0</v>
      </c>
      <c r="N100" s="219"/>
    </row>
    <row r="101" spans="1:14" x14ac:dyDescent="0.25">
      <c r="B101" s="235">
        <v>40359</v>
      </c>
      <c r="C101" s="226">
        <f t="shared" si="11"/>
        <v>-130133</v>
      </c>
      <c r="D101" s="225">
        <v>0</v>
      </c>
      <c r="E101" s="225">
        <f t="shared" si="15"/>
        <v>0</v>
      </c>
      <c r="F101" s="234">
        <f t="shared" si="17"/>
        <v>-130133</v>
      </c>
      <c r="G101" s="247">
        <v>30</v>
      </c>
      <c r="H101" s="248">
        <v>5.4999999999999997E-3</v>
      </c>
      <c r="I101" s="234">
        <f t="shared" si="14"/>
        <v>-58.827246575342464</v>
      </c>
      <c r="J101" s="234">
        <f t="shared" si="16"/>
        <v>0</v>
      </c>
      <c r="K101" s="234">
        <f t="shared" si="12"/>
        <v>-13910.11829695485</v>
      </c>
      <c r="L101" s="234">
        <f t="shared" si="10"/>
        <v>-144043.11829695484</v>
      </c>
      <c r="M101" s="249">
        <v>0</v>
      </c>
      <c r="N101" s="219"/>
    </row>
    <row r="102" spans="1:14" x14ac:dyDescent="0.25">
      <c r="B102" s="235">
        <f>+B101+31</f>
        <v>40390</v>
      </c>
      <c r="C102" s="226">
        <f t="shared" si="11"/>
        <v>-130133</v>
      </c>
      <c r="D102" s="225">
        <v>0</v>
      </c>
      <c r="E102" s="225">
        <f t="shared" si="15"/>
        <v>0</v>
      </c>
      <c r="F102" s="234">
        <f t="shared" si="17"/>
        <v>-130133</v>
      </c>
      <c r="G102" s="247">
        <v>31</v>
      </c>
      <c r="H102" s="252">
        <v>8.8999999999999999E-3</v>
      </c>
      <c r="I102" s="234">
        <f t="shared" si="14"/>
        <v>-98.366286849315074</v>
      </c>
      <c r="J102" s="234">
        <f t="shared" si="16"/>
        <v>0</v>
      </c>
      <c r="K102" s="234">
        <f t="shared" si="12"/>
        <v>-14008.484583804166</v>
      </c>
      <c r="L102" s="234">
        <f t="shared" si="10"/>
        <v>-144141.48458380415</v>
      </c>
      <c r="M102" s="249">
        <v>0</v>
      </c>
      <c r="N102" s="219"/>
    </row>
    <row r="103" spans="1:14" x14ac:dyDescent="0.25">
      <c r="B103" s="235">
        <f>+B102+31</f>
        <v>40421</v>
      </c>
      <c r="C103" s="226">
        <f t="shared" si="11"/>
        <v>-130133</v>
      </c>
      <c r="D103" s="225">
        <v>0</v>
      </c>
      <c r="E103" s="225">
        <f t="shared" si="15"/>
        <v>0</v>
      </c>
      <c r="F103" s="234">
        <f t="shared" si="17"/>
        <v>-130133</v>
      </c>
      <c r="G103" s="247">
        <v>31</v>
      </c>
      <c r="H103" s="252">
        <v>8.8999999999999999E-3</v>
      </c>
      <c r="I103" s="234">
        <f t="shared" si="14"/>
        <v>-98.366286849315074</v>
      </c>
      <c r="J103" s="234">
        <f t="shared" si="16"/>
        <v>0</v>
      </c>
      <c r="K103" s="234">
        <f t="shared" si="12"/>
        <v>-14106.850870653481</v>
      </c>
      <c r="L103" s="234">
        <f t="shared" si="10"/>
        <v>-144239.85087065349</v>
      </c>
      <c r="M103" s="249">
        <v>0</v>
      </c>
      <c r="N103" s="219"/>
    </row>
    <row r="104" spans="1:14" x14ac:dyDescent="0.25">
      <c r="B104" s="253">
        <f>+B103+30</f>
        <v>40451</v>
      </c>
      <c r="C104" s="254">
        <f t="shared" si="11"/>
        <v>-130133</v>
      </c>
      <c r="D104" s="255">
        <v>0</v>
      </c>
      <c r="E104" s="255">
        <f t="shared" si="15"/>
        <v>0</v>
      </c>
      <c r="F104" s="256">
        <f t="shared" si="17"/>
        <v>-130133</v>
      </c>
      <c r="G104" s="257">
        <v>30</v>
      </c>
      <c r="H104" s="258">
        <v>8.8999999999999999E-3</v>
      </c>
      <c r="I104" s="256">
        <f t="shared" si="14"/>
        <v>-95.193180821917807</v>
      </c>
      <c r="J104" s="256">
        <f t="shared" si="16"/>
        <v>0</v>
      </c>
      <c r="K104" s="256">
        <f t="shared" si="12"/>
        <v>-14202.044051475399</v>
      </c>
      <c r="L104" s="256">
        <f t="shared" si="10"/>
        <v>-144335.04405147539</v>
      </c>
      <c r="M104" s="259">
        <v>0</v>
      </c>
      <c r="N104" s="219"/>
    </row>
    <row r="105" spans="1:14" x14ac:dyDescent="0.25">
      <c r="A105" s="219" t="s">
        <v>241</v>
      </c>
      <c r="B105" s="260">
        <f>+B104+31</f>
        <v>40482</v>
      </c>
      <c r="C105" s="226">
        <f t="shared" si="11"/>
        <v>-130133</v>
      </c>
      <c r="D105" s="225">
        <v>0</v>
      </c>
      <c r="E105" s="225">
        <f t="shared" si="15"/>
        <v>0</v>
      </c>
      <c r="F105" s="234">
        <f t="shared" si="17"/>
        <v>-130133</v>
      </c>
      <c r="G105" s="261">
        <v>31</v>
      </c>
      <c r="H105" s="252">
        <v>1.2E-2</v>
      </c>
      <c r="I105" s="234">
        <f t="shared" si="14"/>
        <v>-132.62870136986302</v>
      </c>
      <c r="J105" s="234">
        <f t="shared" si="16"/>
        <v>0</v>
      </c>
      <c r="K105" s="234">
        <f t="shared" si="12"/>
        <v>-14334.672752845263</v>
      </c>
      <c r="L105" s="234">
        <f t="shared" si="10"/>
        <v>-144467.67275284528</v>
      </c>
      <c r="M105" s="249">
        <v>0</v>
      </c>
      <c r="N105" s="219"/>
    </row>
    <row r="106" spans="1:14" x14ac:dyDescent="0.25">
      <c r="B106" s="260">
        <f>+B105+30</f>
        <v>40512</v>
      </c>
      <c r="C106" s="226">
        <f t="shared" si="11"/>
        <v>-130133</v>
      </c>
      <c r="D106" s="225">
        <v>0</v>
      </c>
      <c r="E106" s="225">
        <f t="shared" si="15"/>
        <v>0</v>
      </c>
      <c r="F106" s="234">
        <f t="shared" si="17"/>
        <v>-130133</v>
      </c>
      <c r="G106" s="261">
        <v>30</v>
      </c>
      <c r="H106" s="252">
        <v>1.2E-2</v>
      </c>
      <c r="I106" s="234">
        <f t="shared" si="14"/>
        <v>-128.35035616438356</v>
      </c>
      <c r="J106" s="234">
        <f t="shared" si="16"/>
        <v>0</v>
      </c>
      <c r="K106" s="234">
        <f t="shared" si="12"/>
        <v>-14463.023109009646</v>
      </c>
      <c r="L106" s="234">
        <f t="shared" si="10"/>
        <v>-144596.02310900963</v>
      </c>
      <c r="M106" s="249">
        <v>0</v>
      </c>
      <c r="N106" s="219"/>
    </row>
    <row r="107" spans="1:14" x14ac:dyDescent="0.25">
      <c r="B107" s="262">
        <f>+B106+31</f>
        <v>40543</v>
      </c>
      <c r="C107" s="263">
        <f t="shared" si="11"/>
        <v>-130133</v>
      </c>
      <c r="D107" s="264">
        <v>0</v>
      </c>
      <c r="E107" s="264">
        <f t="shared" si="15"/>
        <v>0</v>
      </c>
      <c r="F107" s="265">
        <f t="shared" si="17"/>
        <v>-130133</v>
      </c>
      <c r="G107" s="266">
        <v>31</v>
      </c>
      <c r="H107" s="267">
        <v>1.2E-2</v>
      </c>
      <c r="I107" s="265">
        <f t="shared" si="14"/>
        <v>-132.62870136986302</v>
      </c>
      <c r="J107" s="265">
        <f t="shared" si="16"/>
        <v>0</v>
      </c>
      <c r="K107" s="265">
        <f t="shared" si="12"/>
        <v>-14595.65181037951</v>
      </c>
      <c r="L107" s="265">
        <f t="shared" si="10"/>
        <v>-144728.65181037952</v>
      </c>
      <c r="M107" s="268">
        <v>0</v>
      </c>
      <c r="N107" s="219"/>
    </row>
    <row r="108" spans="1:14" x14ac:dyDescent="0.25">
      <c r="A108" s="219" t="s">
        <v>242</v>
      </c>
      <c r="B108" s="269">
        <f>+B107+31</f>
        <v>40574</v>
      </c>
      <c r="C108" s="226">
        <f t="shared" si="11"/>
        <v>-130133</v>
      </c>
      <c r="D108" s="225">
        <v>0</v>
      </c>
      <c r="E108" s="225">
        <f t="shared" si="15"/>
        <v>0</v>
      </c>
      <c r="F108" s="234">
        <f t="shared" si="17"/>
        <v>-130133</v>
      </c>
      <c r="G108" s="261">
        <v>31</v>
      </c>
      <c r="H108" s="270">
        <v>1.47E-2</v>
      </c>
      <c r="I108" s="234">
        <f t="shared" si="14"/>
        <v>-162.47015917808218</v>
      </c>
      <c r="J108" s="234">
        <f t="shared" si="16"/>
        <v>0</v>
      </c>
      <c r="K108" s="234">
        <f t="shared" si="12"/>
        <v>-14758.121969557591</v>
      </c>
      <c r="L108" s="234">
        <f t="shared" si="10"/>
        <v>-144891.1219695576</v>
      </c>
      <c r="M108" s="249">
        <v>0</v>
      </c>
      <c r="N108" s="219"/>
    </row>
    <row r="109" spans="1:14" x14ac:dyDescent="0.25">
      <c r="B109" s="269">
        <f>+B108+28</f>
        <v>40602</v>
      </c>
      <c r="C109" s="226">
        <f t="shared" si="11"/>
        <v>-130133</v>
      </c>
      <c r="D109" s="225">
        <v>0</v>
      </c>
      <c r="E109" s="225">
        <f t="shared" si="15"/>
        <v>0</v>
      </c>
      <c r="F109" s="234">
        <f t="shared" si="17"/>
        <v>-130133</v>
      </c>
      <c r="G109" s="261">
        <v>29</v>
      </c>
      <c r="H109" s="270">
        <v>1.47E-2</v>
      </c>
      <c r="I109" s="234">
        <f t="shared" si="14"/>
        <v>-151.98821342465754</v>
      </c>
      <c r="J109" s="234">
        <f t="shared" si="16"/>
        <v>0</v>
      </c>
      <c r="K109" s="234">
        <f t="shared" si="12"/>
        <v>-14910.110182982249</v>
      </c>
      <c r="L109" s="234">
        <f t="shared" si="10"/>
        <v>-145043.11018298226</v>
      </c>
      <c r="M109" s="249">
        <v>0</v>
      </c>
      <c r="N109" s="219"/>
    </row>
    <row r="110" spans="1:14" x14ac:dyDescent="0.25">
      <c r="B110" s="269">
        <f>+B109+31</f>
        <v>40633</v>
      </c>
      <c r="C110" s="226">
        <f t="shared" si="11"/>
        <v>-130133</v>
      </c>
      <c r="D110" s="225">
        <v>0</v>
      </c>
      <c r="E110" s="225">
        <f t="shared" si="15"/>
        <v>0</v>
      </c>
      <c r="F110" s="234">
        <f t="shared" si="17"/>
        <v>-130133</v>
      </c>
      <c r="G110" s="261">
        <v>31</v>
      </c>
      <c r="H110" s="270">
        <v>1.47E-2</v>
      </c>
      <c r="I110" s="234">
        <f t="shared" si="14"/>
        <v>-162.47015917808218</v>
      </c>
      <c r="J110" s="234">
        <f t="shared" si="16"/>
        <v>0</v>
      </c>
      <c r="K110" s="234">
        <f t="shared" si="12"/>
        <v>-15072.58034216033</v>
      </c>
      <c r="L110" s="234">
        <f t="shared" si="10"/>
        <v>-145205.58034216033</v>
      </c>
      <c r="M110" s="249">
        <v>0</v>
      </c>
      <c r="N110" s="219"/>
    </row>
    <row r="111" spans="1:14" x14ac:dyDescent="0.25">
      <c r="B111" s="269">
        <f>+B110+30</f>
        <v>40663</v>
      </c>
      <c r="C111" s="226">
        <f t="shared" si="11"/>
        <v>-130133</v>
      </c>
      <c r="D111" s="225">
        <v>0</v>
      </c>
      <c r="E111" s="225">
        <f t="shared" si="15"/>
        <v>0</v>
      </c>
      <c r="F111" s="234">
        <f t="shared" si="17"/>
        <v>-130133</v>
      </c>
      <c r="G111" s="261">
        <v>30</v>
      </c>
      <c r="H111" s="270">
        <v>1.47E-2</v>
      </c>
      <c r="I111" s="234">
        <f t="shared" si="14"/>
        <v>-157.22918630136985</v>
      </c>
      <c r="J111" s="234">
        <f t="shared" si="16"/>
        <v>0</v>
      </c>
      <c r="K111" s="234">
        <f t="shared" si="12"/>
        <v>-15229.809528461701</v>
      </c>
      <c r="L111" s="234">
        <f t="shared" si="10"/>
        <v>-145362.80952846172</v>
      </c>
      <c r="M111" s="249">
        <v>0</v>
      </c>
      <c r="N111" s="219"/>
    </row>
    <row r="112" spans="1:14" x14ac:dyDescent="0.25">
      <c r="B112" s="269">
        <f>+B111+31</f>
        <v>40694</v>
      </c>
      <c r="C112" s="226">
        <f t="shared" si="11"/>
        <v>-130133</v>
      </c>
      <c r="D112" s="225">
        <v>0</v>
      </c>
      <c r="E112" s="225">
        <f t="shared" si="15"/>
        <v>0</v>
      </c>
      <c r="F112" s="234">
        <f t="shared" si="17"/>
        <v>-130133</v>
      </c>
      <c r="G112" s="261">
        <v>31</v>
      </c>
      <c r="H112" s="270">
        <v>1.47E-2</v>
      </c>
      <c r="I112" s="234">
        <f t="shared" si="14"/>
        <v>-162.47015917808218</v>
      </c>
      <c r="J112" s="234">
        <f t="shared" si="16"/>
        <v>0</v>
      </c>
      <c r="K112" s="234">
        <f t="shared" si="12"/>
        <v>-15392.279687639782</v>
      </c>
      <c r="L112" s="234">
        <f t="shared" si="10"/>
        <v>-145525.27968763979</v>
      </c>
      <c r="M112" s="249">
        <v>0</v>
      </c>
      <c r="N112" s="219"/>
    </row>
    <row r="113" spans="2:14" x14ac:dyDescent="0.25">
      <c r="B113" s="260">
        <f>+B112+30</f>
        <v>40724</v>
      </c>
      <c r="C113" s="226">
        <f t="shared" si="11"/>
        <v>-130133</v>
      </c>
      <c r="D113" s="225">
        <v>0</v>
      </c>
      <c r="E113" s="225">
        <f t="shared" si="15"/>
        <v>0</v>
      </c>
      <c r="F113" s="234">
        <f t="shared" si="17"/>
        <v>-130133</v>
      </c>
      <c r="G113" s="261">
        <v>30</v>
      </c>
      <c r="H113" s="270">
        <v>1.47E-2</v>
      </c>
      <c r="I113" s="234">
        <f t="shared" si="14"/>
        <v>-157.22918630136985</v>
      </c>
      <c r="J113" s="234">
        <f t="shared" si="16"/>
        <v>0</v>
      </c>
      <c r="K113" s="234">
        <f t="shared" si="12"/>
        <v>-15549.508873941153</v>
      </c>
      <c r="L113" s="234">
        <f t="shared" si="10"/>
        <v>-145682.50887394114</v>
      </c>
      <c r="M113" s="249">
        <v>0</v>
      </c>
      <c r="N113" s="219"/>
    </row>
    <row r="114" spans="2:14" x14ac:dyDescent="0.25">
      <c r="B114" s="260">
        <f>+B113+31</f>
        <v>40755</v>
      </c>
      <c r="C114" s="226">
        <f t="shared" si="11"/>
        <v>-130133</v>
      </c>
      <c r="D114" s="225">
        <v>0</v>
      </c>
      <c r="E114" s="225">
        <f t="shared" si="15"/>
        <v>0</v>
      </c>
      <c r="F114" s="234">
        <f t="shared" si="17"/>
        <v>-130133</v>
      </c>
      <c r="G114" s="261">
        <v>31</v>
      </c>
      <c r="H114" s="252">
        <v>1.47E-2</v>
      </c>
      <c r="I114" s="234">
        <f t="shared" si="14"/>
        <v>-162.47015917808218</v>
      </c>
      <c r="J114" s="234">
        <f t="shared" si="16"/>
        <v>0</v>
      </c>
      <c r="K114" s="234">
        <f t="shared" si="12"/>
        <v>-15711.979033119234</v>
      </c>
      <c r="L114" s="234">
        <f t="shared" si="10"/>
        <v>-145844.97903311922</v>
      </c>
      <c r="M114" s="249">
        <v>0</v>
      </c>
      <c r="N114" s="219"/>
    </row>
    <row r="115" spans="2:14" x14ac:dyDescent="0.25">
      <c r="B115" s="260">
        <f>+B114+31</f>
        <v>40786</v>
      </c>
      <c r="C115" s="226">
        <f t="shared" si="11"/>
        <v>-130133</v>
      </c>
      <c r="D115" s="225">
        <v>0</v>
      </c>
      <c r="E115" s="225">
        <f t="shared" si="15"/>
        <v>0</v>
      </c>
      <c r="F115" s="234">
        <f t="shared" si="17"/>
        <v>-130133</v>
      </c>
      <c r="G115" s="261">
        <v>31</v>
      </c>
      <c r="H115" s="252">
        <v>1.47E-2</v>
      </c>
      <c r="I115" s="234">
        <f t="shared" si="14"/>
        <v>-162.47015917808218</v>
      </c>
      <c r="J115" s="234">
        <f t="shared" si="16"/>
        <v>0</v>
      </c>
      <c r="K115" s="234">
        <f t="shared" si="12"/>
        <v>-15874.449192297316</v>
      </c>
      <c r="L115" s="234">
        <f t="shared" si="10"/>
        <v>-146007.44919229732</v>
      </c>
      <c r="M115" s="249">
        <v>0</v>
      </c>
      <c r="N115" s="219"/>
    </row>
    <row r="116" spans="2:14" x14ac:dyDescent="0.25">
      <c r="B116" s="260">
        <f>+B115+30</f>
        <v>40816</v>
      </c>
      <c r="C116" s="226">
        <f t="shared" si="11"/>
        <v>-130133</v>
      </c>
      <c r="D116" s="225">
        <v>0</v>
      </c>
      <c r="E116" s="225">
        <f t="shared" si="15"/>
        <v>0</v>
      </c>
      <c r="F116" s="234">
        <f t="shared" si="17"/>
        <v>-130133</v>
      </c>
      <c r="G116" s="261">
        <v>30</v>
      </c>
      <c r="H116" s="252">
        <v>1.47E-2</v>
      </c>
      <c r="I116" s="234">
        <f t="shared" si="14"/>
        <v>-157.22918630136985</v>
      </c>
      <c r="J116" s="234">
        <f t="shared" si="16"/>
        <v>0</v>
      </c>
      <c r="K116" s="234">
        <f t="shared" si="12"/>
        <v>-16031.678378598686</v>
      </c>
      <c r="L116" s="234">
        <f t="shared" ref="L116:L143" si="18">+F116+K116</f>
        <v>-146164.67837859868</v>
      </c>
      <c r="M116" s="249">
        <v>0</v>
      </c>
      <c r="N116" s="219"/>
    </row>
    <row r="117" spans="2:14" x14ac:dyDescent="0.25">
      <c r="B117" s="260">
        <f>+B116+31</f>
        <v>40847</v>
      </c>
      <c r="C117" s="226">
        <f t="shared" ref="C117:C143" si="19">+F116</f>
        <v>-130133</v>
      </c>
      <c r="D117" s="225">
        <v>0</v>
      </c>
      <c r="E117" s="225">
        <f t="shared" si="15"/>
        <v>0</v>
      </c>
      <c r="F117" s="234">
        <f t="shared" si="17"/>
        <v>-130133</v>
      </c>
      <c r="G117" s="261">
        <v>31</v>
      </c>
      <c r="H117" s="252">
        <v>1.47E-2</v>
      </c>
      <c r="I117" s="234">
        <f t="shared" si="14"/>
        <v>-162.47015917808218</v>
      </c>
      <c r="J117" s="234">
        <f t="shared" si="16"/>
        <v>0</v>
      </c>
      <c r="K117" s="234">
        <f t="shared" ref="K117:K143" si="20">+K116+I117+J117</f>
        <v>-16194.148537776768</v>
      </c>
      <c r="L117" s="234">
        <f t="shared" si="18"/>
        <v>-146327.14853777678</v>
      </c>
      <c r="M117" s="249">
        <v>0</v>
      </c>
      <c r="N117" s="219"/>
    </row>
    <row r="118" spans="2:14" x14ac:dyDescent="0.25">
      <c r="B118" s="260">
        <f>+B117+30</f>
        <v>40877</v>
      </c>
      <c r="C118" s="226">
        <f t="shared" si="19"/>
        <v>-130133</v>
      </c>
      <c r="D118" s="225">
        <v>0</v>
      </c>
      <c r="E118" s="225">
        <f t="shared" si="15"/>
        <v>0</v>
      </c>
      <c r="F118" s="234">
        <f t="shared" si="17"/>
        <v>-130133</v>
      </c>
      <c r="G118" s="261">
        <v>30</v>
      </c>
      <c r="H118" s="252">
        <v>1.47E-2</v>
      </c>
      <c r="I118" s="234">
        <f t="shared" si="14"/>
        <v>-157.22918630136985</v>
      </c>
      <c r="J118" s="234">
        <f t="shared" si="16"/>
        <v>0</v>
      </c>
      <c r="K118" s="234">
        <f t="shared" si="20"/>
        <v>-16351.377724078138</v>
      </c>
      <c r="L118" s="234">
        <f t="shared" si="18"/>
        <v>-146484.37772407813</v>
      </c>
      <c r="M118" s="249">
        <v>0</v>
      </c>
      <c r="N118" s="219"/>
    </row>
    <row r="119" spans="2:14" x14ac:dyDescent="0.25">
      <c r="B119" s="262">
        <f>+B118+31</f>
        <v>40908</v>
      </c>
      <c r="C119" s="263">
        <f t="shared" si="19"/>
        <v>-130133</v>
      </c>
      <c r="D119" s="264">
        <v>0</v>
      </c>
      <c r="E119" s="264">
        <f t="shared" si="15"/>
        <v>0</v>
      </c>
      <c r="F119" s="265">
        <f t="shared" si="17"/>
        <v>-130133</v>
      </c>
      <c r="G119" s="266">
        <v>31</v>
      </c>
      <c r="H119" s="267">
        <v>1.47E-2</v>
      </c>
      <c r="I119" s="265">
        <f t="shared" si="14"/>
        <v>-162.47015917808218</v>
      </c>
      <c r="J119" s="265">
        <f t="shared" si="16"/>
        <v>0</v>
      </c>
      <c r="K119" s="265">
        <f t="shared" si="20"/>
        <v>-16513.847883256221</v>
      </c>
      <c r="L119" s="265">
        <f t="shared" si="18"/>
        <v>-146646.84788325621</v>
      </c>
      <c r="M119" s="268">
        <v>0</v>
      </c>
      <c r="N119" s="219"/>
    </row>
    <row r="120" spans="2:14" x14ac:dyDescent="0.25">
      <c r="B120" s="260">
        <f>+B119+31</f>
        <v>40939</v>
      </c>
      <c r="C120" s="226">
        <f t="shared" si="19"/>
        <v>-130133</v>
      </c>
      <c r="D120" s="225">
        <v>0</v>
      </c>
      <c r="E120" s="225">
        <f t="shared" si="15"/>
        <v>0</v>
      </c>
      <c r="F120" s="234">
        <f t="shared" si="17"/>
        <v>-130133</v>
      </c>
      <c r="G120" s="261">
        <v>31</v>
      </c>
      <c r="H120" s="252">
        <v>1.47E-2</v>
      </c>
      <c r="I120" s="234">
        <f t="shared" si="14"/>
        <v>-162.47015917808218</v>
      </c>
      <c r="J120" s="234">
        <f t="shared" si="16"/>
        <v>0</v>
      </c>
      <c r="K120" s="234">
        <f t="shared" si="20"/>
        <v>-16676.318042434305</v>
      </c>
      <c r="L120" s="234">
        <f t="shared" si="18"/>
        <v>-146809.31804243432</v>
      </c>
      <c r="M120" s="249">
        <v>0</v>
      </c>
      <c r="N120" s="219"/>
    </row>
    <row r="121" spans="2:14" x14ac:dyDescent="0.25">
      <c r="B121" s="260">
        <f>+B120+29</f>
        <v>40968</v>
      </c>
      <c r="C121" s="226">
        <f t="shared" si="19"/>
        <v>-130133</v>
      </c>
      <c r="D121" s="225">
        <v>0</v>
      </c>
      <c r="E121" s="225">
        <f t="shared" si="15"/>
        <v>0</v>
      </c>
      <c r="F121" s="234">
        <f t="shared" si="17"/>
        <v>-130133</v>
      </c>
      <c r="G121" s="261">
        <v>29</v>
      </c>
      <c r="H121" s="252">
        <v>1.47E-2</v>
      </c>
      <c r="I121" s="234">
        <f t="shared" si="14"/>
        <v>-151.98821342465754</v>
      </c>
      <c r="J121" s="234">
        <f t="shared" si="16"/>
        <v>0</v>
      </c>
      <c r="K121" s="234">
        <f t="shared" si="20"/>
        <v>-16828.306255858963</v>
      </c>
      <c r="L121" s="234">
        <f t="shared" si="18"/>
        <v>-146961.30625585897</v>
      </c>
      <c r="M121" s="249">
        <v>0</v>
      </c>
      <c r="N121" s="219"/>
    </row>
    <row r="122" spans="2:14" x14ac:dyDescent="0.25">
      <c r="B122" s="269">
        <f>+B121+31</f>
        <v>40999</v>
      </c>
      <c r="C122" s="226">
        <f t="shared" si="19"/>
        <v>-130133</v>
      </c>
      <c r="D122" s="225">
        <v>0</v>
      </c>
      <c r="E122" s="225">
        <f t="shared" si="15"/>
        <v>0</v>
      </c>
      <c r="F122" s="234">
        <f t="shared" si="17"/>
        <v>-130133</v>
      </c>
      <c r="G122" s="261">
        <v>31</v>
      </c>
      <c r="H122" s="252">
        <v>1.47E-2</v>
      </c>
      <c r="I122" s="234">
        <f t="shared" si="14"/>
        <v>-162.47015917808218</v>
      </c>
      <c r="J122" s="234">
        <f t="shared" si="16"/>
        <v>0</v>
      </c>
      <c r="K122" s="234">
        <f t="shared" si="20"/>
        <v>-16990.776415037046</v>
      </c>
      <c r="L122" s="234">
        <f t="shared" si="18"/>
        <v>-147123.77641503705</v>
      </c>
      <c r="M122" s="249">
        <v>0</v>
      </c>
      <c r="N122" s="219"/>
    </row>
    <row r="123" spans="2:14" x14ac:dyDescent="0.25">
      <c r="B123" s="269">
        <f>+B122+30</f>
        <v>41029</v>
      </c>
      <c r="C123" s="226">
        <f t="shared" si="19"/>
        <v>-130133</v>
      </c>
      <c r="D123" s="225">
        <v>0</v>
      </c>
      <c r="E123" s="225">
        <f t="shared" si="15"/>
        <v>0</v>
      </c>
      <c r="F123" s="234">
        <f t="shared" ref="F123:F134" si="21">SUM(C123:E123)</f>
        <v>-130133</v>
      </c>
      <c r="G123" s="261">
        <v>30</v>
      </c>
      <c r="H123" s="252">
        <v>1.47E-2</v>
      </c>
      <c r="I123" s="234">
        <f t="shared" si="14"/>
        <v>-157.22918630136985</v>
      </c>
      <c r="J123" s="234">
        <f t="shared" si="16"/>
        <v>0</v>
      </c>
      <c r="K123" s="234">
        <f t="shared" si="20"/>
        <v>-17148.005601338416</v>
      </c>
      <c r="L123" s="234">
        <f t="shared" si="18"/>
        <v>-147281.0056013384</v>
      </c>
      <c r="M123" s="249">
        <v>0</v>
      </c>
      <c r="N123" s="219"/>
    </row>
    <row r="124" spans="2:14" x14ac:dyDescent="0.25">
      <c r="B124" s="269">
        <f>+B123+31</f>
        <v>41060</v>
      </c>
      <c r="C124" s="226">
        <f t="shared" si="19"/>
        <v>-130133</v>
      </c>
      <c r="D124" s="225">
        <v>0</v>
      </c>
      <c r="E124" s="225">
        <f t="shared" si="15"/>
        <v>0</v>
      </c>
      <c r="F124" s="234">
        <f t="shared" si="21"/>
        <v>-130133</v>
      </c>
      <c r="G124" s="261">
        <v>31</v>
      </c>
      <c r="H124" s="252">
        <v>1.47E-2</v>
      </c>
      <c r="I124" s="234">
        <f t="shared" si="14"/>
        <v>-162.47015917808218</v>
      </c>
      <c r="J124" s="234">
        <f t="shared" si="16"/>
        <v>0</v>
      </c>
      <c r="K124" s="234">
        <f t="shared" si="20"/>
        <v>-17310.4757605165</v>
      </c>
      <c r="L124" s="234">
        <f t="shared" si="18"/>
        <v>-147443.47576051651</v>
      </c>
      <c r="M124" s="249">
        <v>0</v>
      </c>
      <c r="N124" s="219"/>
    </row>
    <row r="125" spans="2:14" x14ac:dyDescent="0.25">
      <c r="B125" s="260">
        <f>+B124+30</f>
        <v>41090</v>
      </c>
      <c r="C125" s="226">
        <f t="shared" si="19"/>
        <v>-130133</v>
      </c>
      <c r="D125" s="225">
        <v>0</v>
      </c>
      <c r="E125" s="225">
        <f t="shared" si="15"/>
        <v>0</v>
      </c>
      <c r="F125" s="234">
        <f t="shared" si="21"/>
        <v>-130133</v>
      </c>
      <c r="G125" s="261">
        <v>30</v>
      </c>
      <c r="H125" s="252">
        <v>1.47E-2</v>
      </c>
      <c r="I125" s="234">
        <f t="shared" si="14"/>
        <v>-157.22918630136985</v>
      </c>
      <c r="J125" s="234">
        <f t="shared" si="16"/>
        <v>0</v>
      </c>
      <c r="K125" s="234">
        <f t="shared" si="20"/>
        <v>-17467.70494681787</v>
      </c>
      <c r="L125" s="234">
        <f t="shared" si="18"/>
        <v>-147600.70494681786</v>
      </c>
      <c r="M125" s="249">
        <v>0</v>
      </c>
      <c r="N125" s="219"/>
    </row>
    <row r="126" spans="2:14" x14ac:dyDescent="0.25">
      <c r="B126" s="260">
        <f>+B125+31</f>
        <v>41121</v>
      </c>
      <c r="C126" s="226">
        <f t="shared" si="19"/>
        <v>-130133</v>
      </c>
      <c r="D126" s="225">
        <v>0</v>
      </c>
      <c r="E126" s="225">
        <f t="shared" si="15"/>
        <v>0</v>
      </c>
      <c r="F126" s="234">
        <f t="shared" si="21"/>
        <v>-130133</v>
      </c>
      <c r="G126" s="261">
        <v>31</v>
      </c>
      <c r="H126" s="252">
        <v>1.47E-2</v>
      </c>
      <c r="I126" s="234">
        <f t="shared" si="14"/>
        <v>-162.47015917808218</v>
      </c>
      <c r="J126" s="234">
        <f t="shared" si="16"/>
        <v>0</v>
      </c>
      <c r="K126" s="234">
        <f t="shared" si="20"/>
        <v>-17630.175105995953</v>
      </c>
      <c r="L126" s="234">
        <f t="shared" si="18"/>
        <v>-147763.17510599596</v>
      </c>
      <c r="M126" s="249">
        <v>0</v>
      </c>
      <c r="N126" s="219"/>
    </row>
    <row r="127" spans="2:14" x14ac:dyDescent="0.25">
      <c r="B127" s="260">
        <f>+B126+31</f>
        <v>41152</v>
      </c>
      <c r="C127" s="226">
        <f t="shared" si="19"/>
        <v>-130133</v>
      </c>
      <c r="D127" s="225">
        <v>0</v>
      </c>
      <c r="E127" s="225">
        <f t="shared" si="15"/>
        <v>0</v>
      </c>
      <c r="F127" s="234">
        <f t="shared" si="21"/>
        <v>-130133</v>
      </c>
      <c r="G127" s="261">
        <v>31</v>
      </c>
      <c r="H127" s="252">
        <v>1.47E-2</v>
      </c>
      <c r="I127" s="234">
        <f t="shared" si="14"/>
        <v>-162.47015917808218</v>
      </c>
      <c r="J127" s="234">
        <f t="shared" si="16"/>
        <v>0</v>
      </c>
      <c r="K127" s="234">
        <f t="shared" si="20"/>
        <v>-17792.645265174036</v>
      </c>
      <c r="L127" s="234">
        <f t="shared" si="18"/>
        <v>-147925.64526517404</v>
      </c>
      <c r="M127" s="249">
        <v>0</v>
      </c>
      <c r="N127" s="219"/>
    </row>
    <row r="128" spans="2:14" x14ac:dyDescent="0.25">
      <c r="B128" s="260">
        <f>+B127+30</f>
        <v>41182</v>
      </c>
      <c r="C128" s="226">
        <f t="shared" si="19"/>
        <v>-130133</v>
      </c>
      <c r="D128" s="225">
        <v>0</v>
      </c>
      <c r="E128" s="225">
        <f t="shared" si="15"/>
        <v>0</v>
      </c>
      <c r="F128" s="234">
        <f t="shared" si="21"/>
        <v>-130133</v>
      </c>
      <c r="G128" s="261">
        <v>30</v>
      </c>
      <c r="H128" s="252">
        <v>1.47E-2</v>
      </c>
      <c r="I128" s="234">
        <f t="shared" si="14"/>
        <v>-157.22918630136985</v>
      </c>
      <c r="J128" s="234">
        <f t="shared" si="16"/>
        <v>0</v>
      </c>
      <c r="K128" s="234">
        <f t="shared" si="20"/>
        <v>-17949.874451475407</v>
      </c>
      <c r="L128" s="234">
        <f t="shared" si="18"/>
        <v>-148082.87445147539</v>
      </c>
      <c r="M128" s="249">
        <v>0</v>
      </c>
      <c r="N128" s="219"/>
    </row>
    <row r="129" spans="2:14" x14ac:dyDescent="0.25">
      <c r="B129" s="260">
        <f>+B128+31</f>
        <v>41213</v>
      </c>
      <c r="C129" s="226">
        <f t="shared" si="19"/>
        <v>-130133</v>
      </c>
      <c r="D129" s="225">
        <v>0</v>
      </c>
      <c r="E129" s="225">
        <f t="shared" si="15"/>
        <v>0</v>
      </c>
      <c r="F129" s="234">
        <f t="shared" si="21"/>
        <v>-130133</v>
      </c>
      <c r="G129" s="261">
        <v>31</v>
      </c>
      <c r="H129" s="252">
        <v>1.47E-2</v>
      </c>
      <c r="I129" s="234">
        <f t="shared" si="14"/>
        <v>-162.47015917808218</v>
      </c>
      <c r="J129" s="234">
        <f t="shared" si="16"/>
        <v>0</v>
      </c>
      <c r="K129" s="234">
        <f t="shared" si="20"/>
        <v>-18112.34461065349</v>
      </c>
      <c r="L129" s="234">
        <f t="shared" si="18"/>
        <v>-148245.3446106535</v>
      </c>
      <c r="M129" s="249">
        <v>0</v>
      </c>
      <c r="N129" s="219"/>
    </row>
    <row r="130" spans="2:14" x14ac:dyDescent="0.25">
      <c r="B130" s="260">
        <f>+B129+30</f>
        <v>41243</v>
      </c>
      <c r="C130" s="226">
        <f t="shared" si="19"/>
        <v>-130133</v>
      </c>
      <c r="D130" s="225">
        <v>0</v>
      </c>
      <c r="E130" s="225">
        <f t="shared" si="15"/>
        <v>0</v>
      </c>
      <c r="F130" s="234">
        <f t="shared" si="21"/>
        <v>-130133</v>
      </c>
      <c r="G130" s="261">
        <v>30</v>
      </c>
      <c r="H130" s="252">
        <v>1.47E-2</v>
      </c>
      <c r="I130" s="234">
        <f t="shared" si="14"/>
        <v>-157.22918630136985</v>
      </c>
      <c r="J130" s="234">
        <f t="shared" si="16"/>
        <v>0</v>
      </c>
      <c r="K130" s="234">
        <f t="shared" si="20"/>
        <v>-18269.573796954861</v>
      </c>
      <c r="L130" s="234">
        <f t="shared" si="18"/>
        <v>-148402.57379695485</v>
      </c>
      <c r="M130" s="249">
        <v>0</v>
      </c>
      <c r="N130" s="219"/>
    </row>
    <row r="131" spans="2:14" x14ac:dyDescent="0.25">
      <c r="B131" s="262">
        <f>+B130+31</f>
        <v>41274</v>
      </c>
      <c r="C131" s="263">
        <f t="shared" si="19"/>
        <v>-130133</v>
      </c>
      <c r="D131" s="264">
        <v>0</v>
      </c>
      <c r="E131" s="264">
        <f t="shared" si="15"/>
        <v>0</v>
      </c>
      <c r="F131" s="265">
        <f t="shared" si="21"/>
        <v>-130133</v>
      </c>
      <c r="G131" s="266">
        <v>31</v>
      </c>
      <c r="H131" s="267">
        <v>1.47E-2</v>
      </c>
      <c r="I131" s="265">
        <f t="shared" si="14"/>
        <v>-162.47015917808218</v>
      </c>
      <c r="J131" s="265">
        <f t="shared" si="16"/>
        <v>0</v>
      </c>
      <c r="K131" s="265">
        <f t="shared" si="20"/>
        <v>-18432.043956132944</v>
      </c>
      <c r="L131" s="265">
        <f t="shared" si="18"/>
        <v>-148565.04395613295</v>
      </c>
      <c r="M131" s="268">
        <v>0</v>
      </c>
      <c r="N131" s="219"/>
    </row>
    <row r="132" spans="2:14" x14ac:dyDescent="0.25">
      <c r="B132" s="260">
        <f>+B131+31</f>
        <v>41305</v>
      </c>
      <c r="C132" s="226">
        <f t="shared" si="19"/>
        <v>-130133</v>
      </c>
      <c r="D132" s="225">
        <v>0</v>
      </c>
      <c r="E132" s="225">
        <f t="shared" si="15"/>
        <v>0</v>
      </c>
      <c r="F132" s="234">
        <f>SUM(C132:E132)</f>
        <v>-130133</v>
      </c>
      <c r="G132" s="261">
        <v>31</v>
      </c>
      <c r="H132" s="252">
        <v>1.47E-2</v>
      </c>
      <c r="I132" s="234">
        <f t="shared" si="14"/>
        <v>-162.47015917808218</v>
      </c>
      <c r="J132" s="234">
        <f t="shared" si="16"/>
        <v>0</v>
      </c>
      <c r="K132" s="234">
        <f t="shared" si="20"/>
        <v>-18594.514115311027</v>
      </c>
      <c r="L132" s="234">
        <f t="shared" si="18"/>
        <v>-148727.51411531103</v>
      </c>
      <c r="M132" s="249">
        <v>0</v>
      </c>
      <c r="N132" s="219"/>
    </row>
    <row r="133" spans="2:14" x14ac:dyDescent="0.25">
      <c r="B133" s="260">
        <f>+B132+28</f>
        <v>41333</v>
      </c>
      <c r="C133" s="226">
        <f t="shared" si="19"/>
        <v>-130133</v>
      </c>
      <c r="D133" s="225">
        <v>0</v>
      </c>
      <c r="E133" s="225">
        <f t="shared" si="15"/>
        <v>0</v>
      </c>
      <c r="F133" s="234">
        <f t="shared" si="21"/>
        <v>-130133</v>
      </c>
      <c r="G133" s="261">
        <v>28</v>
      </c>
      <c r="H133" s="252">
        <v>1.47E-2</v>
      </c>
      <c r="I133" s="234">
        <f t="shared" si="14"/>
        <v>-146.74724054794521</v>
      </c>
      <c r="J133" s="234">
        <f t="shared" si="16"/>
        <v>0</v>
      </c>
      <c r="K133" s="234">
        <f t="shared" si="20"/>
        <v>-18741.261355858973</v>
      </c>
      <c r="L133" s="234">
        <f t="shared" si="18"/>
        <v>-148874.26135585897</v>
      </c>
      <c r="M133" s="249">
        <v>0</v>
      </c>
      <c r="N133" s="219"/>
    </row>
    <row r="134" spans="2:14" x14ac:dyDescent="0.25">
      <c r="B134" s="269">
        <f>+B133+31</f>
        <v>41364</v>
      </c>
      <c r="C134" s="226">
        <f t="shared" si="19"/>
        <v>-130133</v>
      </c>
      <c r="D134" s="225">
        <v>0</v>
      </c>
      <c r="E134" s="225">
        <f t="shared" si="15"/>
        <v>0</v>
      </c>
      <c r="F134" s="234">
        <f t="shared" si="21"/>
        <v>-130133</v>
      </c>
      <c r="G134" s="261">
        <v>31</v>
      </c>
      <c r="H134" s="252">
        <v>1.47E-2</v>
      </c>
      <c r="I134" s="234">
        <f t="shared" si="14"/>
        <v>-162.47015917808218</v>
      </c>
      <c r="J134" s="234">
        <f t="shared" si="16"/>
        <v>0</v>
      </c>
      <c r="K134" s="234">
        <f t="shared" si="20"/>
        <v>-18903.731515037056</v>
      </c>
      <c r="L134" s="234">
        <f t="shared" si="18"/>
        <v>-149036.73151503707</v>
      </c>
      <c r="M134" s="249">
        <v>0</v>
      </c>
      <c r="N134" s="219"/>
    </row>
    <row r="135" spans="2:14" x14ac:dyDescent="0.25">
      <c r="B135" s="271">
        <f>+B134+30</f>
        <v>41394</v>
      </c>
      <c r="C135" s="272">
        <f t="shared" si="19"/>
        <v>-130133</v>
      </c>
      <c r="D135" s="272">
        <v>0</v>
      </c>
      <c r="E135" s="272">
        <f t="shared" si="15"/>
        <v>0</v>
      </c>
      <c r="F135" s="272">
        <f t="shared" ref="F135:F143" si="22">SUM(C135:E135)</f>
        <v>-130133</v>
      </c>
      <c r="G135" s="273">
        <v>30</v>
      </c>
      <c r="H135" s="274">
        <v>1.47E-2</v>
      </c>
      <c r="I135" s="272">
        <f t="shared" si="14"/>
        <v>-157.22918630136985</v>
      </c>
      <c r="J135" s="272">
        <f t="shared" si="16"/>
        <v>0</v>
      </c>
      <c r="K135" s="272">
        <f t="shared" si="20"/>
        <v>-19060.960701338427</v>
      </c>
      <c r="L135" s="272">
        <f>+F135+K135+5</f>
        <v>-149188.96070133842</v>
      </c>
      <c r="M135" s="275">
        <v>0</v>
      </c>
      <c r="N135" s="219"/>
    </row>
    <row r="136" spans="2:14" x14ac:dyDescent="0.25">
      <c r="B136" s="269">
        <f>+B135+31</f>
        <v>41425</v>
      </c>
      <c r="C136" s="226">
        <f t="shared" si="19"/>
        <v>-130133</v>
      </c>
      <c r="D136" s="225">
        <v>0</v>
      </c>
      <c r="E136" s="225">
        <f t="shared" si="15"/>
        <v>0</v>
      </c>
      <c r="F136" s="234">
        <f t="shared" si="22"/>
        <v>-130133</v>
      </c>
      <c r="G136" s="261">
        <v>31</v>
      </c>
      <c r="H136" s="252">
        <v>1.47E-2</v>
      </c>
      <c r="I136" s="234">
        <f t="shared" si="14"/>
        <v>-162.47015917808218</v>
      </c>
      <c r="J136" s="234">
        <f t="shared" si="16"/>
        <v>0</v>
      </c>
      <c r="K136" s="234">
        <f t="shared" si="20"/>
        <v>-19223.43086051651</v>
      </c>
      <c r="L136" s="234">
        <f t="shared" si="18"/>
        <v>-149356.4308605165</v>
      </c>
      <c r="M136" s="249">
        <v>0</v>
      </c>
      <c r="N136" s="219"/>
    </row>
    <row r="137" spans="2:14" x14ac:dyDescent="0.25">
      <c r="B137" s="260">
        <f>+B136+30</f>
        <v>41455</v>
      </c>
      <c r="C137" s="226">
        <f t="shared" si="19"/>
        <v>-130133</v>
      </c>
      <c r="D137" s="225">
        <v>0</v>
      </c>
      <c r="E137" s="225">
        <f t="shared" si="15"/>
        <v>0</v>
      </c>
      <c r="F137" s="234">
        <f t="shared" si="22"/>
        <v>-130133</v>
      </c>
      <c r="G137" s="261">
        <v>30</v>
      </c>
      <c r="H137" s="252">
        <v>1.47E-2</v>
      </c>
      <c r="I137" s="234">
        <f t="shared" si="14"/>
        <v>-157.22918630136985</v>
      </c>
      <c r="J137" s="234">
        <f t="shared" si="16"/>
        <v>0</v>
      </c>
      <c r="K137" s="234">
        <f t="shared" si="20"/>
        <v>-19380.66004681788</v>
      </c>
      <c r="L137" s="234">
        <f t="shared" si="18"/>
        <v>-149513.66004681788</v>
      </c>
      <c r="M137" s="249">
        <v>0</v>
      </c>
      <c r="N137" s="219"/>
    </row>
    <row r="138" spans="2:14" x14ac:dyDescent="0.25">
      <c r="B138" s="260">
        <f>+B137+31</f>
        <v>41486</v>
      </c>
      <c r="C138" s="226">
        <f t="shared" si="19"/>
        <v>-130133</v>
      </c>
      <c r="D138" s="225">
        <v>0</v>
      </c>
      <c r="E138" s="225">
        <f t="shared" si="15"/>
        <v>0</v>
      </c>
      <c r="F138" s="234">
        <f t="shared" si="22"/>
        <v>-130133</v>
      </c>
      <c r="G138" s="261">
        <v>31</v>
      </c>
      <c r="H138" s="252">
        <v>1.47E-2</v>
      </c>
      <c r="I138" s="234">
        <f t="shared" si="14"/>
        <v>-162.47015917808218</v>
      </c>
      <c r="J138" s="234">
        <f t="shared" si="16"/>
        <v>0</v>
      </c>
      <c r="K138" s="234">
        <f t="shared" si="20"/>
        <v>-19543.130205995963</v>
      </c>
      <c r="L138" s="234">
        <f t="shared" si="18"/>
        <v>-149676.13020599596</v>
      </c>
      <c r="M138" s="249">
        <v>0</v>
      </c>
      <c r="N138" s="219"/>
    </row>
    <row r="139" spans="2:14" x14ac:dyDescent="0.25">
      <c r="B139" s="260">
        <f>+B138+31</f>
        <v>41517</v>
      </c>
      <c r="C139" s="226">
        <f t="shared" si="19"/>
        <v>-130133</v>
      </c>
      <c r="D139" s="225">
        <v>0</v>
      </c>
      <c r="E139" s="225">
        <f t="shared" si="15"/>
        <v>0</v>
      </c>
      <c r="F139" s="234">
        <f t="shared" si="22"/>
        <v>-130133</v>
      </c>
      <c r="G139" s="261">
        <v>31</v>
      </c>
      <c r="H139" s="252">
        <v>1.47E-2</v>
      </c>
      <c r="I139" s="234">
        <f t="shared" si="14"/>
        <v>-162.47015917808218</v>
      </c>
      <c r="J139" s="234">
        <f t="shared" si="16"/>
        <v>0</v>
      </c>
      <c r="K139" s="234">
        <f t="shared" si="20"/>
        <v>-19705.600365174047</v>
      </c>
      <c r="L139" s="234">
        <f t="shared" si="18"/>
        <v>-149838.60036517406</v>
      </c>
      <c r="M139" s="249">
        <v>0</v>
      </c>
      <c r="N139" s="219"/>
    </row>
    <row r="140" spans="2:14" x14ac:dyDescent="0.25">
      <c r="B140" s="260">
        <f>+B139+30</f>
        <v>41547</v>
      </c>
      <c r="C140" s="226">
        <f t="shared" si="19"/>
        <v>-130133</v>
      </c>
      <c r="D140" s="225">
        <v>0</v>
      </c>
      <c r="E140" s="225">
        <f t="shared" si="15"/>
        <v>0</v>
      </c>
      <c r="F140" s="234">
        <f t="shared" si="22"/>
        <v>-130133</v>
      </c>
      <c r="G140" s="261">
        <v>30</v>
      </c>
      <c r="H140" s="252">
        <v>1.47E-2</v>
      </c>
      <c r="I140" s="234">
        <f t="shared" si="14"/>
        <v>-157.22918630136985</v>
      </c>
      <c r="J140" s="234">
        <f t="shared" si="16"/>
        <v>0</v>
      </c>
      <c r="K140" s="234">
        <f t="shared" si="20"/>
        <v>-19862.829551475417</v>
      </c>
      <c r="L140" s="234">
        <f t="shared" si="18"/>
        <v>-149995.82955147541</v>
      </c>
      <c r="M140" s="249">
        <v>0</v>
      </c>
      <c r="N140" s="219"/>
    </row>
    <row r="141" spans="2:14" x14ac:dyDescent="0.25">
      <c r="B141" s="260">
        <f>+B140+31</f>
        <v>41578</v>
      </c>
      <c r="C141" s="226">
        <f t="shared" si="19"/>
        <v>-130133</v>
      </c>
      <c r="D141" s="225">
        <v>0</v>
      </c>
      <c r="E141" s="225">
        <f t="shared" si="15"/>
        <v>0</v>
      </c>
      <c r="F141" s="234">
        <f t="shared" si="22"/>
        <v>-130133</v>
      </c>
      <c r="G141" s="261">
        <v>31</v>
      </c>
      <c r="H141" s="252">
        <v>1.47E-2</v>
      </c>
      <c r="I141" s="234">
        <f t="shared" si="14"/>
        <v>-162.47015917808218</v>
      </c>
      <c r="J141" s="234">
        <f t="shared" si="16"/>
        <v>0</v>
      </c>
      <c r="K141" s="234">
        <f t="shared" si="20"/>
        <v>-20025.2997106535</v>
      </c>
      <c r="L141" s="234">
        <f t="shared" si="18"/>
        <v>-150158.29971065349</v>
      </c>
      <c r="M141" s="249">
        <v>0</v>
      </c>
      <c r="N141" s="219"/>
    </row>
    <row r="142" spans="2:14" x14ac:dyDescent="0.25">
      <c r="B142" s="260">
        <f>+B141+30</f>
        <v>41608</v>
      </c>
      <c r="C142" s="226">
        <f t="shared" si="19"/>
        <v>-130133</v>
      </c>
      <c r="D142" s="225">
        <v>0</v>
      </c>
      <c r="E142" s="225">
        <f t="shared" si="15"/>
        <v>0</v>
      </c>
      <c r="F142" s="234">
        <f t="shared" si="22"/>
        <v>-130133</v>
      </c>
      <c r="G142" s="261">
        <v>30</v>
      </c>
      <c r="H142" s="252">
        <v>1.47E-2</v>
      </c>
      <c r="I142" s="234">
        <f t="shared" si="14"/>
        <v>-157.22918630136985</v>
      </c>
      <c r="J142" s="234">
        <f t="shared" si="16"/>
        <v>0</v>
      </c>
      <c r="K142" s="234">
        <f t="shared" si="20"/>
        <v>-20182.528896954871</v>
      </c>
      <c r="L142" s="234">
        <f t="shared" si="18"/>
        <v>-150315.52889695487</v>
      </c>
      <c r="M142" s="249">
        <v>0</v>
      </c>
      <c r="N142" s="219"/>
    </row>
    <row r="143" spans="2:14" x14ac:dyDescent="0.25">
      <c r="B143" s="262">
        <f>+B142+31</f>
        <v>41639</v>
      </c>
      <c r="C143" s="263">
        <f t="shared" si="19"/>
        <v>-130133</v>
      </c>
      <c r="D143" s="264">
        <v>0</v>
      </c>
      <c r="E143" s="264">
        <f t="shared" si="15"/>
        <v>0</v>
      </c>
      <c r="F143" s="265">
        <f t="shared" si="22"/>
        <v>-130133</v>
      </c>
      <c r="G143" s="266">
        <v>31</v>
      </c>
      <c r="H143" s="267">
        <v>1.47E-2</v>
      </c>
      <c r="I143" s="265">
        <f t="shared" si="14"/>
        <v>-162.47015917808218</v>
      </c>
      <c r="J143" s="265">
        <f t="shared" si="16"/>
        <v>0</v>
      </c>
      <c r="K143" s="265">
        <f t="shared" si="20"/>
        <v>-20344.999056132954</v>
      </c>
      <c r="L143" s="265">
        <f t="shared" si="18"/>
        <v>-150477.99905613295</v>
      </c>
      <c r="M143" s="268">
        <v>0</v>
      </c>
      <c r="N143" s="219"/>
    </row>
    <row r="144" spans="2:14" x14ac:dyDescent="0.25">
      <c r="B144" s="232"/>
      <c r="C144" s="219"/>
      <c r="D144" s="219"/>
      <c r="E144" s="219"/>
      <c r="F144" s="219"/>
      <c r="G144" s="219"/>
      <c r="H144" s="219"/>
      <c r="I144" s="219"/>
    </row>
    <row r="145" spans="2:9" x14ac:dyDescent="0.25">
      <c r="B145" s="232"/>
      <c r="C145" s="219"/>
      <c r="D145" s="219"/>
      <c r="E145" s="219"/>
      <c r="F145" s="219"/>
      <c r="G145" s="219"/>
      <c r="H145" s="219"/>
      <c r="I145" s="219"/>
    </row>
    <row r="146" spans="2:9" x14ac:dyDescent="0.25">
      <c r="B146" s="232"/>
      <c r="C146" s="219"/>
      <c r="D146" s="219"/>
      <c r="E146" s="219"/>
      <c r="F146" s="219"/>
      <c r="G146" s="219"/>
      <c r="H146" s="219"/>
      <c r="I146" s="219"/>
    </row>
    <row r="147" spans="2:9" x14ac:dyDescent="0.25">
      <c r="B147" s="232"/>
      <c r="C147" s="219"/>
      <c r="D147" s="219"/>
      <c r="E147" s="219"/>
      <c r="F147" s="219"/>
      <c r="G147" s="219"/>
      <c r="H147" s="219"/>
      <c r="I147" s="219"/>
    </row>
    <row r="148" spans="2:9" x14ac:dyDescent="0.25">
      <c r="B148" s="232"/>
      <c r="C148" s="219"/>
      <c r="D148" s="219"/>
      <c r="E148" s="219"/>
      <c r="F148" s="219"/>
      <c r="G148" s="219"/>
      <c r="H148" s="219"/>
      <c r="I148" s="219"/>
    </row>
    <row r="149" spans="2:9" x14ac:dyDescent="0.25">
      <c r="B149" s="232"/>
      <c r="C149" s="219"/>
      <c r="D149" s="219"/>
      <c r="E149" s="219"/>
      <c r="F149" s="219"/>
      <c r="G149" s="219"/>
      <c r="H149" s="219"/>
      <c r="I149" s="219"/>
    </row>
    <row r="150" spans="2:9" x14ac:dyDescent="0.25">
      <c r="B150" s="232"/>
      <c r="C150" s="219"/>
      <c r="D150" s="219"/>
      <c r="E150" s="219"/>
      <c r="F150" s="219"/>
      <c r="G150" s="219"/>
      <c r="H150" s="219"/>
      <c r="I150" s="219"/>
    </row>
    <row r="151" spans="2:9" x14ac:dyDescent="0.25">
      <c r="B151" s="232"/>
      <c r="C151" s="219"/>
      <c r="D151" s="219"/>
      <c r="E151" s="219"/>
      <c r="F151" s="219"/>
      <c r="G151" s="219"/>
      <c r="H151" s="219"/>
      <c r="I151" s="219"/>
    </row>
    <row r="152" spans="2:9" x14ac:dyDescent="0.25">
      <c r="B152" s="232"/>
      <c r="C152" s="219"/>
      <c r="D152" s="219"/>
      <c r="E152" s="219"/>
      <c r="F152" s="219"/>
      <c r="G152" s="219"/>
      <c r="H152" s="219"/>
      <c r="I152" s="219"/>
    </row>
    <row r="153" spans="2:9" x14ac:dyDescent="0.25">
      <c r="B153" s="232"/>
      <c r="C153" s="219"/>
      <c r="D153" s="219"/>
      <c r="E153" s="219"/>
      <c r="F153" s="219"/>
      <c r="G153" s="219"/>
      <c r="H153" s="219"/>
      <c r="I153" s="219"/>
    </row>
    <row r="154" spans="2:9" x14ac:dyDescent="0.25">
      <c r="B154" s="232"/>
      <c r="C154" s="219"/>
      <c r="D154" s="219"/>
      <c r="E154" s="219"/>
      <c r="F154" s="219"/>
      <c r="G154" s="219"/>
      <c r="H154" s="219"/>
      <c r="I154" s="219"/>
    </row>
    <row r="155" spans="2:9" x14ac:dyDescent="0.25">
      <c r="B155" s="232"/>
      <c r="C155" s="219"/>
      <c r="D155" s="219"/>
      <c r="E155" s="219"/>
      <c r="F155" s="219"/>
      <c r="G155" s="219"/>
      <c r="H155" s="219"/>
      <c r="I155" s="219"/>
    </row>
    <row r="156" spans="2:9" x14ac:dyDescent="0.25">
      <c r="B156" s="232"/>
      <c r="C156" s="219"/>
      <c r="D156" s="219"/>
      <c r="E156" s="219"/>
      <c r="F156" s="219"/>
      <c r="G156" s="219"/>
      <c r="H156" s="219"/>
      <c r="I156" s="219"/>
    </row>
    <row r="157" spans="2:9" x14ac:dyDescent="0.25">
      <c r="B157" s="232"/>
      <c r="C157" s="219"/>
      <c r="D157" s="219"/>
      <c r="E157" s="219"/>
      <c r="F157" s="219"/>
      <c r="G157" s="219"/>
      <c r="H157" s="219"/>
      <c r="I157" s="219"/>
    </row>
    <row r="158" spans="2:9" x14ac:dyDescent="0.25">
      <c r="B158" s="232"/>
      <c r="C158" s="219"/>
      <c r="D158" s="219"/>
      <c r="E158" s="219"/>
      <c r="F158" s="219"/>
      <c r="G158" s="219"/>
      <c r="H158" s="219"/>
      <c r="I158" s="219"/>
    </row>
    <row r="159" spans="2:9" x14ac:dyDescent="0.25">
      <c r="B159" s="232"/>
      <c r="C159" s="219"/>
      <c r="D159" s="219"/>
      <c r="E159" s="219"/>
      <c r="F159" s="219"/>
      <c r="G159" s="219"/>
      <c r="H159" s="219"/>
      <c r="I159" s="219"/>
    </row>
    <row r="160" spans="2:9" x14ac:dyDescent="0.25">
      <c r="B160" s="232"/>
      <c r="C160" s="219"/>
      <c r="D160" s="219"/>
      <c r="E160" s="219"/>
      <c r="F160" s="219"/>
      <c r="G160" s="219"/>
      <c r="H160" s="219"/>
      <c r="I160" s="219"/>
    </row>
    <row r="161" spans="2:9" x14ac:dyDescent="0.25">
      <c r="B161" s="232"/>
      <c r="C161" s="219"/>
      <c r="D161" s="219"/>
      <c r="E161" s="219"/>
      <c r="F161" s="219"/>
      <c r="G161" s="219"/>
      <c r="H161" s="219"/>
      <c r="I161" s="219"/>
    </row>
    <row r="162" spans="2:9" x14ac:dyDescent="0.25">
      <c r="B162" s="232"/>
      <c r="C162" s="219"/>
      <c r="D162" s="219"/>
      <c r="E162" s="219"/>
      <c r="F162" s="219"/>
      <c r="G162" s="219"/>
      <c r="H162" s="219"/>
      <c r="I162" s="219"/>
    </row>
    <row r="163" spans="2:9" x14ac:dyDescent="0.25">
      <c r="B163" s="232"/>
      <c r="C163" s="219"/>
      <c r="D163" s="219"/>
      <c r="E163" s="219"/>
      <c r="F163" s="219"/>
      <c r="G163" s="219"/>
      <c r="H163" s="219"/>
      <c r="I163" s="219"/>
    </row>
    <row r="164" spans="2:9" x14ac:dyDescent="0.25">
      <c r="B164" s="232"/>
      <c r="C164" s="219"/>
      <c r="D164" s="219"/>
      <c r="E164" s="219"/>
      <c r="F164" s="219"/>
      <c r="G164" s="219"/>
      <c r="H164" s="219"/>
      <c r="I164" s="219"/>
    </row>
    <row r="165" spans="2:9" x14ac:dyDescent="0.25">
      <c r="B165" s="232"/>
      <c r="C165" s="219"/>
      <c r="D165" s="219"/>
      <c r="E165" s="219"/>
      <c r="F165" s="219"/>
      <c r="G165" s="219"/>
      <c r="H165" s="219"/>
      <c r="I165" s="219"/>
    </row>
    <row r="166" spans="2:9" x14ac:dyDescent="0.25">
      <c r="B166" s="232"/>
      <c r="C166" s="219"/>
      <c r="D166" s="219"/>
      <c r="E166" s="219"/>
      <c r="F166" s="219"/>
      <c r="G166" s="219"/>
      <c r="H166" s="219"/>
      <c r="I166" s="219"/>
    </row>
    <row r="167" spans="2:9" x14ac:dyDescent="0.25">
      <c r="B167" s="232"/>
      <c r="C167" s="219"/>
      <c r="D167" s="219"/>
      <c r="E167" s="219"/>
      <c r="F167" s="219"/>
      <c r="G167" s="219"/>
      <c r="H167" s="219"/>
      <c r="I167" s="219"/>
    </row>
    <row r="168" spans="2:9" x14ac:dyDescent="0.25">
      <c r="B168" s="232"/>
      <c r="C168" s="219"/>
      <c r="D168" s="219"/>
      <c r="E168" s="219"/>
      <c r="F168" s="219"/>
      <c r="G168" s="219"/>
      <c r="H168" s="219"/>
      <c r="I168" s="219"/>
    </row>
    <row r="169" spans="2:9" x14ac:dyDescent="0.25">
      <c r="B169" s="232"/>
      <c r="C169" s="219"/>
      <c r="D169" s="219"/>
      <c r="E169" s="219"/>
      <c r="F169" s="219"/>
      <c r="G169" s="219"/>
      <c r="H169" s="219"/>
      <c r="I169" s="219"/>
    </row>
    <row r="170" spans="2:9" x14ac:dyDescent="0.25">
      <c r="B170" s="232"/>
      <c r="C170" s="219"/>
      <c r="D170" s="219"/>
      <c r="E170" s="219"/>
      <c r="F170" s="219"/>
      <c r="G170" s="219"/>
      <c r="H170" s="219"/>
      <c r="I170" s="219"/>
    </row>
    <row r="171" spans="2:9" x14ac:dyDescent="0.25">
      <c r="B171" s="232"/>
      <c r="C171" s="219"/>
      <c r="D171" s="219"/>
      <c r="E171" s="219"/>
      <c r="F171" s="219"/>
      <c r="G171" s="219"/>
      <c r="H171" s="219"/>
      <c r="I171" s="219"/>
    </row>
    <row r="172" spans="2:9" x14ac:dyDescent="0.25">
      <c r="B172" s="232"/>
      <c r="C172" s="219"/>
      <c r="D172" s="219"/>
      <c r="E172" s="219"/>
      <c r="F172" s="219"/>
      <c r="G172" s="219"/>
      <c r="H172" s="219"/>
      <c r="I172" s="219"/>
    </row>
    <row r="173" spans="2:9" x14ac:dyDescent="0.25">
      <c r="B173" s="232"/>
      <c r="C173" s="219"/>
      <c r="D173" s="219"/>
      <c r="E173" s="219"/>
      <c r="F173" s="219"/>
      <c r="G173" s="219"/>
      <c r="H173" s="219"/>
      <c r="I173" s="219"/>
    </row>
    <row r="174" spans="2:9" x14ac:dyDescent="0.25">
      <c r="B174" s="232"/>
      <c r="C174" s="219"/>
      <c r="D174" s="219"/>
      <c r="E174" s="219"/>
      <c r="F174" s="219"/>
      <c r="G174" s="219"/>
      <c r="H174" s="219"/>
      <c r="I174" s="219"/>
    </row>
    <row r="175" spans="2:9" x14ac:dyDescent="0.25">
      <c r="B175" s="232"/>
      <c r="C175" s="219"/>
      <c r="D175" s="219"/>
      <c r="E175" s="219"/>
      <c r="F175" s="219"/>
      <c r="G175" s="219"/>
      <c r="H175" s="219"/>
      <c r="I175" s="219"/>
    </row>
    <row r="176" spans="2:9" x14ac:dyDescent="0.25">
      <c r="B176" s="232"/>
      <c r="C176" s="219"/>
      <c r="D176" s="219"/>
      <c r="E176" s="219"/>
      <c r="F176" s="219"/>
      <c r="G176" s="219"/>
      <c r="H176" s="219"/>
      <c r="I176" s="219"/>
    </row>
    <row r="177" spans="2:9" x14ac:dyDescent="0.25">
      <c r="B177" s="232"/>
      <c r="C177" s="219"/>
      <c r="D177" s="219"/>
      <c r="E177" s="219"/>
      <c r="F177" s="219"/>
      <c r="G177" s="219"/>
      <c r="H177" s="219"/>
      <c r="I177" s="219"/>
    </row>
    <row r="178" spans="2:9" x14ac:dyDescent="0.25">
      <c r="B178" s="232"/>
      <c r="C178" s="219"/>
      <c r="D178" s="219"/>
      <c r="E178" s="219"/>
      <c r="F178" s="219"/>
      <c r="G178" s="219"/>
      <c r="H178" s="219"/>
      <c r="I178" s="219"/>
    </row>
    <row r="179" spans="2:9" x14ac:dyDescent="0.25">
      <c r="B179" s="232"/>
      <c r="C179" s="219"/>
      <c r="D179" s="219"/>
      <c r="E179" s="219"/>
      <c r="F179" s="219"/>
      <c r="G179" s="219"/>
      <c r="H179" s="219"/>
      <c r="I179" s="219"/>
    </row>
    <row r="180" spans="2:9" x14ac:dyDescent="0.25">
      <c r="B180" s="232"/>
      <c r="C180" s="219"/>
      <c r="D180" s="219"/>
      <c r="E180" s="219"/>
      <c r="F180" s="219"/>
      <c r="G180" s="219"/>
      <c r="H180" s="219"/>
      <c r="I180" s="219"/>
    </row>
    <row r="181" spans="2:9" x14ac:dyDescent="0.25">
      <c r="B181" s="232"/>
      <c r="C181" s="219"/>
      <c r="D181" s="219"/>
      <c r="E181" s="219"/>
      <c r="F181" s="219"/>
      <c r="G181" s="219"/>
      <c r="H181" s="219"/>
      <c r="I181" s="219"/>
    </row>
    <row r="182" spans="2:9" x14ac:dyDescent="0.25">
      <c r="B182" s="232"/>
      <c r="C182" s="219"/>
      <c r="D182" s="219"/>
      <c r="E182" s="219"/>
      <c r="F182" s="219"/>
      <c r="G182" s="219"/>
      <c r="H182" s="219"/>
      <c r="I182" s="219"/>
    </row>
    <row r="183" spans="2:9" x14ac:dyDescent="0.25">
      <c r="B183" s="232"/>
      <c r="C183" s="219"/>
      <c r="D183" s="219"/>
      <c r="E183" s="219"/>
      <c r="F183" s="219"/>
      <c r="G183" s="219"/>
      <c r="H183" s="219"/>
      <c r="I183" s="219"/>
    </row>
    <row r="184" spans="2:9" x14ac:dyDescent="0.25">
      <c r="B184" s="232"/>
      <c r="C184" s="219"/>
      <c r="D184" s="219"/>
      <c r="E184" s="219"/>
      <c r="F184" s="219"/>
      <c r="G184" s="219"/>
      <c r="H184" s="219"/>
      <c r="I184" s="219"/>
    </row>
    <row r="185" spans="2:9" x14ac:dyDescent="0.25">
      <c r="B185" s="232"/>
      <c r="C185" s="219"/>
      <c r="D185" s="219"/>
      <c r="E185" s="219"/>
      <c r="F185" s="219"/>
      <c r="G185" s="219"/>
      <c r="H185" s="219"/>
      <c r="I185" s="219"/>
    </row>
    <row r="186" spans="2:9" x14ac:dyDescent="0.25">
      <c r="B186" s="232"/>
      <c r="C186" s="219"/>
      <c r="D186" s="219"/>
      <c r="E186" s="219"/>
      <c r="F186" s="219"/>
      <c r="G186" s="219"/>
      <c r="H186" s="219"/>
      <c r="I186" s="219"/>
    </row>
    <row r="187" spans="2:9" x14ac:dyDescent="0.25">
      <c r="B187" s="232"/>
      <c r="C187" s="219"/>
      <c r="D187" s="219"/>
      <c r="E187" s="219"/>
      <c r="F187" s="219"/>
      <c r="G187" s="219"/>
      <c r="H187" s="219"/>
      <c r="I187" s="219"/>
    </row>
    <row r="188" spans="2:9" x14ac:dyDescent="0.25">
      <c r="B188" s="232"/>
      <c r="C188" s="219"/>
      <c r="D188" s="219"/>
      <c r="E188" s="219"/>
      <c r="F188" s="219"/>
      <c r="G188" s="219"/>
      <c r="H188" s="219"/>
      <c r="I188" s="219"/>
    </row>
    <row r="189" spans="2:9" x14ac:dyDescent="0.25">
      <c r="B189" s="232"/>
      <c r="C189" s="219"/>
      <c r="D189" s="219"/>
      <c r="E189" s="219"/>
      <c r="F189" s="219"/>
      <c r="G189" s="219"/>
      <c r="H189" s="219"/>
      <c r="I189" s="219"/>
    </row>
    <row r="190" spans="2:9" x14ac:dyDescent="0.25">
      <c r="B190" s="232"/>
      <c r="C190" s="219"/>
      <c r="D190" s="219"/>
      <c r="E190" s="219"/>
      <c r="F190" s="219"/>
      <c r="G190" s="219"/>
      <c r="H190" s="219"/>
      <c r="I190" s="219"/>
    </row>
    <row r="191" spans="2:9" x14ac:dyDescent="0.25">
      <c r="B191" s="232"/>
      <c r="C191" s="219"/>
      <c r="D191" s="219"/>
      <c r="E191" s="219"/>
      <c r="F191" s="219"/>
      <c r="G191" s="219"/>
      <c r="H191" s="219"/>
      <c r="I191" s="219"/>
    </row>
    <row r="192" spans="2:9" x14ac:dyDescent="0.25">
      <c r="B192" s="232"/>
      <c r="C192" s="219"/>
      <c r="D192" s="219"/>
      <c r="E192" s="219"/>
      <c r="F192" s="219"/>
      <c r="G192" s="219"/>
      <c r="H192" s="219"/>
      <c r="I192" s="219"/>
    </row>
    <row r="193" spans="2:9" x14ac:dyDescent="0.25">
      <c r="B193" s="232"/>
      <c r="C193" s="219"/>
      <c r="D193" s="219"/>
      <c r="E193" s="219"/>
      <c r="F193" s="219"/>
      <c r="G193" s="219"/>
      <c r="H193" s="219"/>
      <c r="I193" s="219"/>
    </row>
    <row r="194" spans="2:9" x14ac:dyDescent="0.25">
      <c r="B194" s="232"/>
      <c r="C194" s="219"/>
      <c r="D194" s="219"/>
      <c r="E194" s="219"/>
      <c r="F194" s="219"/>
      <c r="G194" s="219"/>
      <c r="H194" s="219"/>
      <c r="I194" s="219"/>
    </row>
    <row r="195" spans="2:9" x14ac:dyDescent="0.25">
      <c r="B195" s="232"/>
      <c r="C195" s="219"/>
      <c r="D195" s="219"/>
      <c r="E195" s="219"/>
      <c r="F195" s="219"/>
      <c r="G195" s="219"/>
      <c r="H195" s="219"/>
      <c r="I195" s="219"/>
    </row>
    <row r="196" spans="2:9" x14ac:dyDescent="0.25">
      <c r="B196" s="232"/>
      <c r="C196" s="219"/>
      <c r="D196" s="219"/>
      <c r="E196" s="219"/>
      <c r="F196" s="219"/>
      <c r="G196" s="219"/>
      <c r="H196" s="219"/>
      <c r="I196" s="219"/>
    </row>
    <row r="197" spans="2:9" x14ac:dyDescent="0.25">
      <c r="B197" s="232"/>
      <c r="C197" s="219"/>
      <c r="D197" s="219"/>
      <c r="E197" s="219"/>
      <c r="F197" s="219"/>
      <c r="G197" s="219"/>
      <c r="H197" s="219"/>
      <c r="I197" s="219"/>
    </row>
    <row r="198" spans="2:9" x14ac:dyDescent="0.25">
      <c r="B198" s="232"/>
      <c r="C198" s="219"/>
      <c r="D198" s="219"/>
      <c r="E198" s="219"/>
      <c r="F198" s="219"/>
      <c r="G198" s="219"/>
      <c r="H198" s="219"/>
      <c r="I198" s="219"/>
    </row>
    <row r="199" spans="2:9" x14ac:dyDescent="0.25">
      <c r="B199" s="232"/>
      <c r="C199" s="219"/>
      <c r="D199" s="219"/>
      <c r="E199" s="219"/>
      <c r="F199" s="219"/>
      <c r="G199" s="219"/>
      <c r="H199" s="219"/>
      <c r="I199" s="219"/>
    </row>
    <row r="200" spans="2:9" x14ac:dyDescent="0.25">
      <c r="B200" s="232"/>
      <c r="C200" s="219"/>
      <c r="D200" s="219"/>
      <c r="E200" s="219"/>
      <c r="F200" s="219"/>
      <c r="G200" s="219"/>
      <c r="H200" s="219"/>
      <c r="I200" s="219"/>
    </row>
    <row r="201" spans="2:9" x14ac:dyDescent="0.25">
      <c r="B201" s="232"/>
      <c r="C201" s="219"/>
      <c r="D201" s="219"/>
      <c r="E201" s="219"/>
      <c r="F201" s="219"/>
      <c r="G201" s="219"/>
      <c r="H201" s="219"/>
      <c r="I201" s="219"/>
    </row>
    <row r="202" spans="2:9" x14ac:dyDescent="0.25">
      <c r="B202" s="232"/>
      <c r="C202" s="219"/>
      <c r="D202" s="219"/>
      <c r="E202" s="219"/>
      <c r="F202" s="219"/>
      <c r="G202" s="219"/>
      <c r="H202" s="219"/>
      <c r="I202" s="219"/>
    </row>
    <row r="203" spans="2:9" x14ac:dyDescent="0.25">
      <c r="B203" s="232"/>
      <c r="C203" s="219"/>
      <c r="D203" s="219"/>
      <c r="E203" s="219"/>
      <c r="F203" s="219"/>
      <c r="G203" s="219"/>
      <c r="H203" s="219"/>
      <c r="I203" s="219"/>
    </row>
    <row r="204" spans="2:9" x14ac:dyDescent="0.25">
      <c r="B204" s="232"/>
      <c r="C204" s="219"/>
      <c r="D204" s="219"/>
      <c r="E204" s="219"/>
      <c r="F204" s="219"/>
      <c r="G204" s="219"/>
      <c r="H204" s="219"/>
      <c r="I204" s="219"/>
    </row>
    <row r="205" spans="2:9" x14ac:dyDescent="0.25">
      <c r="B205" s="232"/>
      <c r="C205" s="219"/>
      <c r="D205" s="219"/>
      <c r="E205" s="219"/>
      <c r="F205" s="219"/>
      <c r="G205" s="219"/>
      <c r="H205" s="219"/>
      <c r="I205" s="219"/>
    </row>
    <row r="206" spans="2:9" x14ac:dyDescent="0.25">
      <c r="B206" s="232"/>
      <c r="C206" s="219"/>
      <c r="D206" s="219"/>
      <c r="E206" s="219"/>
      <c r="F206" s="219"/>
      <c r="G206" s="219"/>
      <c r="H206" s="219"/>
      <c r="I206" s="219"/>
    </row>
    <row r="207" spans="2:9" x14ac:dyDescent="0.25">
      <c r="B207" s="232"/>
      <c r="C207" s="219"/>
      <c r="D207" s="219"/>
      <c r="E207" s="219"/>
      <c r="F207" s="219"/>
      <c r="G207" s="219"/>
      <c r="H207" s="219"/>
      <c r="I207" s="219"/>
    </row>
    <row r="208" spans="2:9" x14ac:dyDescent="0.25">
      <c r="B208" s="232"/>
      <c r="C208" s="219"/>
      <c r="D208" s="219"/>
      <c r="E208" s="219"/>
      <c r="F208" s="219"/>
      <c r="G208" s="219"/>
      <c r="H208" s="219"/>
      <c r="I208" s="219"/>
    </row>
    <row r="209" spans="2:9" x14ac:dyDescent="0.25">
      <c r="B209" s="232"/>
      <c r="C209" s="219"/>
      <c r="D209" s="219"/>
      <c r="E209" s="219"/>
      <c r="F209" s="219"/>
      <c r="G209" s="219"/>
      <c r="H209" s="219"/>
      <c r="I209" s="219"/>
    </row>
    <row r="210" spans="2:9" x14ac:dyDescent="0.25">
      <c r="B210" s="232"/>
      <c r="C210" s="219"/>
      <c r="D210" s="219"/>
      <c r="E210" s="219"/>
      <c r="F210" s="219"/>
      <c r="G210" s="219"/>
      <c r="H210" s="219"/>
      <c r="I210" s="219"/>
    </row>
    <row r="211" spans="2:9" x14ac:dyDescent="0.25">
      <c r="B211" s="232"/>
      <c r="C211" s="219"/>
      <c r="D211" s="219"/>
      <c r="E211" s="219"/>
      <c r="F211" s="219"/>
      <c r="G211" s="219"/>
      <c r="H211" s="219"/>
      <c r="I211" s="219"/>
    </row>
    <row r="212" spans="2:9" x14ac:dyDescent="0.25">
      <c r="B212" s="232"/>
      <c r="C212" s="219"/>
      <c r="D212" s="219"/>
      <c r="E212" s="219"/>
      <c r="F212" s="219"/>
      <c r="G212" s="219"/>
      <c r="H212" s="219"/>
      <c r="I212" s="219"/>
    </row>
    <row r="213" spans="2:9" x14ac:dyDescent="0.25">
      <c r="B213" s="232"/>
      <c r="C213" s="219"/>
      <c r="D213" s="219"/>
      <c r="E213" s="219"/>
      <c r="F213" s="219"/>
      <c r="G213" s="219"/>
      <c r="H213" s="219"/>
      <c r="I213" s="219"/>
    </row>
    <row r="214" spans="2:9" x14ac:dyDescent="0.25">
      <c r="B214" s="232"/>
      <c r="C214" s="219"/>
      <c r="D214" s="219"/>
      <c r="E214" s="219"/>
      <c r="F214" s="219"/>
      <c r="G214" s="219"/>
      <c r="H214" s="219"/>
      <c r="I214" s="219"/>
    </row>
    <row r="215" spans="2:9" x14ac:dyDescent="0.25">
      <c r="B215" s="232"/>
      <c r="C215" s="219"/>
      <c r="D215" s="219"/>
      <c r="E215" s="219"/>
      <c r="F215" s="219"/>
      <c r="G215" s="219"/>
      <c r="H215" s="219"/>
      <c r="I215" s="219"/>
    </row>
    <row r="216" spans="2:9" x14ac:dyDescent="0.25">
      <c r="B216" s="232"/>
      <c r="C216" s="219"/>
      <c r="D216" s="219"/>
      <c r="E216" s="219"/>
      <c r="F216" s="219"/>
      <c r="G216" s="219"/>
      <c r="H216" s="219"/>
      <c r="I216" s="219"/>
    </row>
    <row r="217" spans="2:9" x14ac:dyDescent="0.25">
      <c r="B217" s="232"/>
      <c r="C217" s="219"/>
      <c r="D217" s="219"/>
      <c r="E217" s="219"/>
      <c r="F217" s="219"/>
      <c r="G217" s="219"/>
      <c r="H217" s="219"/>
      <c r="I217" s="219"/>
    </row>
    <row r="218" spans="2:9" x14ac:dyDescent="0.25">
      <c r="B218" s="232"/>
      <c r="C218" s="219"/>
      <c r="D218" s="219"/>
      <c r="E218" s="219"/>
      <c r="F218" s="219"/>
      <c r="G218" s="219"/>
      <c r="H218" s="219"/>
      <c r="I218" s="219"/>
    </row>
    <row r="219" spans="2:9" x14ac:dyDescent="0.25">
      <c r="B219" s="232"/>
      <c r="C219" s="219"/>
      <c r="D219" s="219"/>
      <c r="E219" s="219"/>
      <c r="F219" s="219"/>
      <c r="G219" s="219"/>
      <c r="H219" s="219"/>
      <c r="I219" s="219"/>
    </row>
    <row r="220" spans="2:9" x14ac:dyDescent="0.25">
      <c r="B220" s="232"/>
      <c r="C220" s="219"/>
      <c r="D220" s="219"/>
      <c r="E220" s="219"/>
      <c r="F220" s="219"/>
      <c r="G220" s="219"/>
      <c r="H220" s="219"/>
      <c r="I220" s="219"/>
    </row>
    <row r="221" spans="2:9" x14ac:dyDescent="0.25">
      <c r="B221" s="232"/>
      <c r="C221" s="219"/>
      <c r="D221" s="219"/>
      <c r="E221" s="219"/>
      <c r="F221" s="219"/>
      <c r="G221" s="219"/>
      <c r="H221" s="219"/>
      <c r="I221" s="219"/>
    </row>
    <row r="222" spans="2:9" x14ac:dyDescent="0.25">
      <c r="B222" s="232"/>
      <c r="C222" s="219"/>
      <c r="D222" s="219"/>
      <c r="E222" s="219"/>
      <c r="F222" s="219"/>
      <c r="G222" s="219"/>
      <c r="H222" s="219"/>
      <c r="I222" s="219"/>
    </row>
    <row r="223" spans="2:9" x14ac:dyDescent="0.25">
      <c r="B223" s="232"/>
      <c r="C223" s="219"/>
      <c r="D223" s="219"/>
      <c r="E223" s="219"/>
      <c r="F223" s="219"/>
      <c r="G223" s="219"/>
      <c r="H223" s="219"/>
      <c r="I223" s="219"/>
    </row>
    <row r="224" spans="2:9" x14ac:dyDescent="0.25">
      <c r="B224" s="232"/>
      <c r="C224" s="219"/>
      <c r="D224" s="219"/>
      <c r="E224" s="219"/>
      <c r="F224" s="219"/>
      <c r="G224" s="219"/>
      <c r="H224" s="219"/>
      <c r="I224" s="219"/>
    </row>
    <row r="225" spans="2:9" x14ac:dyDescent="0.25">
      <c r="B225" s="232"/>
      <c r="C225" s="219"/>
      <c r="D225" s="219"/>
      <c r="E225" s="219"/>
      <c r="F225" s="219"/>
      <c r="G225" s="219"/>
      <c r="H225" s="219"/>
      <c r="I225" s="219"/>
    </row>
    <row r="226" spans="2:9" x14ac:dyDescent="0.25">
      <c r="B226" s="232"/>
      <c r="C226" s="219"/>
      <c r="D226" s="219"/>
      <c r="E226" s="219"/>
      <c r="F226" s="219"/>
      <c r="G226" s="219"/>
      <c r="H226" s="219"/>
      <c r="I226" s="219"/>
    </row>
    <row r="227" spans="2:9" x14ac:dyDescent="0.25">
      <c r="B227" s="232"/>
      <c r="C227" s="219"/>
      <c r="D227" s="219"/>
      <c r="E227" s="219"/>
      <c r="F227" s="219"/>
      <c r="G227" s="219"/>
      <c r="H227" s="219"/>
      <c r="I227" s="219"/>
    </row>
    <row r="228" spans="2:9" x14ac:dyDescent="0.25">
      <c r="B228" s="232"/>
      <c r="C228" s="219"/>
      <c r="D228" s="219"/>
      <c r="E228" s="219"/>
      <c r="F228" s="219"/>
      <c r="G228" s="219"/>
      <c r="H228" s="219"/>
      <c r="I228" s="219"/>
    </row>
    <row r="229" spans="2:9" x14ac:dyDescent="0.25">
      <c r="B229" s="232"/>
      <c r="C229" s="219"/>
      <c r="D229" s="219"/>
      <c r="E229" s="219"/>
      <c r="F229" s="219"/>
      <c r="G229" s="219"/>
      <c r="H229" s="219"/>
      <c r="I229" s="219"/>
    </row>
    <row r="230" spans="2:9" x14ac:dyDescent="0.25">
      <c r="B230" s="232"/>
      <c r="C230" s="219"/>
      <c r="D230" s="219"/>
      <c r="E230" s="219"/>
      <c r="F230" s="219"/>
      <c r="G230" s="219"/>
      <c r="H230" s="219"/>
      <c r="I230" s="219"/>
    </row>
    <row r="231" spans="2:9" x14ac:dyDescent="0.25">
      <c r="B231" s="232"/>
      <c r="C231" s="219"/>
      <c r="D231" s="219"/>
      <c r="E231" s="219"/>
      <c r="F231" s="219"/>
      <c r="G231" s="219"/>
      <c r="H231" s="219"/>
      <c r="I231" s="219"/>
    </row>
    <row r="232" spans="2:9" x14ac:dyDescent="0.25">
      <c r="B232" s="232"/>
      <c r="C232" s="219"/>
      <c r="D232" s="219"/>
      <c r="E232" s="219"/>
      <c r="F232" s="219"/>
      <c r="G232" s="219"/>
      <c r="H232" s="219"/>
      <c r="I232" s="219"/>
    </row>
    <row r="233" spans="2:9" x14ac:dyDescent="0.25">
      <c r="B233" s="232"/>
      <c r="C233" s="219"/>
      <c r="D233" s="219"/>
      <c r="E233" s="219"/>
      <c r="F233" s="219"/>
      <c r="G233" s="219"/>
      <c r="H233" s="219"/>
      <c r="I233" s="219"/>
    </row>
    <row r="234" spans="2:9" x14ac:dyDescent="0.25">
      <c r="B234" s="232"/>
      <c r="C234" s="219"/>
      <c r="D234" s="219"/>
      <c r="E234" s="219"/>
      <c r="F234" s="219"/>
      <c r="G234" s="219"/>
      <c r="H234" s="219"/>
      <c r="I234" s="219"/>
    </row>
    <row r="235" spans="2:9" x14ac:dyDescent="0.25">
      <c r="B235" s="232"/>
      <c r="C235" s="219"/>
      <c r="D235" s="219"/>
      <c r="E235" s="219"/>
      <c r="F235" s="219"/>
      <c r="G235" s="219"/>
      <c r="H235" s="219"/>
      <c r="I235" s="219"/>
    </row>
    <row r="236" spans="2:9" x14ac:dyDescent="0.25">
      <c r="B236" s="232"/>
      <c r="C236" s="219"/>
      <c r="D236" s="219"/>
      <c r="E236" s="219"/>
      <c r="F236" s="219"/>
      <c r="G236" s="219"/>
      <c r="H236" s="219"/>
      <c r="I236" s="219"/>
    </row>
    <row r="237" spans="2:9" x14ac:dyDescent="0.25">
      <c r="B237" s="232"/>
      <c r="C237" s="219"/>
      <c r="D237" s="219"/>
      <c r="E237" s="219"/>
      <c r="F237" s="219"/>
      <c r="G237" s="219"/>
      <c r="H237" s="219"/>
      <c r="I237" s="219"/>
    </row>
    <row r="238" spans="2:9" x14ac:dyDescent="0.25">
      <c r="B238" s="232"/>
      <c r="C238" s="219"/>
      <c r="D238" s="219"/>
      <c r="E238" s="219"/>
      <c r="F238" s="219"/>
      <c r="G238" s="219"/>
      <c r="H238" s="219"/>
      <c r="I238" s="219"/>
    </row>
    <row r="239" spans="2:9" x14ac:dyDescent="0.25">
      <c r="B239" s="232"/>
      <c r="C239" s="219"/>
      <c r="D239" s="219"/>
      <c r="E239" s="219"/>
      <c r="F239" s="219"/>
      <c r="G239" s="219"/>
      <c r="H239" s="219"/>
      <c r="I239" s="219"/>
    </row>
    <row r="240" spans="2:9" x14ac:dyDescent="0.25">
      <c r="B240" s="232"/>
      <c r="C240" s="219"/>
      <c r="D240" s="219"/>
      <c r="E240" s="219"/>
      <c r="F240" s="219"/>
      <c r="G240" s="219"/>
      <c r="H240" s="219"/>
      <c r="I240" s="219"/>
    </row>
    <row r="241" spans="2:9" x14ac:dyDescent="0.25">
      <c r="B241" s="232"/>
      <c r="C241" s="219"/>
      <c r="D241" s="219"/>
      <c r="E241" s="219"/>
      <c r="F241" s="219"/>
      <c r="G241" s="219"/>
      <c r="H241" s="219"/>
      <c r="I241" s="219"/>
    </row>
    <row r="242" spans="2:9" x14ac:dyDescent="0.25">
      <c r="B242" s="232"/>
      <c r="C242" s="219"/>
      <c r="D242" s="219"/>
      <c r="E242" s="219"/>
      <c r="F242" s="219"/>
      <c r="G242" s="219"/>
      <c r="H242" s="219"/>
      <c r="I242" s="219"/>
    </row>
    <row r="243" spans="2:9" x14ac:dyDescent="0.25">
      <c r="B243" s="232"/>
      <c r="C243" s="219"/>
      <c r="D243" s="219"/>
      <c r="E243" s="219"/>
      <c r="F243" s="219"/>
      <c r="G243" s="219"/>
      <c r="H243" s="219"/>
      <c r="I243" s="219"/>
    </row>
    <row r="244" spans="2:9" x14ac:dyDescent="0.25">
      <c r="B244" s="232"/>
      <c r="C244" s="219"/>
      <c r="D244" s="219"/>
      <c r="E244" s="219"/>
      <c r="F244" s="219"/>
      <c r="G244" s="219"/>
      <c r="H244" s="219"/>
      <c r="I244" s="219"/>
    </row>
    <row r="245" spans="2:9" x14ac:dyDescent="0.25">
      <c r="B245" s="232"/>
      <c r="C245" s="219"/>
      <c r="D245" s="219"/>
      <c r="E245" s="219"/>
      <c r="F245" s="219"/>
      <c r="G245" s="219"/>
      <c r="H245" s="219"/>
      <c r="I245" s="219"/>
    </row>
    <row r="246" spans="2:9" x14ac:dyDescent="0.25">
      <c r="B246" s="232"/>
      <c r="C246" s="219"/>
      <c r="D246" s="219"/>
      <c r="E246" s="219"/>
      <c r="F246" s="219"/>
      <c r="G246" s="219"/>
      <c r="H246" s="219"/>
      <c r="I246" s="219"/>
    </row>
    <row r="247" spans="2:9" x14ac:dyDescent="0.25">
      <c r="B247" s="232"/>
      <c r="C247" s="219"/>
      <c r="D247" s="219"/>
      <c r="E247" s="219"/>
      <c r="F247" s="219"/>
      <c r="G247" s="219"/>
      <c r="H247" s="219"/>
      <c r="I247" s="219"/>
    </row>
    <row r="248" spans="2:9" x14ac:dyDescent="0.25">
      <c r="B248" s="232"/>
      <c r="C248" s="219"/>
      <c r="D248" s="219"/>
      <c r="E248" s="219"/>
      <c r="F248" s="219"/>
      <c r="G248" s="219"/>
      <c r="H248" s="219"/>
      <c r="I248" s="219"/>
    </row>
    <row r="249" spans="2:9" x14ac:dyDescent="0.25">
      <c r="B249" s="232"/>
      <c r="C249" s="219"/>
      <c r="D249" s="219"/>
      <c r="E249" s="219"/>
      <c r="F249" s="219"/>
      <c r="G249" s="219"/>
      <c r="H249" s="219"/>
      <c r="I249" s="219"/>
    </row>
    <row r="250" spans="2:9" x14ac:dyDescent="0.25">
      <c r="B250" s="232"/>
      <c r="C250" s="219"/>
      <c r="D250" s="219"/>
      <c r="E250" s="219"/>
      <c r="F250" s="219"/>
      <c r="G250" s="219"/>
      <c r="H250" s="219"/>
      <c r="I250" s="219"/>
    </row>
    <row r="251" spans="2:9" x14ac:dyDescent="0.25">
      <c r="B251" s="232"/>
      <c r="C251" s="219"/>
      <c r="D251" s="219"/>
      <c r="E251" s="219"/>
      <c r="F251" s="219"/>
      <c r="G251" s="219"/>
      <c r="H251" s="219"/>
      <c r="I251" s="219"/>
    </row>
    <row r="252" spans="2:9" x14ac:dyDescent="0.25">
      <c r="B252" s="232"/>
      <c r="C252" s="219"/>
      <c r="D252" s="219"/>
      <c r="E252" s="219"/>
      <c r="F252" s="219"/>
      <c r="G252" s="219"/>
      <c r="H252" s="219"/>
      <c r="I252" s="219"/>
    </row>
    <row r="253" spans="2:9" x14ac:dyDescent="0.25">
      <c r="B253" s="232"/>
      <c r="C253" s="219"/>
      <c r="D253" s="219"/>
      <c r="E253" s="219"/>
      <c r="F253" s="219"/>
      <c r="G253" s="219"/>
      <c r="H253" s="219"/>
      <c r="I253" s="219"/>
    </row>
    <row r="254" spans="2:9" x14ac:dyDescent="0.25">
      <c r="B254" s="232"/>
      <c r="C254" s="219"/>
      <c r="D254" s="219"/>
      <c r="E254" s="219"/>
      <c r="F254" s="219"/>
      <c r="G254" s="219"/>
      <c r="H254" s="219"/>
      <c r="I254" s="219"/>
    </row>
    <row r="255" spans="2:9" x14ac:dyDescent="0.25">
      <c r="B255" s="232"/>
      <c r="C255" s="219"/>
      <c r="D255" s="219"/>
      <c r="E255" s="219"/>
      <c r="F255" s="219"/>
      <c r="G255" s="219"/>
      <c r="H255" s="219"/>
      <c r="I255" s="219"/>
    </row>
    <row r="256" spans="2:9" x14ac:dyDescent="0.25">
      <c r="B256" s="232"/>
      <c r="C256" s="219"/>
      <c r="D256" s="219"/>
      <c r="E256" s="219"/>
      <c r="F256" s="219"/>
      <c r="G256" s="219"/>
      <c r="H256" s="219"/>
      <c r="I256" s="219"/>
    </row>
    <row r="257" spans="2:9" x14ac:dyDescent="0.25">
      <c r="B257" s="232"/>
      <c r="C257" s="219"/>
      <c r="D257" s="219"/>
      <c r="E257" s="219"/>
      <c r="F257" s="219"/>
      <c r="G257" s="219"/>
      <c r="H257" s="219"/>
      <c r="I257" s="219"/>
    </row>
    <row r="258" spans="2:9" x14ac:dyDescent="0.25">
      <c r="B258" s="232"/>
      <c r="C258" s="219"/>
      <c r="D258" s="219"/>
      <c r="E258" s="219"/>
      <c r="F258" s="219"/>
      <c r="G258" s="219"/>
      <c r="H258" s="219"/>
      <c r="I258" s="219"/>
    </row>
    <row r="259" spans="2:9" x14ac:dyDescent="0.25">
      <c r="B259" s="232"/>
      <c r="C259" s="219"/>
      <c r="D259" s="219"/>
      <c r="E259" s="219"/>
      <c r="F259" s="219"/>
      <c r="G259" s="219"/>
      <c r="H259" s="219"/>
      <c r="I259" s="219"/>
    </row>
    <row r="260" spans="2:9" x14ac:dyDescent="0.25">
      <c r="B260" s="232"/>
      <c r="C260" s="219"/>
      <c r="D260" s="219"/>
      <c r="E260" s="219"/>
      <c r="F260" s="219"/>
      <c r="G260" s="219"/>
      <c r="H260" s="219"/>
      <c r="I260" s="219"/>
    </row>
    <row r="261" spans="2:9" x14ac:dyDescent="0.25">
      <c r="B261" s="232"/>
      <c r="C261" s="219"/>
      <c r="D261" s="219"/>
      <c r="E261" s="219"/>
      <c r="F261" s="219"/>
      <c r="G261" s="219"/>
      <c r="H261" s="219"/>
      <c r="I261" s="219"/>
    </row>
    <row r="262" spans="2:9" x14ac:dyDescent="0.25">
      <c r="B262" s="232"/>
      <c r="C262" s="219"/>
      <c r="D262" s="219"/>
      <c r="E262" s="219"/>
      <c r="F262" s="219"/>
      <c r="G262" s="219"/>
      <c r="H262" s="219"/>
      <c r="I262" s="219"/>
    </row>
    <row r="263" spans="2:9" x14ac:dyDescent="0.25">
      <c r="B263" s="232"/>
      <c r="C263" s="219"/>
      <c r="D263" s="219"/>
      <c r="E263" s="219"/>
      <c r="F263" s="219"/>
      <c r="G263" s="219"/>
      <c r="H263" s="219"/>
      <c r="I263" s="219"/>
    </row>
    <row r="264" spans="2:9" x14ac:dyDescent="0.25">
      <c r="B264" s="232"/>
      <c r="C264" s="219"/>
      <c r="D264" s="219"/>
      <c r="E264" s="219"/>
      <c r="F264" s="219"/>
      <c r="G264" s="219"/>
      <c r="H264" s="219"/>
      <c r="I264" s="219"/>
    </row>
    <row r="265" spans="2:9" x14ac:dyDescent="0.25">
      <c r="B265" s="232"/>
      <c r="C265" s="219"/>
      <c r="D265" s="219"/>
      <c r="E265" s="219"/>
      <c r="F265" s="219"/>
      <c r="G265" s="219"/>
      <c r="H265" s="219"/>
      <c r="I265" s="219"/>
    </row>
    <row r="266" spans="2:9" x14ac:dyDescent="0.25">
      <c r="B266" s="232"/>
      <c r="C266" s="219"/>
      <c r="D266" s="219"/>
      <c r="E266" s="219"/>
      <c r="F266" s="219"/>
      <c r="G266" s="219"/>
      <c r="H266" s="219"/>
      <c r="I266" s="219"/>
    </row>
    <row r="267" spans="2:9" x14ac:dyDescent="0.25">
      <c r="B267" s="232"/>
      <c r="C267" s="219"/>
      <c r="D267" s="219"/>
      <c r="E267" s="219"/>
      <c r="F267" s="219"/>
      <c r="G267" s="219"/>
      <c r="H267" s="219"/>
      <c r="I267" s="219"/>
    </row>
    <row r="268" spans="2:9" x14ac:dyDescent="0.25">
      <c r="B268" s="232"/>
      <c r="C268" s="219"/>
      <c r="D268" s="219"/>
      <c r="E268" s="219"/>
      <c r="F268" s="219"/>
      <c r="G268" s="219"/>
      <c r="H268" s="219"/>
      <c r="I268" s="219"/>
    </row>
    <row r="269" spans="2:9" x14ac:dyDescent="0.25">
      <c r="B269" s="232"/>
      <c r="C269" s="219"/>
      <c r="D269" s="219"/>
      <c r="E269" s="219"/>
      <c r="F269" s="219"/>
      <c r="G269" s="219"/>
      <c r="H269" s="219"/>
      <c r="I269" s="219"/>
    </row>
    <row r="270" spans="2:9" x14ac:dyDescent="0.25">
      <c r="B270" s="232"/>
      <c r="C270" s="219"/>
      <c r="D270" s="219"/>
      <c r="E270" s="219"/>
      <c r="F270" s="219"/>
      <c r="G270" s="219"/>
      <c r="H270" s="219"/>
      <c r="I270" s="219"/>
    </row>
    <row r="271" spans="2:9" x14ac:dyDescent="0.25">
      <c r="B271" s="232"/>
      <c r="C271" s="219"/>
      <c r="D271" s="219"/>
      <c r="E271" s="219"/>
      <c r="F271" s="219"/>
      <c r="G271" s="219"/>
      <c r="H271" s="219"/>
      <c r="I271" s="219"/>
    </row>
    <row r="272" spans="2:9" x14ac:dyDescent="0.25">
      <c r="B272" s="232"/>
      <c r="C272" s="219"/>
      <c r="D272" s="219"/>
      <c r="E272" s="219"/>
      <c r="F272" s="219"/>
      <c r="G272" s="219"/>
      <c r="H272" s="219"/>
      <c r="I272" s="219"/>
    </row>
    <row r="273" spans="2:9" x14ac:dyDescent="0.25">
      <c r="B273" s="232"/>
      <c r="C273" s="219"/>
      <c r="D273" s="219"/>
      <c r="E273" s="219"/>
      <c r="F273" s="219"/>
      <c r="G273" s="219"/>
      <c r="H273" s="219"/>
      <c r="I273" s="219"/>
    </row>
    <row r="274" spans="2:9" x14ac:dyDescent="0.25">
      <c r="B274" s="232"/>
      <c r="C274" s="219"/>
      <c r="D274" s="219"/>
      <c r="E274" s="219"/>
      <c r="F274" s="219"/>
      <c r="G274" s="219"/>
      <c r="H274" s="219"/>
      <c r="I274" s="219"/>
    </row>
    <row r="275" spans="2:9" x14ac:dyDescent="0.25">
      <c r="B275" s="232"/>
      <c r="C275" s="219"/>
      <c r="D275" s="219"/>
      <c r="E275" s="219"/>
      <c r="F275" s="219"/>
      <c r="G275" s="219"/>
      <c r="H275" s="219"/>
      <c r="I275" s="219"/>
    </row>
    <row r="276" spans="2:9" x14ac:dyDescent="0.25">
      <c r="B276" s="232"/>
      <c r="C276" s="219"/>
      <c r="D276" s="219"/>
      <c r="E276" s="219"/>
      <c r="F276" s="219"/>
      <c r="G276" s="219"/>
      <c r="H276" s="219"/>
      <c r="I276" s="219"/>
    </row>
    <row r="277" spans="2:9" x14ac:dyDescent="0.25">
      <c r="B277" s="232"/>
      <c r="C277" s="219"/>
      <c r="D277" s="219"/>
      <c r="E277" s="219"/>
      <c r="F277" s="219"/>
      <c r="G277" s="219"/>
      <c r="H277" s="219"/>
      <c r="I277" s="219"/>
    </row>
    <row r="278" spans="2:9" x14ac:dyDescent="0.25">
      <c r="B278" s="232"/>
      <c r="C278" s="219"/>
      <c r="D278" s="219"/>
      <c r="E278" s="219"/>
      <c r="F278" s="219"/>
      <c r="G278" s="219"/>
      <c r="H278" s="219"/>
      <c r="I278" s="219"/>
    </row>
    <row r="279" spans="2:9" x14ac:dyDescent="0.25">
      <c r="B279" s="232"/>
      <c r="C279" s="219"/>
      <c r="D279" s="219"/>
      <c r="E279" s="219"/>
      <c r="F279" s="219"/>
      <c r="G279" s="219"/>
      <c r="H279" s="219"/>
      <c r="I279" s="219"/>
    </row>
    <row r="280" spans="2:9" x14ac:dyDescent="0.25">
      <c r="B280" s="232"/>
      <c r="C280" s="219"/>
      <c r="D280" s="219"/>
      <c r="E280" s="219"/>
      <c r="F280" s="219"/>
      <c r="G280" s="219"/>
      <c r="H280" s="219"/>
      <c r="I280" s="219"/>
    </row>
    <row r="281" spans="2:9" x14ac:dyDescent="0.25">
      <c r="B281" s="232"/>
      <c r="C281" s="219"/>
      <c r="D281" s="219"/>
      <c r="E281" s="219"/>
      <c r="F281" s="219"/>
      <c r="G281" s="219"/>
      <c r="H281" s="219"/>
      <c r="I281" s="219"/>
    </row>
    <row r="282" spans="2:9" x14ac:dyDescent="0.25">
      <c r="B282" s="232"/>
      <c r="C282" s="219"/>
      <c r="D282" s="219"/>
      <c r="E282" s="219"/>
      <c r="F282" s="219"/>
      <c r="G282" s="219"/>
      <c r="H282" s="219"/>
      <c r="I282" s="219"/>
    </row>
    <row r="283" spans="2:9" x14ac:dyDescent="0.25">
      <c r="B283" s="232"/>
      <c r="C283" s="219"/>
      <c r="D283" s="219"/>
      <c r="E283" s="219"/>
      <c r="F283" s="219"/>
      <c r="G283" s="219"/>
      <c r="H283" s="219"/>
      <c r="I283" s="219"/>
    </row>
    <row r="284" spans="2:9" x14ac:dyDescent="0.25">
      <c r="B284" s="232"/>
      <c r="C284" s="219"/>
      <c r="D284" s="219"/>
      <c r="E284" s="219"/>
      <c r="F284" s="219"/>
      <c r="G284" s="219"/>
      <c r="H284" s="219"/>
      <c r="I284" s="219"/>
    </row>
    <row r="285" spans="2:9" x14ac:dyDescent="0.25">
      <c r="B285" s="232"/>
      <c r="C285" s="219"/>
      <c r="D285" s="219"/>
      <c r="E285" s="219"/>
      <c r="F285" s="219"/>
      <c r="G285" s="219"/>
      <c r="H285" s="219"/>
      <c r="I285" s="219"/>
    </row>
    <row r="286" spans="2:9" x14ac:dyDescent="0.25">
      <c r="B286" s="232"/>
      <c r="C286" s="219"/>
      <c r="D286" s="219"/>
      <c r="E286" s="219"/>
      <c r="F286" s="219"/>
      <c r="G286" s="219"/>
      <c r="H286" s="219"/>
      <c r="I286" s="219"/>
    </row>
    <row r="287" spans="2:9" x14ac:dyDescent="0.25">
      <c r="B287" s="232"/>
      <c r="C287" s="219"/>
      <c r="D287" s="219"/>
      <c r="E287" s="219"/>
      <c r="F287" s="219"/>
      <c r="G287" s="219"/>
      <c r="H287" s="219"/>
      <c r="I287" s="219"/>
    </row>
    <row r="288" spans="2:9" x14ac:dyDescent="0.25">
      <c r="B288" s="232"/>
      <c r="C288" s="219"/>
      <c r="D288" s="219"/>
      <c r="E288" s="219"/>
      <c r="F288" s="219"/>
      <c r="G288" s="219"/>
      <c r="H288" s="219"/>
      <c r="I288" s="219"/>
    </row>
    <row r="289" spans="2:9" x14ac:dyDescent="0.25">
      <c r="B289" s="232"/>
      <c r="C289" s="219"/>
      <c r="D289" s="219"/>
      <c r="E289" s="219"/>
      <c r="F289" s="219"/>
      <c r="G289" s="219"/>
      <c r="H289" s="219"/>
      <c r="I289" s="219"/>
    </row>
    <row r="290" spans="2:9" x14ac:dyDescent="0.25">
      <c r="B290" s="232"/>
      <c r="C290" s="219"/>
      <c r="D290" s="219"/>
      <c r="E290" s="219"/>
      <c r="F290" s="219"/>
      <c r="G290" s="219"/>
      <c r="H290" s="219"/>
      <c r="I290" s="219"/>
    </row>
    <row r="291" spans="2:9" x14ac:dyDescent="0.25">
      <c r="B291" s="232"/>
      <c r="C291" s="219"/>
      <c r="D291" s="219"/>
      <c r="E291" s="219"/>
      <c r="F291" s="219"/>
      <c r="G291" s="219"/>
      <c r="H291" s="219"/>
      <c r="I291" s="219"/>
    </row>
    <row r="292" spans="2:9" x14ac:dyDescent="0.25">
      <c r="B292" s="232"/>
      <c r="C292" s="219"/>
      <c r="D292" s="219"/>
      <c r="E292" s="219"/>
      <c r="F292" s="219"/>
      <c r="G292" s="219"/>
      <c r="H292" s="219"/>
      <c r="I292" s="219"/>
    </row>
    <row r="293" spans="2:9" x14ac:dyDescent="0.25">
      <c r="B293" s="232"/>
      <c r="C293" s="219"/>
      <c r="D293" s="219"/>
      <c r="E293" s="219"/>
      <c r="F293" s="219"/>
      <c r="G293" s="219"/>
      <c r="H293" s="219"/>
      <c r="I293" s="219"/>
    </row>
    <row r="294" spans="2:9" x14ac:dyDescent="0.25">
      <c r="B294" s="232"/>
      <c r="C294" s="219"/>
      <c r="D294" s="219"/>
      <c r="E294" s="219"/>
      <c r="F294" s="219"/>
      <c r="G294" s="219"/>
      <c r="H294" s="219"/>
      <c r="I294" s="219"/>
    </row>
    <row r="295" spans="2:9" x14ac:dyDescent="0.25">
      <c r="B295" s="232"/>
      <c r="C295" s="219"/>
      <c r="D295" s="219"/>
      <c r="E295" s="219"/>
      <c r="F295" s="219"/>
      <c r="G295" s="219"/>
      <c r="H295" s="219"/>
      <c r="I295" s="219"/>
    </row>
    <row r="296" spans="2:9" x14ac:dyDescent="0.25">
      <c r="B296" s="232"/>
      <c r="C296" s="219"/>
      <c r="D296" s="219"/>
      <c r="E296" s="219"/>
      <c r="F296" s="219"/>
      <c r="G296" s="219"/>
      <c r="H296" s="219"/>
      <c r="I296" s="219"/>
    </row>
    <row r="297" spans="2:9" x14ac:dyDescent="0.25">
      <c r="B297" s="232"/>
      <c r="C297" s="219"/>
      <c r="D297" s="219"/>
      <c r="E297" s="219"/>
      <c r="F297" s="219"/>
      <c r="G297" s="219"/>
      <c r="H297" s="219"/>
      <c r="I297" s="219"/>
    </row>
    <row r="298" spans="2:9" x14ac:dyDescent="0.25">
      <c r="B298" s="232"/>
      <c r="C298" s="219"/>
      <c r="D298" s="219"/>
      <c r="E298" s="219"/>
      <c r="F298" s="219"/>
      <c r="G298" s="219"/>
      <c r="H298" s="219"/>
      <c r="I298" s="219"/>
    </row>
    <row r="299" spans="2:9" x14ac:dyDescent="0.25">
      <c r="B299" s="232"/>
      <c r="C299" s="219"/>
      <c r="D299" s="219"/>
      <c r="E299" s="219"/>
      <c r="F299" s="219"/>
      <c r="G299" s="219"/>
      <c r="H299" s="219"/>
      <c r="I299" s="219"/>
    </row>
    <row r="300" spans="2:9" x14ac:dyDescent="0.25">
      <c r="B300" s="232"/>
      <c r="C300" s="219"/>
      <c r="D300" s="219"/>
      <c r="E300" s="219"/>
      <c r="F300" s="219"/>
      <c r="G300" s="219"/>
      <c r="H300" s="219"/>
      <c r="I300" s="219"/>
    </row>
    <row r="301" spans="2:9" x14ac:dyDescent="0.25">
      <c r="B301" s="232"/>
      <c r="C301" s="219"/>
      <c r="D301" s="219"/>
      <c r="E301" s="219"/>
      <c r="F301" s="219"/>
      <c r="G301" s="219"/>
      <c r="H301" s="219"/>
      <c r="I301" s="219"/>
    </row>
    <row r="302" spans="2:9" x14ac:dyDescent="0.25">
      <c r="B302" s="232"/>
      <c r="C302" s="219"/>
      <c r="D302" s="219"/>
      <c r="E302" s="219"/>
      <c r="F302" s="219"/>
      <c r="G302" s="219"/>
      <c r="H302" s="219"/>
      <c r="I302" s="219"/>
    </row>
    <row r="303" spans="2:9" x14ac:dyDescent="0.25">
      <c r="B303" s="232"/>
      <c r="C303" s="219"/>
      <c r="D303" s="219"/>
      <c r="E303" s="219"/>
      <c r="F303" s="219"/>
      <c r="G303" s="219"/>
      <c r="H303" s="219"/>
      <c r="I303" s="219"/>
    </row>
    <row r="304" spans="2:9" x14ac:dyDescent="0.25">
      <c r="B304" s="232"/>
      <c r="C304" s="219"/>
      <c r="D304" s="219"/>
      <c r="E304" s="219"/>
      <c r="F304" s="219"/>
      <c r="G304" s="219"/>
      <c r="H304" s="219"/>
      <c r="I304" s="219"/>
    </row>
    <row r="305" spans="2:9" x14ac:dyDescent="0.25">
      <c r="B305" s="232"/>
      <c r="C305" s="219"/>
      <c r="D305" s="219"/>
      <c r="E305" s="219"/>
      <c r="F305" s="219"/>
      <c r="G305" s="219"/>
      <c r="H305" s="219"/>
      <c r="I305" s="219"/>
    </row>
    <row r="306" spans="2:9" x14ac:dyDescent="0.25">
      <c r="B306" s="232"/>
      <c r="C306" s="219"/>
      <c r="D306" s="219"/>
      <c r="E306" s="219"/>
      <c r="F306" s="219"/>
      <c r="G306" s="219"/>
      <c r="H306" s="219"/>
      <c r="I306" s="219"/>
    </row>
    <row r="307" spans="2:9" x14ac:dyDescent="0.25">
      <c r="B307" s="232"/>
      <c r="C307" s="219"/>
      <c r="D307" s="219"/>
      <c r="E307" s="219"/>
      <c r="F307" s="219"/>
      <c r="G307" s="219"/>
      <c r="H307" s="219"/>
      <c r="I307" s="219"/>
    </row>
    <row r="308" spans="2:9" x14ac:dyDescent="0.25">
      <c r="B308" s="232"/>
      <c r="C308" s="219"/>
      <c r="D308" s="219"/>
      <c r="E308" s="219"/>
      <c r="F308" s="219"/>
      <c r="G308" s="219"/>
      <c r="H308" s="219"/>
      <c r="I308" s="219"/>
    </row>
    <row r="309" spans="2:9" x14ac:dyDescent="0.25">
      <c r="B309" s="232"/>
      <c r="C309" s="219"/>
      <c r="D309" s="219"/>
      <c r="E309" s="219"/>
      <c r="F309" s="219"/>
      <c r="G309" s="219"/>
      <c r="H309" s="219"/>
      <c r="I309" s="219"/>
    </row>
    <row r="310" spans="2:9" x14ac:dyDescent="0.25">
      <c r="B310" s="232"/>
      <c r="C310" s="219"/>
      <c r="D310" s="219"/>
      <c r="E310" s="219"/>
      <c r="F310" s="219"/>
      <c r="G310" s="219"/>
      <c r="H310" s="219"/>
      <c r="I310" s="219"/>
    </row>
    <row r="311" spans="2:9" x14ac:dyDescent="0.25">
      <c r="B311" s="232"/>
      <c r="C311" s="219"/>
      <c r="D311" s="219"/>
      <c r="E311" s="219"/>
      <c r="F311" s="219"/>
      <c r="G311" s="219"/>
      <c r="H311" s="219"/>
      <c r="I311" s="219"/>
    </row>
    <row r="312" spans="2:9" x14ac:dyDescent="0.25">
      <c r="B312" s="232"/>
      <c r="C312" s="219"/>
      <c r="D312" s="219"/>
      <c r="E312" s="219"/>
      <c r="F312" s="219"/>
      <c r="G312" s="219"/>
      <c r="H312" s="219"/>
      <c r="I312" s="219"/>
    </row>
    <row r="313" spans="2:9" x14ac:dyDescent="0.25">
      <c r="B313" s="232"/>
      <c r="C313" s="219"/>
      <c r="D313" s="219"/>
      <c r="E313" s="219"/>
      <c r="F313" s="219"/>
      <c r="G313" s="219"/>
      <c r="H313" s="219"/>
      <c r="I313" s="219"/>
    </row>
    <row r="314" spans="2:9" x14ac:dyDescent="0.25">
      <c r="B314" s="232"/>
      <c r="C314" s="219"/>
      <c r="D314" s="219"/>
      <c r="E314" s="219"/>
      <c r="F314" s="219"/>
      <c r="G314" s="219"/>
      <c r="H314" s="219"/>
      <c r="I314" s="219"/>
    </row>
    <row r="315" spans="2:9" x14ac:dyDescent="0.25">
      <c r="B315" s="232"/>
      <c r="C315" s="219"/>
      <c r="D315" s="219"/>
      <c r="E315" s="219"/>
      <c r="F315" s="219"/>
      <c r="G315" s="219"/>
      <c r="H315" s="219"/>
      <c r="I315" s="219"/>
    </row>
    <row r="316" spans="2:9" x14ac:dyDescent="0.25">
      <c r="B316" s="232"/>
      <c r="C316" s="219"/>
      <c r="D316" s="219"/>
      <c r="E316" s="219"/>
      <c r="F316" s="219"/>
      <c r="G316" s="219"/>
      <c r="H316" s="219"/>
      <c r="I316" s="219"/>
    </row>
    <row r="317" spans="2:9" x14ac:dyDescent="0.25">
      <c r="B317" s="232"/>
      <c r="C317" s="219"/>
      <c r="D317" s="219"/>
      <c r="E317" s="219"/>
      <c r="F317" s="219"/>
      <c r="G317" s="219"/>
      <c r="H317" s="219"/>
      <c r="I317" s="219"/>
    </row>
    <row r="318" spans="2:9" x14ac:dyDescent="0.25">
      <c r="B318" s="232"/>
      <c r="C318" s="219"/>
      <c r="D318" s="219"/>
      <c r="E318" s="219"/>
      <c r="F318" s="219"/>
      <c r="G318" s="219"/>
      <c r="H318" s="219"/>
      <c r="I318" s="219"/>
    </row>
    <row r="319" spans="2:9" x14ac:dyDescent="0.25">
      <c r="B319" s="232"/>
      <c r="C319" s="219"/>
      <c r="D319" s="219"/>
      <c r="E319" s="219"/>
      <c r="F319" s="219"/>
      <c r="G319" s="219"/>
      <c r="H319" s="219"/>
      <c r="I319" s="219"/>
    </row>
    <row r="320" spans="2:9" x14ac:dyDescent="0.25">
      <c r="B320" s="232"/>
      <c r="C320" s="219"/>
      <c r="D320" s="219"/>
      <c r="E320" s="219"/>
      <c r="F320" s="219"/>
      <c r="G320" s="219"/>
      <c r="H320" s="219"/>
      <c r="I320" s="219"/>
    </row>
    <row r="321" spans="2:9" x14ac:dyDescent="0.25">
      <c r="B321" s="232"/>
      <c r="C321" s="219"/>
      <c r="D321" s="219"/>
      <c r="E321" s="219"/>
      <c r="F321" s="219"/>
      <c r="G321" s="219"/>
      <c r="H321" s="219"/>
      <c r="I321" s="219"/>
    </row>
    <row r="322" spans="2:9" x14ac:dyDescent="0.25">
      <c r="B322" s="232"/>
      <c r="C322" s="219"/>
      <c r="D322" s="219"/>
      <c r="E322" s="219"/>
      <c r="F322" s="219"/>
      <c r="G322" s="219"/>
      <c r="H322" s="219"/>
      <c r="I322" s="219"/>
    </row>
    <row r="323" spans="2:9" x14ac:dyDescent="0.25">
      <c r="B323" s="232"/>
      <c r="C323" s="219"/>
      <c r="D323" s="219"/>
      <c r="E323" s="219"/>
      <c r="F323" s="219"/>
      <c r="G323" s="219"/>
      <c r="H323" s="219"/>
      <c r="I323" s="219"/>
    </row>
    <row r="324" spans="2:9" x14ac:dyDescent="0.25">
      <c r="B324" s="232"/>
      <c r="C324" s="219"/>
      <c r="D324" s="219"/>
      <c r="E324" s="219"/>
      <c r="F324" s="219"/>
      <c r="G324" s="219"/>
      <c r="H324" s="219"/>
      <c r="I324" s="219"/>
    </row>
    <row r="325" spans="2:9" x14ac:dyDescent="0.25">
      <c r="B325" s="232"/>
      <c r="C325" s="219"/>
      <c r="D325" s="219"/>
      <c r="E325" s="219"/>
      <c r="F325" s="219"/>
      <c r="G325" s="219"/>
      <c r="H325" s="219"/>
      <c r="I325" s="219"/>
    </row>
    <row r="326" spans="2:9" x14ac:dyDescent="0.25">
      <c r="B326" s="232"/>
      <c r="C326" s="219"/>
      <c r="D326" s="219"/>
      <c r="E326" s="219"/>
      <c r="F326" s="219"/>
      <c r="G326" s="219"/>
      <c r="H326" s="219"/>
      <c r="I326" s="219"/>
    </row>
    <row r="327" spans="2:9" x14ac:dyDescent="0.25">
      <c r="B327" s="232"/>
      <c r="C327" s="219"/>
      <c r="D327" s="219"/>
      <c r="E327" s="219"/>
      <c r="F327" s="219"/>
      <c r="G327" s="219"/>
      <c r="H327" s="219"/>
      <c r="I327" s="219"/>
    </row>
    <row r="328" spans="2:9" x14ac:dyDescent="0.25">
      <c r="B328" s="232"/>
      <c r="C328" s="219"/>
      <c r="D328" s="219"/>
      <c r="E328" s="219"/>
      <c r="F328" s="219"/>
      <c r="G328" s="219"/>
      <c r="H328" s="219"/>
      <c r="I328" s="219"/>
    </row>
    <row r="329" spans="2:9" x14ac:dyDescent="0.25">
      <c r="B329" s="232"/>
      <c r="C329" s="219"/>
      <c r="D329" s="219"/>
      <c r="E329" s="219"/>
      <c r="F329" s="219"/>
      <c r="G329" s="219"/>
      <c r="H329" s="219"/>
      <c r="I329" s="219"/>
    </row>
    <row r="330" spans="2:9" x14ac:dyDescent="0.25">
      <c r="B330" s="232"/>
      <c r="C330" s="219"/>
      <c r="D330" s="219"/>
      <c r="E330" s="219"/>
      <c r="F330" s="219"/>
      <c r="G330" s="219"/>
      <c r="H330" s="219"/>
      <c r="I330" s="219"/>
    </row>
    <row r="331" spans="2:9" x14ac:dyDescent="0.25">
      <c r="B331" s="232"/>
      <c r="C331" s="219"/>
      <c r="D331" s="219"/>
      <c r="E331" s="219"/>
      <c r="F331" s="219"/>
      <c r="G331" s="219"/>
      <c r="H331" s="219"/>
      <c r="I331" s="219"/>
    </row>
    <row r="332" spans="2:9" x14ac:dyDescent="0.25">
      <c r="B332" s="232"/>
      <c r="C332" s="219"/>
      <c r="D332" s="219"/>
      <c r="E332" s="219"/>
      <c r="F332" s="219"/>
      <c r="G332" s="219"/>
      <c r="H332" s="219"/>
      <c r="I332" s="219"/>
    </row>
    <row r="333" spans="2:9" x14ac:dyDescent="0.25">
      <c r="B333" s="232"/>
      <c r="C333" s="219"/>
      <c r="D333" s="219"/>
      <c r="E333" s="219"/>
      <c r="F333" s="219"/>
      <c r="G333" s="219"/>
      <c r="H333" s="219"/>
      <c r="I333" s="219"/>
    </row>
    <row r="334" spans="2:9" x14ac:dyDescent="0.25">
      <c r="B334" s="232"/>
      <c r="C334" s="219"/>
      <c r="D334" s="219"/>
      <c r="E334" s="219"/>
      <c r="F334" s="219"/>
      <c r="G334" s="219"/>
      <c r="H334" s="219"/>
      <c r="I334" s="219"/>
    </row>
    <row r="335" spans="2:9" x14ac:dyDescent="0.25">
      <c r="B335" s="232"/>
      <c r="C335" s="219"/>
      <c r="D335" s="219"/>
      <c r="E335" s="219"/>
      <c r="F335" s="219"/>
      <c r="G335" s="219"/>
      <c r="H335" s="219"/>
      <c r="I335" s="219"/>
    </row>
    <row r="336" spans="2:9" x14ac:dyDescent="0.25">
      <c r="B336" s="232"/>
      <c r="C336" s="219"/>
      <c r="D336" s="219"/>
      <c r="E336" s="219"/>
      <c r="F336" s="219"/>
      <c r="G336" s="219"/>
      <c r="H336" s="219"/>
      <c r="I336" s="219"/>
    </row>
    <row r="337" spans="2:9" x14ac:dyDescent="0.25">
      <c r="B337" s="232"/>
      <c r="C337" s="219"/>
      <c r="D337" s="219"/>
      <c r="E337" s="219"/>
      <c r="F337" s="219"/>
      <c r="G337" s="219"/>
      <c r="H337" s="219"/>
      <c r="I337" s="219"/>
    </row>
    <row r="338" spans="2:9" x14ac:dyDescent="0.25">
      <c r="B338" s="232"/>
      <c r="C338" s="219"/>
      <c r="D338" s="219"/>
      <c r="E338" s="219"/>
      <c r="F338" s="219"/>
      <c r="G338" s="219"/>
      <c r="H338" s="219"/>
      <c r="I338" s="219"/>
    </row>
    <row r="339" spans="2:9" x14ac:dyDescent="0.25">
      <c r="B339" s="232"/>
      <c r="C339" s="219"/>
      <c r="D339" s="219"/>
      <c r="E339" s="219"/>
      <c r="F339" s="219"/>
      <c r="G339" s="219"/>
      <c r="H339" s="219"/>
      <c r="I339" s="219"/>
    </row>
    <row r="340" spans="2:9" x14ac:dyDescent="0.25">
      <c r="B340" s="232"/>
      <c r="C340" s="219"/>
      <c r="D340" s="219"/>
      <c r="E340" s="219"/>
      <c r="F340" s="219"/>
      <c r="G340" s="219"/>
      <c r="H340" s="219"/>
      <c r="I340" s="219"/>
    </row>
    <row r="341" spans="2:9" x14ac:dyDescent="0.25">
      <c r="B341" s="232"/>
      <c r="C341" s="219"/>
      <c r="D341" s="219"/>
      <c r="E341" s="219"/>
      <c r="F341" s="219"/>
      <c r="G341" s="219"/>
      <c r="H341" s="219"/>
      <c r="I341" s="219"/>
    </row>
    <row r="342" spans="2:9" x14ac:dyDescent="0.25">
      <c r="B342" s="232"/>
      <c r="C342" s="219"/>
      <c r="D342" s="219"/>
      <c r="E342" s="219"/>
      <c r="F342" s="219"/>
      <c r="G342" s="219"/>
      <c r="H342" s="219"/>
      <c r="I342" s="219"/>
    </row>
    <row r="343" spans="2:9" x14ac:dyDescent="0.25">
      <c r="B343" s="232"/>
      <c r="C343" s="219"/>
      <c r="D343" s="219"/>
      <c r="E343" s="219"/>
      <c r="F343" s="219"/>
      <c r="G343" s="219"/>
      <c r="H343" s="219"/>
      <c r="I343" s="219"/>
    </row>
    <row r="344" spans="2:9" x14ac:dyDescent="0.25">
      <c r="B344" s="232"/>
      <c r="C344" s="219"/>
      <c r="D344" s="219"/>
      <c r="E344" s="219"/>
      <c r="F344" s="219"/>
      <c r="G344" s="219"/>
      <c r="H344" s="219"/>
      <c r="I344" s="219"/>
    </row>
    <row r="345" spans="2:9" x14ac:dyDescent="0.25">
      <c r="B345" s="232"/>
    </row>
    <row r="346" spans="2:9" x14ac:dyDescent="0.25">
      <c r="B346" s="232"/>
    </row>
    <row r="347" spans="2:9" x14ac:dyDescent="0.25">
      <c r="B347" s="232"/>
    </row>
    <row r="348" spans="2:9" x14ac:dyDescent="0.25">
      <c r="B348" s="232"/>
    </row>
    <row r="349" spans="2:9" x14ac:dyDescent="0.25">
      <c r="B349" s="232"/>
    </row>
    <row r="350" spans="2:9" x14ac:dyDescent="0.25">
      <c r="B350" s="232"/>
    </row>
    <row r="351" spans="2:9" x14ac:dyDescent="0.25">
      <c r="B351" s="232"/>
    </row>
    <row r="352" spans="2:9" x14ac:dyDescent="0.25">
      <c r="B352" s="232"/>
    </row>
    <row r="353" spans="2:2" x14ac:dyDescent="0.25">
      <c r="B353" s="232"/>
    </row>
    <row r="354" spans="2:2" x14ac:dyDescent="0.25">
      <c r="B354" s="232"/>
    </row>
    <row r="355" spans="2:2" x14ac:dyDescent="0.25">
      <c r="B355" s="232"/>
    </row>
    <row r="356" spans="2:2" x14ac:dyDescent="0.25">
      <c r="B356" s="232"/>
    </row>
    <row r="357" spans="2:2" x14ac:dyDescent="0.25">
      <c r="B357" s="232"/>
    </row>
    <row r="358" spans="2:2" x14ac:dyDescent="0.25">
      <c r="B358" s="232"/>
    </row>
    <row r="359" spans="2:2" x14ac:dyDescent="0.25">
      <c r="B359" s="232"/>
    </row>
    <row r="360" spans="2:2" x14ac:dyDescent="0.25">
      <c r="B360" s="232"/>
    </row>
    <row r="361" spans="2:2" x14ac:dyDescent="0.25">
      <c r="B361" s="232"/>
    </row>
    <row r="362" spans="2:2" x14ac:dyDescent="0.25">
      <c r="B362" s="232"/>
    </row>
    <row r="363" spans="2:2" x14ac:dyDescent="0.25">
      <c r="B363" s="232"/>
    </row>
    <row r="364" spans="2:2" x14ac:dyDescent="0.25">
      <c r="B364" s="232"/>
    </row>
    <row r="365" spans="2:2" x14ac:dyDescent="0.25">
      <c r="B365" s="232"/>
    </row>
    <row r="366" spans="2:2" x14ac:dyDescent="0.25">
      <c r="B366" s="232"/>
    </row>
    <row r="367" spans="2:2" x14ac:dyDescent="0.25">
      <c r="B367" s="232"/>
    </row>
    <row r="368" spans="2:2" x14ac:dyDescent="0.25">
      <c r="B368" s="232"/>
    </row>
    <row r="369" spans="2:2" x14ac:dyDescent="0.25">
      <c r="B369" s="232"/>
    </row>
    <row r="370" spans="2:2" x14ac:dyDescent="0.25">
      <c r="B370" s="232"/>
    </row>
    <row r="371" spans="2:2" x14ac:dyDescent="0.25">
      <c r="B371" s="232"/>
    </row>
    <row r="372" spans="2:2" x14ac:dyDescent="0.25">
      <c r="B372" s="232"/>
    </row>
    <row r="373" spans="2:2" x14ac:dyDescent="0.25">
      <c r="B373" s="232"/>
    </row>
    <row r="374" spans="2:2" x14ac:dyDescent="0.25">
      <c r="B374" s="232"/>
    </row>
    <row r="375" spans="2:2" x14ac:dyDescent="0.25">
      <c r="B375" s="232"/>
    </row>
    <row r="376" spans="2:2" x14ac:dyDescent="0.25">
      <c r="B376" s="232"/>
    </row>
    <row r="377" spans="2:2" x14ac:dyDescent="0.25">
      <c r="B377" s="232"/>
    </row>
    <row r="378" spans="2:2" x14ac:dyDescent="0.25">
      <c r="B378" s="232"/>
    </row>
    <row r="379" spans="2:2" x14ac:dyDescent="0.25">
      <c r="B379" s="232"/>
    </row>
    <row r="380" spans="2:2" x14ac:dyDescent="0.25">
      <c r="B380" s="232"/>
    </row>
    <row r="381" spans="2:2" x14ac:dyDescent="0.25">
      <c r="B381" s="232"/>
    </row>
    <row r="382" spans="2:2" x14ac:dyDescent="0.25">
      <c r="B382" s="232"/>
    </row>
    <row r="383" spans="2:2" x14ac:dyDescent="0.25">
      <c r="B383" s="232"/>
    </row>
    <row r="384" spans="2:2" x14ac:dyDescent="0.25">
      <c r="B384" s="232"/>
    </row>
    <row r="385" spans="2:2" x14ac:dyDescent="0.25">
      <c r="B385" s="232"/>
    </row>
    <row r="386" spans="2:2" x14ac:dyDescent="0.25">
      <c r="B386" s="232"/>
    </row>
    <row r="387" spans="2:2" x14ac:dyDescent="0.25">
      <c r="B387" s="232"/>
    </row>
    <row r="388" spans="2:2" x14ac:dyDescent="0.25">
      <c r="B388" s="232"/>
    </row>
    <row r="389" spans="2:2" x14ac:dyDescent="0.25">
      <c r="B389" s="232"/>
    </row>
    <row r="390" spans="2:2" x14ac:dyDescent="0.25">
      <c r="B390" s="232"/>
    </row>
    <row r="391" spans="2:2" x14ac:dyDescent="0.25">
      <c r="B391" s="232"/>
    </row>
    <row r="392" spans="2:2" x14ac:dyDescent="0.25">
      <c r="B392" s="232"/>
    </row>
    <row r="393" spans="2:2" x14ac:dyDescent="0.25">
      <c r="B393" s="232"/>
    </row>
    <row r="394" spans="2:2" x14ac:dyDescent="0.25">
      <c r="B394" s="232"/>
    </row>
    <row r="395" spans="2:2" x14ac:dyDescent="0.25">
      <c r="B395" s="232"/>
    </row>
    <row r="396" spans="2:2" x14ac:dyDescent="0.25">
      <c r="B396" s="232"/>
    </row>
    <row r="397" spans="2:2" x14ac:dyDescent="0.25">
      <c r="B397" s="232"/>
    </row>
    <row r="398" spans="2:2" x14ac:dyDescent="0.25">
      <c r="B398" s="232"/>
    </row>
    <row r="399" spans="2:2" x14ac:dyDescent="0.25">
      <c r="B399" s="232"/>
    </row>
    <row r="400" spans="2:2" x14ac:dyDescent="0.25">
      <c r="B400" s="232"/>
    </row>
    <row r="401" spans="2:2" x14ac:dyDescent="0.25">
      <c r="B401" s="232"/>
    </row>
    <row r="402" spans="2:2" x14ac:dyDescent="0.25">
      <c r="B402" s="232"/>
    </row>
    <row r="403" spans="2:2" x14ac:dyDescent="0.25">
      <c r="B403" s="232"/>
    </row>
    <row r="404" spans="2:2" x14ac:dyDescent="0.25">
      <c r="B404" s="232"/>
    </row>
    <row r="405" spans="2:2" x14ac:dyDescent="0.25">
      <c r="B405" s="232"/>
    </row>
    <row r="406" spans="2:2" x14ac:dyDescent="0.25">
      <c r="B406" s="232"/>
    </row>
    <row r="407" spans="2:2" x14ac:dyDescent="0.25">
      <c r="B407" s="232"/>
    </row>
    <row r="408" spans="2:2" x14ac:dyDescent="0.25">
      <c r="B408" s="232"/>
    </row>
    <row r="409" spans="2:2" x14ac:dyDescent="0.25">
      <c r="B409" s="232"/>
    </row>
    <row r="410" spans="2:2" x14ac:dyDescent="0.25">
      <c r="B410" s="232"/>
    </row>
    <row r="411" spans="2:2" x14ac:dyDescent="0.25">
      <c r="B411" s="232"/>
    </row>
    <row r="412" spans="2:2" x14ac:dyDescent="0.25">
      <c r="B412" s="232"/>
    </row>
    <row r="413" spans="2:2" x14ac:dyDescent="0.25">
      <c r="B413" s="232"/>
    </row>
    <row r="414" spans="2:2" x14ac:dyDescent="0.25">
      <c r="B414" s="232"/>
    </row>
    <row r="415" spans="2:2" x14ac:dyDescent="0.25">
      <c r="B415" s="232"/>
    </row>
    <row r="416" spans="2:2" x14ac:dyDescent="0.25">
      <c r="B416" s="232"/>
    </row>
    <row r="417" spans="2:2" x14ac:dyDescent="0.25">
      <c r="B417" s="232"/>
    </row>
    <row r="418" spans="2:2" x14ac:dyDescent="0.25">
      <c r="B418" s="232"/>
    </row>
    <row r="419" spans="2:2" x14ac:dyDescent="0.25">
      <c r="B419" s="232"/>
    </row>
    <row r="420" spans="2:2" x14ac:dyDescent="0.25">
      <c r="B420" s="232"/>
    </row>
    <row r="421" spans="2:2" x14ac:dyDescent="0.25">
      <c r="B421" s="232"/>
    </row>
    <row r="422" spans="2:2" x14ac:dyDescent="0.25">
      <c r="B422" s="232"/>
    </row>
    <row r="423" spans="2:2" x14ac:dyDescent="0.25">
      <c r="B423" s="232"/>
    </row>
    <row r="424" spans="2:2" x14ac:dyDescent="0.25">
      <c r="B424" s="232"/>
    </row>
    <row r="425" spans="2:2" x14ac:dyDescent="0.25">
      <c r="B425" s="232"/>
    </row>
    <row r="426" spans="2:2" x14ac:dyDescent="0.25">
      <c r="B426" s="232"/>
    </row>
    <row r="427" spans="2:2" x14ac:dyDescent="0.25">
      <c r="B427" s="232"/>
    </row>
    <row r="428" spans="2:2" x14ac:dyDescent="0.25">
      <c r="B428" s="232"/>
    </row>
    <row r="429" spans="2:2" x14ac:dyDescent="0.25">
      <c r="B429" s="232"/>
    </row>
    <row r="430" spans="2:2" x14ac:dyDescent="0.25">
      <c r="B430" s="232"/>
    </row>
    <row r="431" spans="2:2" x14ac:dyDescent="0.25">
      <c r="B431" s="232"/>
    </row>
    <row r="432" spans="2:2" x14ac:dyDescent="0.25">
      <c r="B432" s="232"/>
    </row>
    <row r="433" spans="2:2" x14ac:dyDescent="0.25">
      <c r="B433" s="232"/>
    </row>
    <row r="434" spans="2:2" x14ac:dyDescent="0.25">
      <c r="B434" s="232"/>
    </row>
    <row r="435" spans="2:2" x14ac:dyDescent="0.25">
      <c r="B435" s="232"/>
    </row>
    <row r="436" spans="2:2" x14ac:dyDescent="0.25">
      <c r="B436" s="232"/>
    </row>
    <row r="437" spans="2:2" x14ac:dyDescent="0.25">
      <c r="B437" s="232"/>
    </row>
    <row r="438" spans="2:2" x14ac:dyDescent="0.25">
      <c r="B438" s="232"/>
    </row>
    <row r="439" spans="2:2" x14ac:dyDescent="0.25">
      <c r="B439" s="232"/>
    </row>
    <row r="440" spans="2:2" x14ac:dyDescent="0.25">
      <c r="B440" s="232"/>
    </row>
    <row r="441" spans="2:2" x14ac:dyDescent="0.25">
      <c r="B441" s="232"/>
    </row>
    <row r="442" spans="2:2" x14ac:dyDescent="0.25">
      <c r="B442" s="232"/>
    </row>
    <row r="443" spans="2:2" x14ac:dyDescent="0.25">
      <c r="B443" s="232"/>
    </row>
    <row r="444" spans="2:2" x14ac:dyDescent="0.25">
      <c r="B444" s="232"/>
    </row>
    <row r="445" spans="2:2" x14ac:dyDescent="0.25">
      <c r="B445" s="232"/>
    </row>
    <row r="446" spans="2:2" x14ac:dyDescent="0.25">
      <c r="B446" s="232"/>
    </row>
    <row r="447" spans="2:2" x14ac:dyDescent="0.25">
      <c r="B447" s="232"/>
    </row>
    <row r="448" spans="2:2" x14ac:dyDescent="0.25">
      <c r="B448" s="232"/>
    </row>
    <row r="449" spans="2:2" x14ac:dyDescent="0.25">
      <c r="B449" s="232"/>
    </row>
    <row r="450" spans="2:2" x14ac:dyDescent="0.25">
      <c r="B450" s="232"/>
    </row>
    <row r="451" spans="2:2" x14ac:dyDescent="0.25">
      <c r="B451" s="232"/>
    </row>
    <row r="452" spans="2:2" x14ac:dyDescent="0.25">
      <c r="B452" s="232"/>
    </row>
    <row r="453" spans="2:2" x14ac:dyDescent="0.25">
      <c r="B453" s="232"/>
    </row>
    <row r="454" spans="2:2" x14ac:dyDescent="0.25">
      <c r="B454" s="232"/>
    </row>
    <row r="455" spans="2:2" x14ac:dyDescent="0.25">
      <c r="B455" s="232"/>
    </row>
    <row r="456" spans="2:2" x14ac:dyDescent="0.25">
      <c r="B456" s="232"/>
    </row>
    <row r="457" spans="2:2" x14ac:dyDescent="0.25">
      <c r="B457" s="232"/>
    </row>
    <row r="458" spans="2:2" x14ac:dyDescent="0.25">
      <c r="B458" s="232"/>
    </row>
    <row r="459" spans="2:2" x14ac:dyDescent="0.25">
      <c r="B459" s="232"/>
    </row>
    <row r="460" spans="2:2" x14ac:dyDescent="0.25">
      <c r="B460" s="232"/>
    </row>
    <row r="461" spans="2:2" x14ac:dyDescent="0.25">
      <c r="B461" s="232"/>
    </row>
    <row r="462" spans="2:2" x14ac:dyDescent="0.25">
      <c r="B462" s="232"/>
    </row>
    <row r="463" spans="2:2" x14ac:dyDescent="0.25">
      <c r="B463" s="232"/>
    </row>
    <row r="464" spans="2:2" x14ac:dyDescent="0.25">
      <c r="B464" s="232"/>
    </row>
    <row r="465" spans="2:2" x14ac:dyDescent="0.25">
      <c r="B465" s="232"/>
    </row>
    <row r="466" spans="2:2" x14ac:dyDescent="0.25">
      <c r="B466" s="232"/>
    </row>
    <row r="467" spans="2:2" x14ac:dyDescent="0.25">
      <c r="B467" s="232"/>
    </row>
    <row r="468" spans="2:2" x14ac:dyDescent="0.25">
      <c r="B468" s="232"/>
    </row>
    <row r="469" spans="2:2" x14ac:dyDescent="0.25">
      <c r="B469" s="232"/>
    </row>
    <row r="470" spans="2:2" x14ac:dyDescent="0.25">
      <c r="B470" s="232"/>
    </row>
    <row r="471" spans="2:2" x14ac:dyDescent="0.25">
      <c r="B471" s="232"/>
    </row>
    <row r="472" spans="2:2" x14ac:dyDescent="0.25">
      <c r="B472" s="232"/>
    </row>
    <row r="473" spans="2:2" x14ac:dyDescent="0.25">
      <c r="B473" s="232"/>
    </row>
    <row r="474" spans="2:2" x14ac:dyDescent="0.25">
      <c r="B474" s="232"/>
    </row>
    <row r="475" spans="2:2" x14ac:dyDescent="0.25">
      <c r="B475" s="232"/>
    </row>
    <row r="476" spans="2:2" x14ac:dyDescent="0.25">
      <c r="B476" s="232"/>
    </row>
    <row r="477" spans="2:2" x14ac:dyDescent="0.25">
      <c r="B477" s="232"/>
    </row>
    <row r="478" spans="2:2" x14ac:dyDescent="0.25">
      <c r="B478" s="232"/>
    </row>
    <row r="479" spans="2:2" x14ac:dyDescent="0.25">
      <c r="B479" s="232"/>
    </row>
    <row r="480" spans="2:2" x14ac:dyDescent="0.25">
      <c r="B480" s="232"/>
    </row>
    <row r="481" spans="2:2" x14ac:dyDescent="0.25">
      <c r="B481" s="232"/>
    </row>
    <row r="482" spans="2:2" x14ac:dyDescent="0.25">
      <c r="B482" s="232"/>
    </row>
    <row r="483" spans="2:2" x14ac:dyDescent="0.25">
      <c r="B483" s="232"/>
    </row>
    <row r="484" spans="2:2" x14ac:dyDescent="0.25">
      <c r="B484" s="232"/>
    </row>
    <row r="485" spans="2:2" x14ac:dyDescent="0.25">
      <c r="B485" s="232"/>
    </row>
    <row r="486" spans="2:2" x14ac:dyDescent="0.25">
      <c r="B486" s="232"/>
    </row>
    <row r="487" spans="2:2" x14ac:dyDescent="0.25">
      <c r="B487" s="232"/>
    </row>
    <row r="488" spans="2:2" x14ac:dyDescent="0.25">
      <c r="B488" s="232"/>
    </row>
    <row r="489" spans="2:2" x14ac:dyDescent="0.25">
      <c r="B489" s="232"/>
    </row>
    <row r="490" spans="2:2" x14ac:dyDescent="0.25">
      <c r="B490" s="232"/>
    </row>
    <row r="491" spans="2:2" x14ac:dyDescent="0.25">
      <c r="B491" s="232"/>
    </row>
    <row r="492" spans="2:2" x14ac:dyDescent="0.25">
      <c r="B492" s="232"/>
    </row>
    <row r="493" spans="2:2" x14ac:dyDescent="0.25">
      <c r="B493" s="232"/>
    </row>
    <row r="494" spans="2:2" x14ac:dyDescent="0.25">
      <c r="B494" s="232"/>
    </row>
    <row r="495" spans="2:2" x14ac:dyDescent="0.25">
      <c r="B495" s="232"/>
    </row>
    <row r="496" spans="2:2" x14ac:dyDescent="0.25">
      <c r="B496" s="232"/>
    </row>
    <row r="497" spans="2:2" x14ac:dyDescent="0.25">
      <c r="B497" s="232"/>
    </row>
    <row r="498" spans="2:2" x14ac:dyDescent="0.25">
      <c r="B498" s="232"/>
    </row>
    <row r="499" spans="2:2" x14ac:dyDescent="0.25">
      <c r="B499" s="232"/>
    </row>
    <row r="500" spans="2:2" x14ac:dyDescent="0.25">
      <c r="B500" s="232"/>
    </row>
    <row r="501" spans="2:2" x14ac:dyDescent="0.25">
      <c r="B501" s="232"/>
    </row>
    <row r="502" spans="2:2" x14ac:dyDescent="0.25">
      <c r="B502" s="232"/>
    </row>
  </sheetData>
  <mergeCells count="4">
    <mergeCell ref="E7:F7"/>
    <mergeCell ref="G7:H7"/>
    <mergeCell ref="I7:J7"/>
    <mergeCell ref="C26:K2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Appendix 2-T Def Pils</vt:lpstr>
      <vt:lpstr>PILS CAL</vt:lpstr>
      <vt:lpstr>RRR</vt:lpstr>
      <vt:lpstr>PILS 2007</vt:lpstr>
      <vt:lpstr>Carry FW</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Chase, Mike</dc:creator>
  <cp:lastModifiedBy>Chase, Mike</cp:lastModifiedBy>
  <cp:lastPrinted>2012-09-12T15:16:57Z</cp:lastPrinted>
  <dcterms:created xsi:type="dcterms:W3CDTF">2012-09-12T14:33:50Z</dcterms:created>
  <dcterms:modified xsi:type="dcterms:W3CDTF">2012-12-28T19:44:42Z</dcterms:modified>
</cp:coreProperties>
</file>