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19020" windowHeight="9090"/>
  </bookViews>
  <sheets>
    <sheet name="Cover" sheetId="10" r:id="rId1"/>
    <sheet name="Rates" sheetId="1" r:id="rId2"/>
    <sheet name="Residential R1 Impact" sheetId="4" r:id="rId3"/>
    <sheet name="Residential R1 Impact Non-RPP" sheetId="13" r:id="rId4"/>
    <sheet name="Residential R1 Impact (2)" sheetId="12" r:id="rId5"/>
    <sheet name="Resident R1 Impact (2) Non-RPP" sheetId="14" r:id="rId6"/>
    <sheet name="Residential R2 Impact" sheetId="6" r:id="rId7"/>
    <sheet name="Residential R2 Impact No-RPP" sheetId="15" r:id="rId8"/>
    <sheet name="Residential R2 Impact Interval" sheetId="7" r:id="rId9"/>
    <sheet name="Res R2 Impact Interval Non-RPP" sheetId="16" r:id="rId10"/>
    <sheet name="Seasonal Impact" sheetId="8" r:id="rId11"/>
    <sheet name="Seasonal Impact Non-RPP" sheetId="17" r:id="rId12"/>
    <sheet name="Street Light Impact" sheetId="9" r:id="rId13"/>
    <sheet name="Street Light Impact Non-RPP" sheetId="18" r:id="rId14"/>
    <sheet name="Summary" sheetId="11" r:id="rId15"/>
  </sheets>
  <definedNames>
    <definedName name="_xlnm.Print_Area" localSheetId="10">'Seasonal Impact'!$A$1:$K$63</definedName>
    <definedName name="_xlnm.Print_Area" localSheetId="11">'Seasonal Impact Non-RPP'!$A$1:$K$63</definedName>
    <definedName name="_xlnm.Print_Area" localSheetId="12">'Street Light Impact'!$A$1:$K$54</definedName>
    <definedName name="_xlnm.Print_Area" localSheetId="13">'Street Light Impact Non-RPP'!$A$1:$K$54</definedName>
  </definedNames>
  <calcPr calcId="144525" iterate="1" calcOnSave="0"/>
</workbook>
</file>

<file path=xl/calcChain.xml><?xml version="1.0" encoding="utf-8"?>
<calcChain xmlns="http://schemas.openxmlformats.org/spreadsheetml/2006/main">
  <c r="A40" i="14" l="1"/>
  <c r="A41" i="14"/>
  <c r="D13" i="14"/>
  <c r="D12" i="14"/>
  <c r="B12" i="14"/>
  <c r="B13" i="14"/>
  <c r="A13" i="14"/>
  <c r="A12" i="14"/>
  <c r="A40" i="12"/>
  <c r="A41" i="12"/>
  <c r="D13" i="12"/>
  <c r="D12" i="12"/>
  <c r="B12" i="12"/>
  <c r="B13" i="12"/>
  <c r="A13" i="12"/>
  <c r="A12" i="12"/>
  <c r="B12" i="13"/>
  <c r="B13" i="13"/>
  <c r="D13" i="13"/>
  <c r="D12" i="13"/>
  <c r="A41" i="13"/>
  <c r="A40" i="13"/>
  <c r="A13" i="13"/>
  <c r="A12" i="13"/>
  <c r="A40" i="4"/>
  <c r="A41" i="4"/>
  <c r="D13" i="4"/>
  <c r="D12" i="4"/>
  <c r="B13" i="4"/>
  <c r="B12" i="4"/>
  <c r="A13" i="4"/>
  <c r="A12" i="4"/>
  <c r="F52" i="18" l="1"/>
  <c r="C52" i="18"/>
  <c r="F50" i="18"/>
  <c r="E50" i="18"/>
  <c r="C50" i="18"/>
  <c r="B50" i="18"/>
  <c r="E48" i="18"/>
  <c r="B48" i="18"/>
  <c r="F47" i="18"/>
  <c r="E47" i="18"/>
  <c r="C47" i="18"/>
  <c r="B47" i="18"/>
  <c r="B46" i="18"/>
  <c r="B45" i="18"/>
  <c r="B42" i="18"/>
  <c r="B41" i="18"/>
  <c r="E39" i="18"/>
  <c r="B39" i="18"/>
  <c r="E38" i="18"/>
  <c r="B38" i="18"/>
  <c r="E37" i="18"/>
  <c r="B37" i="18"/>
  <c r="E36" i="18"/>
  <c r="D36" i="18"/>
  <c r="B36" i="18"/>
  <c r="E35" i="18"/>
  <c r="B35" i="18"/>
  <c r="E34" i="18"/>
  <c r="B34" i="18"/>
  <c r="E33" i="18"/>
  <c r="B33" i="18"/>
  <c r="E32" i="18"/>
  <c r="B32" i="18"/>
  <c r="B31" i="18"/>
  <c r="E30" i="18"/>
  <c r="F28" i="18"/>
  <c r="C28" i="18"/>
  <c r="B28" i="18"/>
  <c r="F27" i="18"/>
  <c r="C27" i="18"/>
  <c r="B27" i="18"/>
  <c r="E23" i="18"/>
  <c r="H22" i="18"/>
  <c r="E42" i="18" s="1"/>
  <c r="D19" i="18"/>
  <c r="F48" i="18" s="1"/>
  <c r="C19" i="18"/>
  <c r="C48" i="18" s="1"/>
  <c r="B19" i="18"/>
  <c r="A19" i="18"/>
  <c r="A48" i="18" s="1"/>
  <c r="D18" i="18"/>
  <c r="C18" i="18"/>
  <c r="B18" i="18"/>
  <c r="A18" i="18"/>
  <c r="D17" i="18"/>
  <c r="F46" i="18" s="1"/>
  <c r="C17" i="18"/>
  <c r="C46" i="18" s="1"/>
  <c r="B17" i="18"/>
  <c r="A17" i="18"/>
  <c r="A46" i="18" s="1"/>
  <c r="D16" i="18"/>
  <c r="F45" i="18" s="1"/>
  <c r="C16" i="18"/>
  <c r="C45" i="18" s="1"/>
  <c r="B16" i="18"/>
  <c r="A16" i="18"/>
  <c r="A45" i="18" s="1"/>
  <c r="D15" i="18"/>
  <c r="F42" i="18" s="1"/>
  <c r="C15" i="18"/>
  <c r="C42" i="18" s="1"/>
  <c r="B15" i="18"/>
  <c r="A15" i="18"/>
  <c r="A42" i="18" s="1"/>
  <c r="D14" i="18"/>
  <c r="F41" i="18" s="1"/>
  <c r="C14" i="18"/>
  <c r="C41" i="18" s="1"/>
  <c r="B14" i="18"/>
  <c r="A14" i="18"/>
  <c r="A41" i="18" s="1"/>
  <c r="D13" i="18"/>
  <c r="F39" i="18" s="1"/>
  <c r="G39" i="18" s="1"/>
  <c r="C13" i="18"/>
  <c r="C39" i="18" s="1"/>
  <c r="B13" i="18"/>
  <c r="A13" i="18"/>
  <c r="A39" i="18" s="1"/>
  <c r="D12" i="18"/>
  <c r="F38" i="18" s="1"/>
  <c r="C12" i="18"/>
  <c r="C38" i="18" s="1"/>
  <c r="B12" i="18"/>
  <c r="A12" i="18"/>
  <c r="A38" i="18" s="1"/>
  <c r="D11" i="18"/>
  <c r="F37" i="18" s="1"/>
  <c r="G37" i="18" s="1"/>
  <c r="C11" i="18"/>
  <c r="C37" i="18" s="1"/>
  <c r="B11" i="18"/>
  <c r="A11" i="18"/>
  <c r="A37" i="18" s="1"/>
  <c r="D10" i="18"/>
  <c r="F36" i="18" s="1"/>
  <c r="C10" i="18"/>
  <c r="C36" i="18" s="1"/>
  <c r="B10" i="18"/>
  <c r="A10" i="18"/>
  <c r="A36" i="18" s="1"/>
  <c r="D9" i="18"/>
  <c r="F35" i="18" s="1"/>
  <c r="G35" i="18" s="1"/>
  <c r="C9" i="18"/>
  <c r="C35" i="18" s="1"/>
  <c r="B9" i="18"/>
  <c r="A9" i="18"/>
  <c r="A35" i="18" s="1"/>
  <c r="D8" i="18"/>
  <c r="F34" i="18" s="1"/>
  <c r="C8" i="18"/>
  <c r="C34" i="18" s="1"/>
  <c r="D34" i="18" s="1"/>
  <c r="B8" i="18"/>
  <c r="A8" i="18"/>
  <c r="A34" i="18" s="1"/>
  <c r="D7" i="18"/>
  <c r="F33" i="18" s="1"/>
  <c r="G33" i="18" s="1"/>
  <c r="C7" i="18"/>
  <c r="C33" i="18" s="1"/>
  <c r="B7" i="18"/>
  <c r="A7" i="18"/>
  <c r="A33" i="18" s="1"/>
  <c r="D6" i="18"/>
  <c r="F32" i="18" s="1"/>
  <c r="C6" i="18"/>
  <c r="C32" i="18" s="1"/>
  <c r="D32" i="18" s="1"/>
  <c r="B6" i="18"/>
  <c r="A6" i="18"/>
  <c r="A32" i="18" s="1"/>
  <c r="D5" i="18"/>
  <c r="F31" i="18" s="1"/>
  <c r="C5" i="18"/>
  <c r="C31" i="18" s="1"/>
  <c r="B5" i="18"/>
  <c r="A5" i="18"/>
  <c r="A31" i="18" s="1"/>
  <c r="D4" i="18"/>
  <c r="F30" i="18" s="1"/>
  <c r="C4" i="18"/>
  <c r="C30" i="18" s="1"/>
  <c r="D30" i="18" s="1"/>
  <c r="B4" i="18"/>
  <c r="A4" i="18"/>
  <c r="A30" i="18" s="1"/>
  <c r="D3" i="18"/>
  <c r="C3" i="18"/>
  <c r="B3" i="18"/>
  <c r="A3" i="18"/>
  <c r="A25" i="18" s="1"/>
  <c r="F58" i="17"/>
  <c r="C58" i="17"/>
  <c r="F56" i="17"/>
  <c r="E56" i="17"/>
  <c r="C56" i="17"/>
  <c r="B56" i="17"/>
  <c r="E54" i="17"/>
  <c r="B54" i="17"/>
  <c r="F53" i="17"/>
  <c r="E53" i="17"/>
  <c r="C53" i="17"/>
  <c r="B53" i="17"/>
  <c r="B52" i="17"/>
  <c r="B51" i="17"/>
  <c r="B48" i="17"/>
  <c r="D48" i="17" s="1"/>
  <c r="B47" i="17"/>
  <c r="E45" i="17"/>
  <c r="B45" i="17"/>
  <c r="E44" i="17"/>
  <c r="B44" i="17"/>
  <c r="E43" i="17"/>
  <c r="B43" i="17"/>
  <c r="E42" i="17"/>
  <c r="B42" i="17"/>
  <c r="E41" i="17"/>
  <c r="B41" i="17"/>
  <c r="E40" i="17"/>
  <c r="B40" i="17"/>
  <c r="E39" i="17"/>
  <c r="B39" i="17"/>
  <c r="E38" i="17"/>
  <c r="B38" i="17"/>
  <c r="E37" i="17"/>
  <c r="B37" i="17"/>
  <c r="E36" i="17"/>
  <c r="B36" i="17"/>
  <c r="E35" i="17"/>
  <c r="B35" i="17"/>
  <c r="B34" i="17"/>
  <c r="E34" i="17" s="1"/>
  <c r="E33" i="17"/>
  <c r="F31" i="17"/>
  <c r="C31" i="17"/>
  <c r="B31" i="17"/>
  <c r="F30" i="17"/>
  <c r="C30" i="17"/>
  <c r="B30" i="17"/>
  <c r="E26" i="17"/>
  <c r="H25" i="17"/>
  <c r="D22" i="17"/>
  <c r="F54" i="17" s="1"/>
  <c r="C22" i="17"/>
  <c r="C54" i="17" s="1"/>
  <c r="B22" i="17"/>
  <c r="A22" i="17"/>
  <c r="A54" i="17" s="1"/>
  <c r="D21" i="17"/>
  <c r="C21" i="17"/>
  <c r="B21" i="17"/>
  <c r="A21" i="17"/>
  <c r="D20" i="17"/>
  <c r="F52" i="17" s="1"/>
  <c r="C20" i="17"/>
  <c r="C52" i="17" s="1"/>
  <c r="B20" i="17"/>
  <c r="A20" i="17"/>
  <c r="A52" i="17" s="1"/>
  <c r="D19" i="17"/>
  <c r="F51" i="17" s="1"/>
  <c r="C19" i="17"/>
  <c r="C51" i="17" s="1"/>
  <c r="B19" i="17"/>
  <c r="A19" i="17"/>
  <c r="A51" i="17" s="1"/>
  <c r="D18" i="17"/>
  <c r="F48" i="17" s="1"/>
  <c r="C18" i="17"/>
  <c r="C48" i="17" s="1"/>
  <c r="B18" i="17"/>
  <c r="A18" i="17"/>
  <c r="A48" i="17" s="1"/>
  <c r="D17" i="17"/>
  <c r="F47" i="17" s="1"/>
  <c r="C17" i="17"/>
  <c r="C47" i="17" s="1"/>
  <c r="B17" i="17"/>
  <c r="A17" i="17"/>
  <c r="A47" i="17" s="1"/>
  <c r="D16" i="17"/>
  <c r="F45" i="17" s="1"/>
  <c r="G45" i="17" s="1"/>
  <c r="C16" i="17"/>
  <c r="C45" i="17" s="1"/>
  <c r="B16" i="17"/>
  <c r="A16" i="17"/>
  <c r="A45" i="17" s="1"/>
  <c r="D15" i="17"/>
  <c r="F44" i="17" s="1"/>
  <c r="C15" i="17"/>
  <c r="C44" i="17" s="1"/>
  <c r="B15" i="17"/>
  <c r="A15" i="17"/>
  <c r="A44" i="17" s="1"/>
  <c r="D14" i="17"/>
  <c r="F43" i="17" s="1"/>
  <c r="G43" i="17" s="1"/>
  <c r="C14" i="17"/>
  <c r="C43" i="17" s="1"/>
  <c r="B14" i="17"/>
  <c r="A14" i="17"/>
  <c r="A43" i="17" s="1"/>
  <c r="D13" i="17"/>
  <c r="F42" i="17" s="1"/>
  <c r="C13" i="17"/>
  <c r="C42" i="17" s="1"/>
  <c r="B13" i="17"/>
  <c r="A13" i="17"/>
  <c r="A42" i="17" s="1"/>
  <c r="D12" i="17"/>
  <c r="F41" i="17" s="1"/>
  <c r="C12" i="17"/>
  <c r="C41" i="17" s="1"/>
  <c r="B12" i="17"/>
  <c r="A12" i="17"/>
  <c r="A41" i="17" s="1"/>
  <c r="D11" i="17"/>
  <c r="F40" i="17" s="1"/>
  <c r="C11" i="17"/>
  <c r="C40" i="17" s="1"/>
  <c r="B11" i="17"/>
  <c r="A11" i="17"/>
  <c r="A40" i="17" s="1"/>
  <c r="D10" i="17"/>
  <c r="F39" i="17" s="1"/>
  <c r="G39" i="17" s="1"/>
  <c r="C10" i="17"/>
  <c r="C39" i="17" s="1"/>
  <c r="B10" i="17"/>
  <c r="A10" i="17"/>
  <c r="A39" i="17" s="1"/>
  <c r="D9" i="17"/>
  <c r="F38" i="17" s="1"/>
  <c r="C9" i="17"/>
  <c r="C38" i="17" s="1"/>
  <c r="B9" i="17"/>
  <c r="A9" i="17"/>
  <c r="A38" i="17" s="1"/>
  <c r="D8" i="17"/>
  <c r="F37" i="17" s="1"/>
  <c r="C8" i="17"/>
  <c r="C37" i="17" s="1"/>
  <c r="B8" i="17"/>
  <c r="A8" i="17"/>
  <c r="A37" i="17" s="1"/>
  <c r="D7" i="17"/>
  <c r="F36" i="17" s="1"/>
  <c r="C7" i="17"/>
  <c r="C36" i="17" s="1"/>
  <c r="B7" i="17"/>
  <c r="A7" i="17"/>
  <c r="A36" i="17" s="1"/>
  <c r="D6" i="17"/>
  <c r="F35" i="17" s="1"/>
  <c r="G35" i="17" s="1"/>
  <c r="C6" i="17"/>
  <c r="C35" i="17" s="1"/>
  <c r="B6" i="17"/>
  <c r="A6" i="17"/>
  <c r="A35" i="17" s="1"/>
  <c r="D5" i="17"/>
  <c r="F34" i="17" s="1"/>
  <c r="C5" i="17"/>
  <c r="C34" i="17" s="1"/>
  <c r="B5" i="17"/>
  <c r="A5" i="17"/>
  <c r="A34" i="17" s="1"/>
  <c r="D4" i="17"/>
  <c r="F33" i="17" s="1"/>
  <c r="C4" i="17"/>
  <c r="C33" i="17" s="1"/>
  <c r="D33" i="17" s="1"/>
  <c r="B4" i="17"/>
  <c r="A4" i="17"/>
  <c r="A33" i="17" s="1"/>
  <c r="D3" i="17"/>
  <c r="C3" i="17"/>
  <c r="B3" i="17"/>
  <c r="A3" i="17"/>
  <c r="A28" i="17" s="1"/>
  <c r="D10" i="6"/>
  <c r="D10" i="12"/>
  <c r="D10" i="4"/>
  <c r="F54" i="16"/>
  <c r="C54" i="16"/>
  <c r="F52" i="16"/>
  <c r="E52" i="16"/>
  <c r="C52" i="16"/>
  <c r="D52" i="16" s="1"/>
  <c r="B52" i="16"/>
  <c r="E50" i="16"/>
  <c r="B50" i="16"/>
  <c r="F49" i="16"/>
  <c r="E49" i="16"/>
  <c r="C49" i="16"/>
  <c r="B49" i="16"/>
  <c r="B48" i="16"/>
  <c r="B47" i="16"/>
  <c r="B44" i="16"/>
  <c r="B43" i="16"/>
  <c r="E41" i="16"/>
  <c r="B41" i="16"/>
  <c r="E40" i="16"/>
  <c r="B40" i="16"/>
  <c r="E39" i="16"/>
  <c r="B39" i="16"/>
  <c r="E38" i="16"/>
  <c r="B38" i="16"/>
  <c r="E37" i="16"/>
  <c r="B37" i="16"/>
  <c r="E36" i="16"/>
  <c r="B36" i="16"/>
  <c r="E35" i="16"/>
  <c r="B35" i="16"/>
  <c r="E34" i="16"/>
  <c r="B34" i="16"/>
  <c r="B33" i="16"/>
  <c r="E33" i="16" s="1"/>
  <c r="E32" i="16"/>
  <c r="F30" i="16"/>
  <c r="C30" i="16"/>
  <c r="B30" i="16"/>
  <c r="D30" i="16" s="1"/>
  <c r="F29" i="16"/>
  <c r="C29" i="16"/>
  <c r="B29" i="16"/>
  <c r="E25" i="16"/>
  <c r="H24" i="16"/>
  <c r="D21" i="16"/>
  <c r="F50" i="16" s="1"/>
  <c r="C21" i="16"/>
  <c r="C50" i="16" s="1"/>
  <c r="B21" i="16"/>
  <c r="A21" i="16"/>
  <c r="A50" i="16" s="1"/>
  <c r="D20" i="16"/>
  <c r="C20" i="16"/>
  <c r="B20" i="16"/>
  <c r="A20" i="16"/>
  <c r="D19" i="16"/>
  <c r="F48" i="16" s="1"/>
  <c r="C19" i="16"/>
  <c r="C48" i="16" s="1"/>
  <c r="B19" i="16"/>
  <c r="A19" i="16"/>
  <c r="A48" i="16" s="1"/>
  <c r="D18" i="16"/>
  <c r="F47" i="16" s="1"/>
  <c r="C18" i="16"/>
  <c r="C47" i="16" s="1"/>
  <c r="B18" i="16"/>
  <c r="A18" i="16"/>
  <c r="A47" i="16" s="1"/>
  <c r="D17" i="16"/>
  <c r="F44" i="16" s="1"/>
  <c r="C17" i="16"/>
  <c r="C44" i="16" s="1"/>
  <c r="B17" i="16"/>
  <c r="A17" i="16"/>
  <c r="A44" i="16" s="1"/>
  <c r="D16" i="16"/>
  <c r="F43" i="16" s="1"/>
  <c r="C16" i="16"/>
  <c r="C43" i="16" s="1"/>
  <c r="B16" i="16"/>
  <c r="A16" i="16"/>
  <c r="A43" i="16" s="1"/>
  <c r="D15" i="16"/>
  <c r="C15" i="16"/>
  <c r="B15" i="16"/>
  <c r="A15" i="16"/>
  <c r="D14" i="16"/>
  <c r="C14" i="16"/>
  <c r="B14" i="16"/>
  <c r="A14" i="16"/>
  <c r="D13" i="16"/>
  <c r="F41" i="16" s="1"/>
  <c r="C13" i="16"/>
  <c r="C41" i="16" s="1"/>
  <c r="D41" i="16" s="1"/>
  <c r="B13" i="16"/>
  <c r="A13" i="16"/>
  <c r="A41" i="16" s="1"/>
  <c r="D12" i="16"/>
  <c r="F40" i="16" s="1"/>
  <c r="G40" i="16" s="1"/>
  <c r="C12" i="16"/>
  <c r="C40" i="16" s="1"/>
  <c r="B12" i="16"/>
  <c r="A12" i="16"/>
  <c r="A40" i="16" s="1"/>
  <c r="D11" i="16"/>
  <c r="F39" i="16" s="1"/>
  <c r="C11" i="16"/>
  <c r="C39" i="16" s="1"/>
  <c r="B11" i="16"/>
  <c r="A11" i="16"/>
  <c r="A39" i="16" s="1"/>
  <c r="D10" i="16"/>
  <c r="F38" i="16" s="1"/>
  <c r="G38" i="16" s="1"/>
  <c r="C10" i="16"/>
  <c r="C38" i="16" s="1"/>
  <c r="B10" i="16"/>
  <c r="A10" i="16"/>
  <c r="A38" i="16" s="1"/>
  <c r="D9" i="16"/>
  <c r="F37" i="16" s="1"/>
  <c r="C9" i="16"/>
  <c r="C37" i="16" s="1"/>
  <c r="B9" i="16"/>
  <c r="A9" i="16"/>
  <c r="A37" i="16" s="1"/>
  <c r="D8" i="16"/>
  <c r="F36" i="16" s="1"/>
  <c r="G36" i="16" s="1"/>
  <c r="C8" i="16"/>
  <c r="C36" i="16" s="1"/>
  <c r="B8" i="16"/>
  <c r="A8" i="16"/>
  <c r="A36" i="16" s="1"/>
  <c r="D7" i="16"/>
  <c r="F35" i="16" s="1"/>
  <c r="C7" i="16"/>
  <c r="C35" i="16" s="1"/>
  <c r="B7" i="16"/>
  <c r="A7" i="16"/>
  <c r="A35" i="16" s="1"/>
  <c r="D6" i="16"/>
  <c r="F34" i="16" s="1"/>
  <c r="G34" i="16" s="1"/>
  <c r="C6" i="16"/>
  <c r="C34" i="16" s="1"/>
  <c r="B6" i="16"/>
  <c r="A6" i="16"/>
  <c r="A34" i="16" s="1"/>
  <c r="D5" i="16"/>
  <c r="F33" i="16" s="1"/>
  <c r="C5" i="16"/>
  <c r="C33" i="16" s="1"/>
  <c r="B5" i="16"/>
  <c r="A5" i="16"/>
  <c r="A33" i="16" s="1"/>
  <c r="D4" i="16"/>
  <c r="F32" i="16" s="1"/>
  <c r="G32" i="16" s="1"/>
  <c r="C4" i="16"/>
  <c r="C32" i="16" s="1"/>
  <c r="D32" i="16" s="1"/>
  <c r="B4" i="16"/>
  <c r="A4" i="16"/>
  <c r="A32" i="16" s="1"/>
  <c r="D3" i="16"/>
  <c r="C3" i="16"/>
  <c r="B3" i="16"/>
  <c r="A3" i="16"/>
  <c r="A27" i="16" s="1"/>
  <c r="F54" i="15"/>
  <c r="C54" i="15"/>
  <c r="F52" i="15"/>
  <c r="E52" i="15"/>
  <c r="C52" i="15"/>
  <c r="B52" i="15"/>
  <c r="D52" i="15" s="1"/>
  <c r="E50" i="15"/>
  <c r="B50" i="15"/>
  <c r="F49" i="15"/>
  <c r="E49" i="15"/>
  <c r="G49" i="15" s="1"/>
  <c r="D49" i="15"/>
  <c r="C49" i="15"/>
  <c r="B49" i="15"/>
  <c r="B48" i="15"/>
  <c r="B47" i="15"/>
  <c r="B44" i="15"/>
  <c r="B43" i="15"/>
  <c r="E41" i="15"/>
  <c r="B41" i="15"/>
  <c r="E40" i="15"/>
  <c r="B40" i="15"/>
  <c r="E39" i="15"/>
  <c r="B39" i="15"/>
  <c r="E38" i="15"/>
  <c r="B38" i="15"/>
  <c r="E37" i="15"/>
  <c r="B37" i="15"/>
  <c r="E36" i="15"/>
  <c r="B36" i="15"/>
  <c r="E35" i="15"/>
  <c r="B35" i="15"/>
  <c r="E34" i="15"/>
  <c r="B34" i="15"/>
  <c r="B33" i="15"/>
  <c r="E33" i="15" s="1"/>
  <c r="E32" i="15"/>
  <c r="F30" i="15"/>
  <c r="C30" i="15"/>
  <c r="B30" i="15"/>
  <c r="D30" i="15" s="1"/>
  <c r="F29" i="15"/>
  <c r="C29" i="15"/>
  <c r="B29" i="15"/>
  <c r="E25" i="15"/>
  <c r="H24" i="15"/>
  <c r="D21" i="15"/>
  <c r="F50" i="15" s="1"/>
  <c r="C21" i="15"/>
  <c r="C50" i="15" s="1"/>
  <c r="B21" i="15"/>
  <c r="A21" i="15"/>
  <c r="A50" i="15" s="1"/>
  <c r="D20" i="15"/>
  <c r="C20" i="15"/>
  <c r="B20" i="15"/>
  <c r="A20" i="15"/>
  <c r="D19" i="15"/>
  <c r="F48" i="15" s="1"/>
  <c r="C19" i="15"/>
  <c r="C48" i="15" s="1"/>
  <c r="B19" i="15"/>
  <c r="A19" i="15"/>
  <c r="A48" i="15" s="1"/>
  <c r="D18" i="15"/>
  <c r="F47" i="15" s="1"/>
  <c r="C18" i="15"/>
  <c r="C47" i="15" s="1"/>
  <c r="B18" i="15"/>
  <c r="A18" i="15"/>
  <c r="A47" i="15" s="1"/>
  <c r="D17" i="15"/>
  <c r="C17" i="15"/>
  <c r="B17" i="15"/>
  <c r="A17" i="15"/>
  <c r="D16" i="15"/>
  <c r="C16" i="15"/>
  <c r="B16" i="15"/>
  <c r="A16" i="15"/>
  <c r="D15" i="15"/>
  <c r="F44" i="15" s="1"/>
  <c r="C15" i="15"/>
  <c r="C44" i="15" s="1"/>
  <c r="B15" i="15"/>
  <c r="A15" i="15"/>
  <c r="A44" i="15" s="1"/>
  <c r="D14" i="15"/>
  <c r="F43" i="15" s="1"/>
  <c r="C14" i="15"/>
  <c r="C43" i="15" s="1"/>
  <c r="B14" i="15"/>
  <c r="A14" i="15"/>
  <c r="A43" i="15" s="1"/>
  <c r="D13" i="15"/>
  <c r="F41" i="15" s="1"/>
  <c r="C13" i="15"/>
  <c r="C41" i="15" s="1"/>
  <c r="D41" i="15" s="1"/>
  <c r="B13" i="15"/>
  <c r="A13" i="15"/>
  <c r="A41" i="15" s="1"/>
  <c r="D12" i="15"/>
  <c r="F40" i="15" s="1"/>
  <c r="G40" i="15" s="1"/>
  <c r="C12" i="15"/>
  <c r="C40" i="15" s="1"/>
  <c r="B12" i="15"/>
  <c r="A12" i="15"/>
  <c r="A40" i="15" s="1"/>
  <c r="D11" i="15"/>
  <c r="F39" i="15" s="1"/>
  <c r="C11" i="15"/>
  <c r="C39" i="15" s="1"/>
  <c r="B11" i="15"/>
  <c r="A11" i="15"/>
  <c r="A39" i="15" s="1"/>
  <c r="D10" i="15"/>
  <c r="F38" i="15" s="1"/>
  <c r="G38" i="15" s="1"/>
  <c r="C10" i="15"/>
  <c r="C38" i="15" s="1"/>
  <c r="B10" i="15"/>
  <c r="A10" i="15"/>
  <c r="A38" i="15" s="1"/>
  <c r="D9" i="15"/>
  <c r="F37" i="15" s="1"/>
  <c r="C9" i="15"/>
  <c r="C37" i="15" s="1"/>
  <c r="D37" i="15" s="1"/>
  <c r="B9" i="15"/>
  <c r="A9" i="15"/>
  <c r="A37" i="15" s="1"/>
  <c r="D8" i="15"/>
  <c r="F36" i="15" s="1"/>
  <c r="G36" i="15" s="1"/>
  <c r="C8" i="15"/>
  <c r="C36" i="15" s="1"/>
  <c r="B8" i="15"/>
  <c r="A8" i="15"/>
  <c r="A36" i="15" s="1"/>
  <c r="D7" i="15"/>
  <c r="F35" i="15" s="1"/>
  <c r="C7" i="15"/>
  <c r="C35" i="15" s="1"/>
  <c r="B7" i="15"/>
  <c r="A7" i="15"/>
  <c r="A35" i="15" s="1"/>
  <c r="D6" i="15"/>
  <c r="F34" i="15" s="1"/>
  <c r="G34" i="15" s="1"/>
  <c r="C6" i="15"/>
  <c r="C34" i="15" s="1"/>
  <c r="B6" i="15"/>
  <c r="A6" i="15"/>
  <c r="A34" i="15" s="1"/>
  <c r="D5" i="15"/>
  <c r="F33" i="15" s="1"/>
  <c r="C5" i="15"/>
  <c r="C33" i="15" s="1"/>
  <c r="B5" i="15"/>
  <c r="A5" i="15"/>
  <c r="A33" i="15" s="1"/>
  <c r="D4" i="15"/>
  <c r="F32" i="15" s="1"/>
  <c r="G32" i="15" s="1"/>
  <c r="C4" i="15"/>
  <c r="C32" i="15" s="1"/>
  <c r="D32" i="15" s="1"/>
  <c r="B4" i="15"/>
  <c r="A4" i="15"/>
  <c r="A32" i="15" s="1"/>
  <c r="D3" i="15"/>
  <c r="C3" i="15"/>
  <c r="B3" i="15"/>
  <c r="A3" i="15"/>
  <c r="A27" i="15" s="1"/>
  <c r="F56" i="14"/>
  <c r="C56" i="14"/>
  <c r="F54" i="14"/>
  <c r="E54" i="14"/>
  <c r="C54" i="14"/>
  <c r="B54" i="14"/>
  <c r="E52" i="14"/>
  <c r="B52" i="14"/>
  <c r="F51" i="14"/>
  <c r="E51" i="14"/>
  <c r="C51" i="14"/>
  <c r="B51" i="14"/>
  <c r="B50" i="14"/>
  <c r="B49" i="14"/>
  <c r="B46" i="14"/>
  <c r="B45" i="14"/>
  <c r="E43" i="14"/>
  <c r="B43" i="14"/>
  <c r="F42" i="14"/>
  <c r="E42" i="14"/>
  <c r="C42" i="14"/>
  <c r="B42" i="14"/>
  <c r="D42" i="14" s="1"/>
  <c r="G41" i="14"/>
  <c r="F41" i="14"/>
  <c r="E41" i="14"/>
  <c r="C41" i="14"/>
  <c r="B41" i="14"/>
  <c r="F40" i="14"/>
  <c r="E40" i="14"/>
  <c r="C40" i="14"/>
  <c r="D40" i="14" s="1"/>
  <c r="B40" i="14"/>
  <c r="E39" i="14"/>
  <c r="B39" i="14"/>
  <c r="E38" i="14"/>
  <c r="B38" i="14"/>
  <c r="E37" i="14"/>
  <c r="B37" i="14"/>
  <c r="E36" i="14"/>
  <c r="B36" i="14"/>
  <c r="E35" i="14"/>
  <c r="B35" i="14"/>
  <c r="E34" i="14"/>
  <c r="B34" i="14"/>
  <c r="B33" i="14"/>
  <c r="E33" i="14" s="1"/>
  <c r="E32" i="14"/>
  <c r="F30" i="14"/>
  <c r="C30" i="14"/>
  <c r="B30" i="14"/>
  <c r="F29" i="14"/>
  <c r="C29" i="14"/>
  <c r="B29" i="14"/>
  <c r="E25" i="14"/>
  <c r="H24" i="14"/>
  <c r="E30" i="14" s="1"/>
  <c r="D21" i="14"/>
  <c r="F52" i="14" s="1"/>
  <c r="C21" i="14"/>
  <c r="C52" i="14" s="1"/>
  <c r="B21" i="14"/>
  <c r="A21" i="14"/>
  <c r="A52" i="14" s="1"/>
  <c r="D20" i="14"/>
  <c r="C20" i="14"/>
  <c r="B20" i="14"/>
  <c r="A20" i="14"/>
  <c r="D19" i="14"/>
  <c r="F50" i="14" s="1"/>
  <c r="C19" i="14"/>
  <c r="C50" i="14" s="1"/>
  <c r="B19" i="14"/>
  <c r="A19" i="14"/>
  <c r="A50" i="14" s="1"/>
  <c r="D18" i="14"/>
  <c r="F49" i="14" s="1"/>
  <c r="C18" i="14"/>
  <c r="C49" i="14" s="1"/>
  <c r="B18" i="14"/>
  <c r="A18" i="14"/>
  <c r="A49" i="14" s="1"/>
  <c r="D17" i="14"/>
  <c r="F46" i="14" s="1"/>
  <c r="C17" i="14"/>
  <c r="C46" i="14" s="1"/>
  <c r="B17" i="14"/>
  <c r="A17" i="14"/>
  <c r="A46" i="14" s="1"/>
  <c r="D16" i="14"/>
  <c r="F45" i="14" s="1"/>
  <c r="C16" i="14"/>
  <c r="C45" i="14" s="1"/>
  <c r="B16" i="14"/>
  <c r="A16" i="14"/>
  <c r="A45" i="14" s="1"/>
  <c r="D15" i="14"/>
  <c r="F43" i="14" s="1"/>
  <c r="G43" i="14" s="1"/>
  <c r="C15" i="14"/>
  <c r="C43" i="14" s="1"/>
  <c r="D43" i="14" s="1"/>
  <c r="B15" i="14"/>
  <c r="A15" i="14"/>
  <c r="A43" i="14" s="1"/>
  <c r="D11" i="14"/>
  <c r="F39" i="14" s="1"/>
  <c r="C11" i="14"/>
  <c r="C39" i="14" s="1"/>
  <c r="D39" i="14" s="1"/>
  <c r="B11" i="14"/>
  <c r="A11" i="14"/>
  <c r="A39" i="14" s="1"/>
  <c r="D10" i="14"/>
  <c r="F38" i="14" s="1"/>
  <c r="G38" i="14" s="1"/>
  <c r="C10" i="14"/>
  <c r="C38" i="14" s="1"/>
  <c r="B10" i="14"/>
  <c r="A10" i="14"/>
  <c r="A38" i="14" s="1"/>
  <c r="D9" i="14"/>
  <c r="F37" i="14" s="1"/>
  <c r="C9" i="14"/>
  <c r="C37" i="14" s="1"/>
  <c r="D37" i="14" s="1"/>
  <c r="B9" i="14"/>
  <c r="A9" i="14"/>
  <c r="A37" i="14" s="1"/>
  <c r="D8" i="14"/>
  <c r="F36" i="14" s="1"/>
  <c r="G36" i="14" s="1"/>
  <c r="C8" i="14"/>
  <c r="C36" i="14" s="1"/>
  <c r="B8" i="14"/>
  <c r="A8" i="14"/>
  <c r="A36" i="14" s="1"/>
  <c r="D7" i="14"/>
  <c r="F35" i="14" s="1"/>
  <c r="C7" i="14"/>
  <c r="C35" i="14" s="1"/>
  <c r="D35" i="14" s="1"/>
  <c r="B7" i="14"/>
  <c r="A7" i="14"/>
  <c r="A35" i="14" s="1"/>
  <c r="D6" i="14"/>
  <c r="F34" i="14" s="1"/>
  <c r="G34" i="14" s="1"/>
  <c r="C6" i="14"/>
  <c r="C34" i="14" s="1"/>
  <c r="B6" i="14"/>
  <c r="A6" i="14"/>
  <c r="A34" i="14" s="1"/>
  <c r="D5" i="14"/>
  <c r="F33" i="14" s="1"/>
  <c r="C5" i="14"/>
  <c r="C33" i="14" s="1"/>
  <c r="D33" i="14" s="1"/>
  <c r="B5" i="14"/>
  <c r="A5" i="14"/>
  <c r="A33" i="14" s="1"/>
  <c r="D4" i="14"/>
  <c r="F32" i="14" s="1"/>
  <c r="G32" i="14" s="1"/>
  <c r="C4" i="14"/>
  <c r="C32" i="14" s="1"/>
  <c r="D32" i="14" s="1"/>
  <c r="B4" i="14"/>
  <c r="A4" i="14"/>
  <c r="A32" i="14" s="1"/>
  <c r="D3" i="14"/>
  <c r="C3" i="14"/>
  <c r="B3" i="14"/>
  <c r="A3" i="14"/>
  <c r="A27" i="14" s="1"/>
  <c r="F56" i="13"/>
  <c r="C56" i="13"/>
  <c r="F54" i="13"/>
  <c r="E54" i="13"/>
  <c r="C54" i="13"/>
  <c r="B54" i="13"/>
  <c r="E52" i="13"/>
  <c r="B52" i="13"/>
  <c r="F51" i="13"/>
  <c r="E51" i="13"/>
  <c r="C51" i="13"/>
  <c r="B51" i="13"/>
  <c r="B50" i="13"/>
  <c r="B49" i="13"/>
  <c r="D49" i="13" s="1"/>
  <c r="B46" i="13"/>
  <c r="B45" i="13"/>
  <c r="E43" i="13"/>
  <c r="B43" i="13"/>
  <c r="G42" i="13"/>
  <c r="F42" i="13"/>
  <c r="E42" i="13"/>
  <c r="C42" i="13"/>
  <c r="B42" i="13"/>
  <c r="F41" i="13"/>
  <c r="E41" i="13"/>
  <c r="D41" i="13"/>
  <c r="C41" i="13"/>
  <c r="B41" i="13"/>
  <c r="F40" i="13"/>
  <c r="E40" i="13"/>
  <c r="G40" i="13" s="1"/>
  <c r="C40" i="13"/>
  <c r="B40" i="13"/>
  <c r="E39" i="13"/>
  <c r="B39" i="13"/>
  <c r="E38" i="13"/>
  <c r="B38" i="13"/>
  <c r="E37" i="13"/>
  <c r="B37" i="13"/>
  <c r="E36" i="13"/>
  <c r="B36" i="13"/>
  <c r="E35" i="13"/>
  <c r="B35" i="13"/>
  <c r="E34" i="13"/>
  <c r="B34" i="13"/>
  <c r="B33" i="13"/>
  <c r="E33" i="13" s="1"/>
  <c r="E32" i="13"/>
  <c r="F30" i="13"/>
  <c r="C30" i="13"/>
  <c r="B30" i="13"/>
  <c r="F29" i="13"/>
  <c r="C29" i="13"/>
  <c r="B29" i="13"/>
  <c r="E25" i="13"/>
  <c r="H24" i="13"/>
  <c r="D21" i="13"/>
  <c r="F52" i="13" s="1"/>
  <c r="C21" i="13"/>
  <c r="C52" i="13" s="1"/>
  <c r="B21" i="13"/>
  <c r="A21" i="13"/>
  <c r="A52" i="13" s="1"/>
  <c r="D20" i="13"/>
  <c r="C20" i="13"/>
  <c r="B20" i="13"/>
  <c r="A20" i="13"/>
  <c r="D19" i="13"/>
  <c r="F50" i="13" s="1"/>
  <c r="C19" i="13"/>
  <c r="C50" i="13" s="1"/>
  <c r="B19" i="13"/>
  <c r="A19" i="13"/>
  <c r="A50" i="13" s="1"/>
  <c r="D18" i="13"/>
  <c r="F49" i="13" s="1"/>
  <c r="C18" i="13"/>
  <c r="C49" i="13" s="1"/>
  <c r="B18" i="13"/>
  <c r="A18" i="13"/>
  <c r="A49" i="13" s="1"/>
  <c r="D17" i="13"/>
  <c r="F46" i="13" s="1"/>
  <c r="C17" i="13"/>
  <c r="C46" i="13" s="1"/>
  <c r="B17" i="13"/>
  <c r="A17" i="13"/>
  <c r="A46" i="13" s="1"/>
  <c r="D16" i="13"/>
  <c r="F45" i="13" s="1"/>
  <c r="C16" i="13"/>
  <c r="C45" i="13" s="1"/>
  <c r="B16" i="13"/>
  <c r="A16" i="13"/>
  <c r="A45" i="13" s="1"/>
  <c r="D15" i="13"/>
  <c r="F43" i="13" s="1"/>
  <c r="C15" i="13"/>
  <c r="C43" i="13" s="1"/>
  <c r="B15" i="13"/>
  <c r="A15" i="13"/>
  <c r="A43" i="13" s="1"/>
  <c r="D11" i="13"/>
  <c r="F39" i="13" s="1"/>
  <c r="G39" i="13" s="1"/>
  <c r="C11" i="13"/>
  <c r="C39" i="13" s="1"/>
  <c r="B11" i="13"/>
  <c r="A11" i="13"/>
  <c r="A39" i="13" s="1"/>
  <c r="D10" i="13"/>
  <c r="F38" i="13" s="1"/>
  <c r="C10" i="13"/>
  <c r="C38" i="13" s="1"/>
  <c r="D38" i="13" s="1"/>
  <c r="B10" i="13"/>
  <c r="A10" i="13"/>
  <c r="A38" i="13" s="1"/>
  <c r="D9" i="13"/>
  <c r="F37" i="13" s="1"/>
  <c r="C9" i="13"/>
  <c r="C37" i="13" s="1"/>
  <c r="B9" i="13"/>
  <c r="A9" i="13"/>
  <c r="A37" i="13" s="1"/>
  <c r="D8" i="13"/>
  <c r="F36" i="13" s="1"/>
  <c r="C8" i="13"/>
  <c r="C36" i="13" s="1"/>
  <c r="B8" i="13"/>
  <c r="A8" i="13"/>
  <c r="A36" i="13" s="1"/>
  <c r="D7" i="13"/>
  <c r="F35" i="13" s="1"/>
  <c r="G35" i="13" s="1"/>
  <c r="C7" i="13"/>
  <c r="C35" i="13" s="1"/>
  <c r="B7" i="13"/>
  <c r="A7" i="13"/>
  <c r="A35" i="13" s="1"/>
  <c r="D6" i="13"/>
  <c r="F34" i="13" s="1"/>
  <c r="C6" i="13"/>
  <c r="C34" i="13" s="1"/>
  <c r="B6" i="13"/>
  <c r="A6" i="13"/>
  <c r="A34" i="13" s="1"/>
  <c r="D5" i="13"/>
  <c r="F33" i="13" s="1"/>
  <c r="C5" i="13"/>
  <c r="C33" i="13" s="1"/>
  <c r="B5" i="13"/>
  <c r="A5" i="13"/>
  <c r="A33" i="13" s="1"/>
  <c r="D4" i="13"/>
  <c r="F32" i="13" s="1"/>
  <c r="C4" i="13"/>
  <c r="C32" i="13" s="1"/>
  <c r="D32" i="13" s="1"/>
  <c r="B4" i="13"/>
  <c r="A4" i="13"/>
  <c r="A32" i="13" s="1"/>
  <c r="D3" i="13"/>
  <c r="C3" i="13"/>
  <c r="B3" i="13"/>
  <c r="A3" i="13"/>
  <c r="A27" i="13" s="1"/>
  <c r="G41" i="13" l="1"/>
  <c r="H41" i="13" s="1"/>
  <c r="I41" i="13" s="1"/>
  <c r="G52" i="13"/>
  <c r="D45" i="14"/>
  <c r="G50" i="18"/>
  <c r="D54" i="14"/>
  <c r="D44" i="15"/>
  <c r="D49" i="16"/>
  <c r="G52" i="16"/>
  <c r="D31" i="17"/>
  <c r="D45" i="17"/>
  <c r="D28" i="18"/>
  <c r="D50" i="18"/>
  <c r="D51" i="14"/>
  <c r="D46" i="13"/>
  <c r="D34" i="13"/>
  <c r="G52" i="15"/>
  <c r="D35" i="16"/>
  <c r="D37" i="16"/>
  <c r="D47" i="17"/>
  <c r="D54" i="17"/>
  <c r="D40" i="17"/>
  <c r="D56" i="17"/>
  <c r="D41" i="18"/>
  <c r="D48" i="18"/>
  <c r="G30" i="14"/>
  <c r="D48" i="15"/>
  <c r="G47" i="18"/>
  <c r="G51" i="13"/>
  <c r="G50" i="15"/>
  <c r="D44" i="16"/>
  <c r="D48" i="16"/>
  <c r="G49" i="16"/>
  <c r="D52" i="17"/>
  <c r="D36" i="17"/>
  <c r="D44" i="17"/>
  <c r="G32" i="13"/>
  <c r="H32" i="13" s="1"/>
  <c r="I32" i="13" s="1"/>
  <c r="D52" i="13"/>
  <c r="D54" i="13"/>
  <c r="D50" i="14"/>
  <c r="D29" i="14"/>
  <c r="G52" i="14"/>
  <c r="G50" i="16"/>
  <c r="G54" i="17"/>
  <c r="H54" i="17" s="1"/>
  <c r="I54" i="17" s="1"/>
  <c r="G42" i="18"/>
  <c r="D38" i="14"/>
  <c r="D46" i="14"/>
  <c r="D47" i="14" s="1"/>
  <c r="G33" i="15"/>
  <c r="G37" i="15"/>
  <c r="G41" i="16"/>
  <c r="G37" i="13"/>
  <c r="D42" i="13"/>
  <c r="H42" i="13" s="1"/>
  <c r="I42" i="13" s="1"/>
  <c r="D30" i="13"/>
  <c r="G33" i="13"/>
  <c r="D40" i="13"/>
  <c r="G43" i="13"/>
  <c r="D51" i="13"/>
  <c r="D30" i="14"/>
  <c r="D31" i="14" s="1"/>
  <c r="E45" i="14"/>
  <c r="G45" i="14" s="1"/>
  <c r="E46" i="14"/>
  <c r="G46" i="14" s="1"/>
  <c r="E49" i="14"/>
  <c r="G49" i="14" s="1"/>
  <c r="E50" i="14"/>
  <c r="G50" i="14" s="1"/>
  <c r="G54" i="14"/>
  <c r="D34" i="15"/>
  <c r="G35" i="15"/>
  <c r="D38" i="15"/>
  <c r="H38" i="15" s="1"/>
  <c r="I38" i="15" s="1"/>
  <c r="G39" i="15"/>
  <c r="D43" i="15"/>
  <c r="D45" i="15" s="1"/>
  <c r="D36" i="16"/>
  <c r="H36" i="16" s="1"/>
  <c r="I36" i="16" s="1"/>
  <c r="D38" i="16"/>
  <c r="H38" i="16" s="1"/>
  <c r="I38" i="16" s="1"/>
  <c r="G39" i="16"/>
  <c r="H39" i="16" s="1"/>
  <c r="I39" i="16" s="1"/>
  <c r="D43" i="16"/>
  <c r="D45" i="16" s="1"/>
  <c r="D38" i="17"/>
  <c r="D42" i="17"/>
  <c r="G44" i="17"/>
  <c r="H44" i="17" s="1"/>
  <c r="I44" i="17" s="1"/>
  <c r="G53" i="17"/>
  <c r="D38" i="18"/>
  <c r="D46" i="18"/>
  <c r="D33" i="18"/>
  <c r="H33" i="18" s="1"/>
  <c r="I33" i="18" s="1"/>
  <c r="D45" i="18"/>
  <c r="G48" i="18"/>
  <c r="H48" i="18" s="1"/>
  <c r="I48" i="18" s="1"/>
  <c r="D34" i="14"/>
  <c r="H34" i="14" s="1"/>
  <c r="I34" i="14" s="1"/>
  <c r="G35" i="16"/>
  <c r="G32" i="18"/>
  <c r="G34" i="18"/>
  <c r="H34" i="18" s="1"/>
  <c r="I34" i="18" s="1"/>
  <c r="D39" i="13"/>
  <c r="H39" i="13" s="1"/>
  <c r="I39" i="13" s="1"/>
  <c r="D29" i="13"/>
  <c r="D31" i="13" s="1"/>
  <c r="D35" i="13"/>
  <c r="D36" i="13"/>
  <c r="G38" i="13"/>
  <c r="G54" i="13"/>
  <c r="E29" i="14"/>
  <c r="G29" i="14" s="1"/>
  <c r="H29" i="14" s="1"/>
  <c r="I29" i="14" s="1"/>
  <c r="G40" i="14"/>
  <c r="H40" i="14" s="1"/>
  <c r="I40" i="14" s="1"/>
  <c r="G42" i="14"/>
  <c r="G51" i="14"/>
  <c r="D33" i="15"/>
  <c r="D35" i="15"/>
  <c r="H35" i="15" s="1"/>
  <c r="I35" i="15" s="1"/>
  <c r="D39" i="15"/>
  <c r="D47" i="15"/>
  <c r="D39" i="16"/>
  <c r="D47" i="16"/>
  <c r="D29" i="16"/>
  <c r="D31" i="16" s="1"/>
  <c r="G37" i="16"/>
  <c r="H37" i="16" s="1"/>
  <c r="I37" i="16" s="1"/>
  <c r="D50" i="16"/>
  <c r="D34" i="17"/>
  <c r="D37" i="17"/>
  <c r="G38" i="17"/>
  <c r="D41" i="17"/>
  <c r="G42" i="17"/>
  <c r="D53" i="17"/>
  <c r="D27" i="18"/>
  <c r="D39" i="18"/>
  <c r="H39" i="18" s="1"/>
  <c r="I39" i="18" s="1"/>
  <c r="D36" i="14"/>
  <c r="H36" i="14" s="1"/>
  <c r="I36" i="14" s="1"/>
  <c r="D49" i="14"/>
  <c r="G41" i="15"/>
  <c r="G33" i="16"/>
  <c r="D33" i="16"/>
  <c r="G33" i="17"/>
  <c r="D35" i="17"/>
  <c r="H35" i="17" s="1"/>
  <c r="I35" i="17" s="1"/>
  <c r="G36" i="17"/>
  <c r="G37" i="17"/>
  <c r="D39" i="17"/>
  <c r="H39" i="17" s="1"/>
  <c r="I39" i="17" s="1"/>
  <c r="G40" i="17"/>
  <c r="H40" i="17" s="1"/>
  <c r="I40" i="17" s="1"/>
  <c r="G41" i="17"/>
  <c r="D51" i="17"/>
  <c r="G56" i="17"/>
  <c r="H56" i="17" s="1"/>
  <c r="I56" i="17" s="1"/>
  <c r="G30" i="18"/>
  <c r="H30" i="18" s="1"/>
  <c r="I30" i="18" s="1"/>
  <c r="G36" i="18"/>
  <c r="H36" i="18" s="1"/>
  <c r="I36" i="18" s="1"/>
  <c r="G38" i="18"/>
  <c r="H38" i="18" s="1"/>
  <c r="I38" i="18" s="1"/>
  <c r="D29" i="18"/>
  <c r="H50" i="18"/>
  <c r="I50" i="18" s="1"/>
  <c r="E28" i="18"/>
  <c r="G28" i="18" s="1"/>
  <c r="E46" i="18"/>
  <c r="G46" i="18" s="1"/>
  <c r="E41" i="18"/>
  <c r="G41" i="18" s="1"/>
  <c r="E31" i="18"/>
  <c r="G31" i="18" s="1"/>
  <c r="D31" i="18"/>
  <c r="D35" i="18"/>
  <c r="H35" i="18" s="1"/>
  <c r="I35" i="18" s="1"/>
  <c r="E45" i="18"/>
  <c r="G45" i="18" s="1"/>
  <c r="E27" i="18"/>
  <c r="G27" i="18" s="1"/>
  <c r="H32" i="18"/>
  <c r="I32" i="18" s="1"/>
  <c r="D37" i="18"/>
  <c r="H37" i="18" s="1"/>
  <c r="I37" i="18" s="1"/>
  <c r="D42" i="18"/>
  <c r="D43" i="18" s="1"/>
  <c r="D47" i="18"/>
  <c r="E52" i="17"/>
  <c r="G52" i="17" s="1"/>
  <c r="E47" i="17"/>
  <c r="G47" i="17" s="1"/>
  <c r="E31" i="17"/>
  <c r="G31" i="17" s="1"/>
  <c r="E51" i="17"/>
  <c r="G51" i="17" s="1"/>
  <c r="E48" i="17"/>
  <c r="G48" i="17" s="1"/>
  <c r="H33" i="17"/>
  <c r="I33" i="17" s="1"/>
  <c r="E30" i="17"/>
  <c r="G30" i="17" s="1"/>
  <c r="D49" i="17"/>
  <c r="H36" i="17"/>
  <c r="I36" i="17" s="1"/>
  <c r="H38" i="17"/>
  <c r="I38" i="17" s="1"/>
  <c r="H45" i="17"/>
  <c r="I45" i="17" s="1"/>
  <c r="H53" i="17"/>
  <c r="I53" i="17" s="1"/>
  <c r="D30" i="17"/>
  <c r="D32" i="17" s="1"/>
  <c r="G34" i="17"/>
  <c r="D43" i="17"/>
  <c r="H43" i="17" s="1"/>
  <c r="I43" i="17" s="1"/>
  <c r="H32" i="16"/>
  <c r="I32" i="16" s="1"/>
  <c r="H52" i="16"/>
  <c r="I52" i="16" s="1"/>
  <c r="E47" i="16"/>
  <c r="G47" i="16" s="1"/>
  <c r="E44" i="16"/>
  <c r="G44" i="16" s="1"/>
  <c r="E30" i="16"/>
  <c r="G30" i="16" s="1"/>
  <c r="E48" i="16"/>
  <c r="G48" i="16" s="1"/>
  <c r="E43" i="16"/>
  <c r="G43" i="16" s="1"/>
  <c r="E29" i="16"/>
  <c r="G29" i="16" s="1"/>
  <c r="D51" i="16"/>
  <c r="D34" i="16"/>
  <c r="H34" i="16" s="1"/>
  <c r="I34" i="16" s="1"/>
  <c r="H35" i="16"/>
  <c r="I35" i="16" s="1"/>
  <c r="D40" i="16"/>
  <c r="H40" i="16" s="1"/>
  <c r="I40" i="16" s="1"/>
  <c r="H41" i="16"/>
  <c r="I41" i="16" s="1"/>
  <c r="E47" i="15"/>
  <c r="G47" i="15" s="1"/>
  <c r="E44" i="15"/>
  <c r="G44" i="15" s="1"/>
  <c r="E30" i="15"/>
  <c r="G30" i="15" s="1"/>
  <c r="E48" i="15"/>
  <c r="G48" i="15" s="1"/>
  <c r="E43" i="15"/>
  <c r="G43" i="15" s="1"/>
  <c r="H49" i="15"/>
  <c r="I49" i="15" s="1"/>
  <c r="H52" i="15"/>
  <c r="I52" i="15" s="1"/>
  <c r="E29" i="15"/>
  <c r="G29" i="15" s="1"/>
  <c r="H32" i="15"/>
  <c r="I32" i="15" s="1"/>
  <c r="D50" i="15"/>
  <c r="H50" i="15" s="1"/>
  <c r="I50" i="15" s="1"/>
  <c r="D29" i="15"/>
  <c r="D31" i="15" s="1"/>
  <c r="H34" i="15"/>
  <c r="I34" i="15" s="1"/>
  <c r="D36" i="15"/>
  <c r="H37" i="15"/>
  <c r="I37" i="15" s="1"/>
  <c r="D40" i="15"/>
  <c r="H40" i="15" s="1"/>
  <c r="I40" i="15" s="1"/>
  <c r="H41" i="15"/>
  <c r="I41" i="15" s="1"/>
  <c r="H32" i="14"/>
  <c r="I32" i="14" s="1"/>
  <c r="H38" i="14"/>
  <c r="I38" i="14" s="1"/>
  <c r="G33" i="14"/>
  <c r="G37" i="14"/>
  <c r="H54" i="14"/>
  <c r="I54" i="14" s="1"/>
  <c r="H43" i="14"/>
  <c r="I43" i="14" s="1"/>
  <c r="G31" i="14"/>
  <c r="H42" i="14"/>
  <c r="I42" i="14" s="1"/>
  <c r="H51" i="14"/>
  <c r="I51" i="14" s="1"/>
  <c r="G35" i="14"/>
  <c r="G39" i="14"/>
  <c r="D41" i="14"/>
  <c r="D52" i="14"/>
  <c r="H52" i="14" s="1"/>
  <c r="I52" i="14" s="1"/>
  <c r="H38" i="13"/>
  <c r="I38" i="13" s="1"/>
  <c r="E50" i="13"/>
  <c r="G50" i="13" s="1"/>
  <c r="E45" i="13"/>
  <c r="G45" i="13" s="1"/>
  <c r="E30" i="13"/>
  <c r="G30" i="13" s="1"/>
  <c r="E49" i="13"/>
  <c r="G49" i="13" s="1"/>
  <c r="E46" i="13"/>
  <c r="G46" i="13" s="1"/>
  <c r="E29" i="13"/>
  <c r="G29" i="13" s="1"/>
  <c r="H35" i="13"/>
  <c r="I35" i="13" s="1"/>
  <c r="H40" i="13"/>
  <c r="I40" i="13" s="1"/>
  <c r="D45" i="13"/>
  <c r="D47" i="13" s="1"/>
  <c r="D50" i="13"/>
  <c r="H52" i="13"/>
  <c r="I52" i="13" s="1"/>
  <c r="D33" i="13"/>
  <c r="G34" i="13"/>
  <c r="G44" i="13" s="1"/>
  <c r="G36" i="13"/>
  <c r="D37" i="13"/>
  <c r="H37" i="13" s="1"/>
  <c r="I37" i="13" s="1"/>
  <c r="D43" i="13"/>
  <c r="E38" i="9"/>
  <c r="B38" i="9"/>
  <c r="A12" i="9"/>
  <c r="A38" i="9" s="1"/>
  <c r="B12" i="9"/>
  <c r="C12" i="9"/>
  <c r="C38" i="9" s="1"/>
  <c r="D38" i="9" s="1"/>
  <c r="D12" i="9"/>
  <c r="F38" i="9" s="1"/>
  <c r="G38" i="9" s="1"/>
  <c r="C44" i="8"/>
  <c r="E44" i="8"/>
  <c r="E43" i="8"/>
  <c r="E42" i="8"/>
  <c r="B44" i="8"/>
  <c r="B43" i="8"/>
  <c r="B42" i="8"/>
  <c r="A13" i="8"/>
  <c r="A42" i="8" s="1"/>
  <c r="B13" i="8"/>
  <c r="C13" i="8"/>
  <c r="C42" i="8" s="1"/>
  <c r="D42" i="8" s="1"/>
  <c r="D13" i="8"/>
  <c r="F42" i="8" s="1"/>
  <c r="G42" i="8" s="1"/>
  <c r="A14" i="8"/>
  <c r="A43" i="8" s="1"/>
  <c r="B14" i="8"/>
  <c r="C14" i="8"/>
  <c r="C43" i="8" s="1"/>
  <c r="D43" i="8" s="1"/>
  <c r="D14" i="8"/>
  <c r="F43" i="8" s="1"/>
  <c r="G43" i="8" s="1"/>
  <c r="A15" i="8"/>
  <c r="A44" i="8" s="1"/>
  <c r="B15" i="8"/>
  <c r="C15" i="8"/>
  <c r="D15" i="8"/>
  <c r="F44" i="8" s="1"/>
  <c r="G44" i="8" s="1"/>
  <c r="E40" i="7"/>
  <c r="B40" i="7"/>
  <c r="E40" i="6"/>
  <c r="B40" i="6"/>
  <c r="B12" i="7"/>
  <c r="C12" i="7"/>
  <c r="C40" i="7" s="1"/>
  <c r="D40" i="7" s="1"/>
  <c r="D12" i="7"/>
  <c r="F40" i="7" s="1"/>
  <c r="G40" i="7" s="1"/>
  <c r="A12" i="7"/>
  <c r="A40" i="7" s="1"/>
  <c r="C12" i="6"/>
  <c r="C40" i="6" s="1"/>
  <c r="D40" i="6" s="1"/>
  <c r="D12" i="6"/>
  <c r="F40" i="6" s="1"/>
  <c r="B12" i="6"/>
  <c r="A12" i="6"/>
  <c r="A40" i="6" s="1"/>
  <c r="F41" i="12"/>
  <c r="C40" i="12"/>
  <c r="E42" i="12"/>
  <c r="E41" i="12"/>
  <c r="E40" i="12"/>
  <c r="B42" i="12"/>
  <c r="B41" i="12"/>
  <c r="B40" i="12"/>
  <c r="F41" i="4"/>
  <c r="F42" i="4"/>
  <c r="C42" i="4"/>
  <c r="E42" i="4"/>
  <c r="E41" i="4"/>
  <c r="E40" i="4"/>
  <c r="B42" i="4"/>
  <c r="B41" i="4"/>
  <c r="B40" i="4"/>
  <c r="F40" i="12"/>
  <c r="G40" i="12" s="1"/>
  <c r="C41" i="12"/>
  <c r="D41" i="12" s="1"/>
  <c r="C42" i="12"/>
  <c r="D42" i="12" s="1"/>
  <c r="F42" i="12"/>
  <c r="G42" i="12" s="1"/>
  <c r="F40" i="4"/>
  <c r="G40" i="4" s="1"/>
  <c r="C40" i="4"/>
  <c r="D40" i="4" s="1"/>
  <c r="C41" i="4"/>
  <c r="D41" i="4" s="1"/>
  <c r="E37" i="9"/>
  <c r="E36" i="9"/>
  <c r="B37" i="9"/>
  <c r="B36" i="9"/>
  <c r="A19" i="9"/>
  <c r="A17" i="9"/>
  <c r="A16" i="9"/>
  <c r="A15" i="9"/>
  <c r="A14" i="9"/>
  <c r="A13" i="9"/>
  <c r="A11" i="9"/>
  <c r="A37" i="9" s="1"/>
  <c r="A10" i="9"/>
  <c r="A36" i="9" s="1"/>
  <c r="A9" i="9"/>
  <c r="A8" i="9"/>
  <c r="E40" i="8"/>
  <c r="E39" i="8"/>
  <c r="B40" i="8"/>
  <c r="B39" i="8"/>
  <c r="E39" i="7"/>
  <c r="E38" i="7"/>
  <c r="B39" i="7"/>
  <c r="B38" i="7"/>
  <c r="E39" i="6"/>
  <c r="E38" i="6"/>
  <c r="B39" i="6"/>
  <c r="B38" i="6"/>
  <c r="E39" i="12"/>
  <c r="E38" i="12"/>
  <c r="B39" i="12"/>
  <c r="B38" i="12"/>
  <c r="E39" i="4"/>
  <c r="E38" i="4"/>
  <c r="B39" i="4"/>
  <c r="B38" i="4"/>
  <c r="D53" i="13" l="1"/>
  <c r="D44" i="14"/>
  <c r="D48" i="14" s="1"/>
  <c r="G42" i="16"/>
  <c r="H46" i="14"/>
  <c r="I46" i="14" s="1"/>
  <c r="H43" i="13"/>
  <c r="I43" i="13" s="1"/>
  <c r="G42" i="15"/>
  <c r="H49" i="16"/>
  <c r="I49" i="16" s="1"/>
  <c r="G46" i="17"/>
  <c r="H39" i="15"/>
  <c r="I39" i="15" s="1"/>
  <c r="H50" i="16"/>
  <c r="I50" i="16" s="1"/>
  <c r="H54" i="13"/>
  <c r="I54" i="13" s="1"/>
  <c r="H33" i="13"/>
  <c r="I33" i="13" s="1"/>
  <c r="H33" i="15"/>
  <c r="I33" i="15" s="1"/>
  <c r="G40" i="18"/>
  <c r="D55" i="17"/>
  <c r="H33" i="16"/>
  <c r="I33" i="16" s="1"/>
  <c r="H42" i="17"/>
  <c r="I42" i="17" s="1"/>
  <c r="H51" i="13"/>
  <c r="I51" i="13" s="1"/>
  <c r="H49" i="14"/>
  <c r="I49" i="14" s="1"/>
  <c r="G53" i="14"/>
  <c r="D42" i="4"/>
  <c r="D49" i="18"/>
  <c r="H42" i="18"/>
  <c r="I42" i="18" s="1"/>
  <c r="H41" i="17"/>
  <c r="I41" i="17" s="1"/>
  <c r="D46" i="17"/>
  <c r="G42" i="4"/>
  <c r="H42" i="4" s="1"/>
  <c r="I42" i="4" s="1"/>
  <c r="D40" i="12"/>
  <c r="H40" i="12" s="1"/>
  <c r="I40" i="12" s="1"/>
  <c r="G40" i="6"/>
  <c r="H40" i="6" s="1"/>
  <c r="I40" i="6" s="1"/>
  <c r="D42" i="15"/>
  <c r="D46" i="15" s="1"/>
  <c r="D44" i="8"/>
  <c r="H44" i="8" s="1"/>
  <c r="I44" i="8" s="1"/>
  <c r="G41" i="4"/>
  <c r="G41" i="12"/>
  <c r="H30" i="14"/>
  <c r="I30" i="14" s="1"/>
  <c r="D40" i="18"/>
  <c r="D44" i="18" s="1"/>
  <c r="D51" i="18" s="1"/>
  <c r="H47" i="18"/>
  <c r="I47" i="18" s="1"/>
  <c r="H37" i="17"/>
  <c r="I37" i="17" s="1"/>
  <c r="H27" i="18"/>
  <c r="I27" i="18" s="1"/>
  <c r="G29" i="18"/>
  <c r="G43" i="18"/>
  <c r="H41" i="18"/>
  <c r="I41" i="18" s="1"/>
  <c r="H45" i="18"/>
  <c r="I45" i="18" s="1"/>
  <c r="G49" i="18"/>
  <c r="H31" i="18"/>
  <c r="I31" i="18" s="1"/>
  <c r="H46" i="18"/>
  <c r="I46" i="18" s="1"/>
  <c r="H28" i="18"/>
  <c r="I28" i="18" s="1"/>
  <c r="H31" i="17"/>
  <c r="I31" i="17" s="1"/>
  <c r="H51" i="17"/>
  <c r="I51" i="17" s="1"/>
  <c r="G55" i="17"/>
  <c r="H30" i="17"/>
  <c r="I30" i="17" s="1"/>
  <c r="G32" i="17"/>
  <c r="G49" i="17"/>
  <c r="H47" i="17"/>
  <c r="I47" i="17" s="1"/>
  <c r="H34" i="17"/>
  <c r="I34" i="17" s="1"/>
  <c r="H48" i="17"/>
  <c r="I48" i="17" s="1"/>
  <c r="H52" i="17"/>
  <c r="I52" i="17" s="1"/>
  <c r="H44" i="16"/>
  <c r="I44" i="16" s="1"/>
  <c r="D42" i="16"/>
  <c r="D46" i="16" s="1"/>
  <c r="D53" i="16" s="1"/>
  <c r="H43" i="16"/>
  <c r="I43" i="16" s="1"/>
  <c r="G45" i="16"/>
  <c r="G46" i="16" s="1"/>
  <c r="G51" i="16"/>
  <c r="H47" i="16"/>
  <c r="I47" i="16" s="1"/>
  <c r="H48" i="16"/>
  <c r="I48" i="16" s="1"/>
  <c r="H29" i="16"/>
  <c r="I29" i="16" s="1"/>
  <c r="G31" i="16"/>
  <c r="H30" i="16"/>
  <c r="I30" i="16" s="1"/>
  <c r="H42" i="16"/>
  <c r="I42" i="16" s="1"/>
  <c r="H44" i="15"/>
  <c r="I44" i="15" s="1"/>
  <c r="H36" i="15"/>
  <c r="I36" i="15" s="1"/>
  <c r="H43" i="15"/>
  <c r="I43" i="15" s="1"/>
  <c r="G45" i="15"/>
  <c r="G46" i="15" s="1"/>
  <c r="G51" i="15"/>
  <c r="H47" i="15"/>
  <c r="I47" i="15" s="1"/>
  <c r="D51" i="15"/>
  <c r="H29" i="15"/>
  <c r="I29" i="15" s="1"/>
  <c r="G31" i="15"/>
  <c r="H48" i="15"/>
  <c r="I48" i="15" s="1"/>
  <c r="H30" i="15"/>
  <c r="I30" i="15" s="1"/>
  <c r="D53" i="14"/>
  <c r="D55" i="14" s="1"/>
  <c r="H39" i="14"/>
  <c r="I39" i="14" s="1"/>
  <c r="H31" i="14"/>
  <c r="I31" i="14" s="1"/>
  <c r="H37" i="14"/>
  <c r="I37" i="14" s="1"/>
  <c r="H35" i="14"/>
  <c r="I35" i="14" s="1"/>
  <c r="H50" i="14"/>
  <c r="I50" i="14" s="1"/>
  <c r="H33" i="14"/>
  <c r="I33" i="14" s="1"/>
  <c r="G44" i="14"/>
  <c r="H41" i="14"/>
  <c r="I41" i="14" s="1"/>
  <c r="G47" i="14"/>
  <c r="H45" i="14"/>
  <c r="I45" i="14" s="1"/>
  <c r="D44" i="13"/>
  <c r="D48" i="13" s="1"/>
  <c r="D55" i="13" s="1"/>
  <c r="H30" i="13"/>
  <c r="I30" i="13" s="1"/>
  <c r="G31" i="13"/>
  <c r="H29" i="13"/>
  <c r="I29" i="13" s="1"/>
  <c r="H45" i="13"/>
  <c r="I45" i="13" s="1"/>
  <c r="G47" i="13"/>
  <c r="H36" i="13"/>
  <c r="I36" i="13" s="1"/>
  <c r="H46" i="13"/>
  <c r="I46" i="13" s="1"/>
  <c r="H50" i="13"/>
  <c r="I50" i="13" s="1"/>
  <c r="H34" i="13"/>
  <c r="I34" i="13" s="1"/>
  <c r="G53" i="13"/>
  <c r="H49" i="13"/>
  <c r="I49" i="13" s="1"/>
  <c r="H42" i="12"/>
  <c r="I42" i="12" s="1"/>
  <c r="H40" i="4"/>
  <c r="I40" i="4" s="1"/>
  <c r="H41" i="4"/>
  <c r="I41" i="4" s="1"/>
  <c r="H42" i="8"/>
  <c r="I42" i="8" s="1"/>
  <c r="H43" i="8"/>
  <c r="I43" i="8" s="1"/>
  <c r="H38" i="9"/>
  <c r="I38" i="9" s="1"/>
  <c r="H40" i="7"/>
  <c r="I40" i="7" s="1"/>
  <c r="H41" i="12"/>
  <c r="I41" i="12" s="1"/>
  <c r="C11" i="8"/>
  <c r="D11" i="8"/>
  <c r="C12" i="8"/>
  <c r="C10" i="7"/>
  <c r="C38" i="7" s="1"/>
  <c r="D38" i="7" s="1"/>
  <c r="D10" i="7"/>
  <c r="F38" i="7" s="1"/>
  <c r="G38" i="7" s="1"/>
  <c r="C11" i="7"/>
  <c r="C39" i="7" s="1"/>
  <c r="D39" i="7" s="1"/>
  <c r="F39" i="7"/>
  <c r="G39" i="7" s="1"/>
  <c r="C10" i="6"/>
  <c r="C38" i="6" s="1"/>
  <c r="D38" i="6" s="1"/>
  <c r="F38" i="6"/>
  <c r="G38" i="6" s="1"/>
  <c r="C11" i="6"/>
  <c r="C39" i="6" s="1"/>
  <c r="D39" i="6" s="1"/>
  <c r="F39" i="6"/>
  <c r="G39" i="6" s="1"/>
  <c r="C10" i="12"/>
  <c r="C38" i="12" s="1"/>
  <c r="D38" i="12" s="1"/>
  <c r="F38" i="12"/>
  <c r="G38" i="12" s="1"/>
  <c r="C11" i="12"/>
  <c r="C39" i="12" s="1"/>
  <c r="D39" i="12" s="1"/>
  <c r="F39" i="12"/>
  <c r="G39" i="12" s="1"/>
  <c r="C10" i="4"/>
  <c r="C38" i="4" s="1"/>
  <c r="D38" i="4" s="1"/>
  <c r="F38" i="4"/>
  <c r="G38" i="4" s="1"/>
  <c r="C11" i="4"/>
  <c r="C39" i="4" s="1"/>
  <c r="D39" i="4" s="1"/>
  <c r="F39" i="4"/>
  <c r="G39" i="4" s="1"/>
  <c r="C10" i="9"/>
  <c r="C36" i="9" s="1"/>
  <c r="D36" i="9" s="1"/>
  <c r="D10" i="9"/>
  <c r="F36" i="9" s="1"/>
  <c r="G36" i="9" s="1"/>
  <c r="C11" i="9"/>
  <c r="C37" i="9" s="1"/>
  <c r="D37" i="9" s="1"/>
  <c r="F37" i="9"/>
  <c r="G37" i="9" s="1"/>
  <c r="B11" i="8"/>
  <c r="B12" i="8"/>
  <c r="B10" i="7"/>
  <c r="B11" i="7"/>
  <c r="B10" i="6"/>
  <c r="B11" i="6"/>
  <c r="B10" i="12"/>
  <c r="B11" i="12"/>
  <c r="B10" i="4"/>
  <c r="B11" i="4"/>
  <c r="B10" i="9"/>
  <c r="B11" i="9"/>
  <c r="A11" i="8"/>
  <c r="A40" i="8" s="1"/>
  <c r="A12" i="8"/>
  <c r="A41" i="8" s="1"/>
  <c r="A10" i="7"/>
  <c r="A38" i="7" s="1"/>
  <c r="A11" i="7"/>
  <c r="A39" i="7" s="1"/>
  <c r="A10" i="6"/>
  <c r="A38" i="6" s="1"/>
  <c r="A11" i="6"/>
  <c r="A39" i="6" s="1"/>
  <c r="A10" i="12"/>
  <c r="A38" i="12" s="1"/>
  <c r="A11" i="12"/>
  <c r="A39" i="12" s="1"/>
  <c r="A10" i="4"/>
  <c r="A38" i="4" s="1"/>
  <c r="A11" i="4"/>
  <c r="A39" i="4" s="1"/>
  <c r="C9" i="9"/>
  <c r="C35" i="9" s="1"/>
  <c r="C9" i="8"/>
  <c r="C38" i="8" s="1"/>
  <c r="C9" i="7"/>
  <c r="C37" i="7" s="1"/>
  <c r="C9" i="6"/>
  <c r="C37" i="6" s="1"/>
  <c r="C9" i="12"/>
  <c r="C37" i="12" s="1"/>
  <c r="D37" i="12" s="1"/>
  <c r="C9" i="4"/>
  <c r="C37" i="4" s="1"/>
  <c r="E33" i="9"/>
  <c r="B33" i="9"/>
  <c r="E36" i="8"/>
  <c r="B36" i="8"/>
  <c r="E35" i="7"/>
  <c r="B35" i="7"/>
  <c r="E35" i="6"/>
  <c r="B35" i="6"/>
  <c r="E35" i="12"/>
  <c r="B35" i="12"/>
  <c r="E35" i="4"/>
  <c r="B35" i="4"/>
  <c r="D7" i="9"/>
  <c r="F33" i="9" s="1"/>
  <c r="G33" i="9" s="1"/>
  <c r="C7" i="9"/>
  <c r="C33" i="9" s="1"/>
  <c r="D33" i="9" s="1"/>
  <c r="B7" i="9"/>
  <c r="A7" i="9"/>
  <c r="A33" i="9" s="1"/>
  <c r="D7" i="8"/>
  <c r="F36" i="8" s="1"/>
  <c r="C7" i="8"/>
  <c r="C36" i="8" s="1"/>
  <c r="B7" i="8"/>
  <c r="A7" i="8"/>
  <c r="A36" i="8" s="1"/>
  <c r="D7" i="7"/>
  <c r="F35" i="7" s="1"/>
  <c r="G35" i="7" s="1"/>
  <c r="C7" i="7"/>
  <c r="C35" i="7" s="1"/>
  <c r="D35" i="7" s="1"/>
  <c r="B7" i="7"/>
  <c r="A7" i="7"/>
  <c r="A35" i="7" s="1"/>
  <c r="D7" i="6"/>
  <c r="F35" i="6" s="1"/>
  <c r="C7" i="6"/>
  <c r="C35" i="6" s="1"/>
  <c r="D35" i="6" s="1"/>
  <c r="B7" i="6"/>
  <c r="A7" i="6"/>
  <c r="A35" i="6" s="1"/>
  <c r="D7" i="12"/>
  <c r="F35" i="12" s="1"/>
  <c r="G35" i="12" s="1"/>
  <c r="C7" i="12"/>
  <c r="C35" i="12" s="1"/>
  <c r="D35" i="12" s="1"/>
  <c r="B7" i="12"/>
  <c r="A7" i="12"/>
  <c r="A35" i="12" s="1"/>
  <c r="D7" i="4"/>
  <c r="F35" i="4" s="1"/>
  <c r="C7" i="4"/>
  <c r="C35" i="4" s="1"/>
  <c r="B7" i="4"/>
  <c r="A7" i="4"/>
  <c r="A35" i="4" s="1"/>
  <c r="E35" i="9"/>
  <c r="B35" i="9"/>
  <c r="E38" i="8"/>
  <c r="B38" i="8"/>
  <c r="E37" i="7"/>
  <c r="B37" i="7"/>
  <c r="E37" i="6"/>
  <c r="B37" i="6"/>
  <c r="E37" i="12"/>
  <c r="B37" i="12"/>
  <c r="E37" i="4"/>
  <c r="B37" i="4"/>
  <c r="D9" i="9"/>
  <c r="F35" i="9" s="1"/>
  <c r="B9" i="9"/>
  <c r="A35" i="9"/>
  <c r="D9" i="8"/>
  <c r="F38" i="8" s="1"/>
  <c r="B9" i="8"/>
  <c r="A9" i="8"/>
  <c r="A38" i="8" s="1"/>
  <c r="D9" i="7"/>
  <c r="F37" i="7" s="1"/>
  <c r="G37" i="7" s="1"/>
  <c r="B8" i="7"/>
  <c r="B9" i="7"/>
  <c r="A9" i="7"/>
  <c r="A37" i="7" s="1"/>
  <c r="D9" i="6"/>
  <c r="F37" i="6" s="1"/>
  <c r="G37" i="6" s="1"/>
  <c r="B9" i="6"/>
  <c r="B8" i="6"/>
  <c r="A9" i="6"/>
  <c r="A37" i="6" s="1"/>
  <c r="D9" i="12"/>
  <c r="F37" i="12" s="1"/>
  <c r="G37" i="12" s="1"/>
  <c r="B9" i="12"/>
  <c r="B8" i="12"/>
  <c r="B8" i="4"/>
  <c r="B9" i="4"/>
  <c r="A9" i="12"/>
  <c r="A37" i="12" s="1"/>
  <c r="A9" i="4"/>
  <c r="A37" i="4" s="1"/>
  <c r="D9" i="4"/>
  <c r="F37" i="4" s="1"/>
  <c r="F56" i="12"/>
  <c r="C56" i="12"/>
  <c r="F54" i="12"/>
  <c r="E54" i="12"/>
  <c r="C54" i="12"/>
  <c r="B54" i="12"/>
  <c r="E52" i="12"/>
  <c r="B52" i="12"/>
  <c r="F51" i="12"/>
  <c r="E51" i="12"/>
  <c r="C51" i="12"/>
  <c r="B51" i="12"/>
  <c r="B50" i="12"/>
  <c r="B49" i="12"/>
  <c r="B46" i="12"/>
  <c r="B45" i="12"/>
  <c r="E43" i="12"/>
  <c r="B43" i="12"/>
  <c r="E36" i="12"/>
  <c r="B36" i="12"/>
  <c r="E34" i="12"/>
  <c r="B34" i="12"/>
  <c r="B33" i="12"/>
  <c r="E33" i="12" s="1"/>
  <c r="E32" i="12"/>
  <c r="F30" i="12"/>
  <c r="C30" i="12"/>
  <c r="B30" i="12"/>
  <c r="F29" i="12"/>
  <c r="C29" i="12"/>
  <c r="B29" i="12"/>
  <c r="E25" i="12"/>
  <c r="H24" i="12"/>
  <c r="E46" i="12" s="1"/>
  <c r="D21" i="12"/>
  <c r="F52" i="12" s="1"/>
  <c r="C21" i="12"/>
  <c r="C52" i="12" s="1"/>
  <c r="B21" i="12"/>
  <c r="A21" i="12"/>
  <c r="A52" i="12" s="1"/>
  <c r="D20" i="12"/>
  <c r="C20" i="12"/>
  <c r="B20" i="12"/>
  <c r="A20" i="12"/>
  <c r="D19" i="12"/>
  <c r="F50" i="12" s="1"/>
  <c r="C19" i="12"/>
  <c r="C50" i="12" s="1"/>
  <c r="B19" i="12"/>
  <c r="A19" i="12"/>
  <c r="A50" i="12" s="1"/>
  <c r="D18" i="12"/>
  <c r="F49" i="12" s="1"/>
  <c r="C18" i="12"/>
  <c r="C49" i="12" s="1"/>
  <c r="D49" i="12" s="1"/>
  <c r="B18" i="12"/>
  <c r="A18" i="12"/>
  <c r="A49" i="12" s="1"/>
  <c r="D17" i="12"/>
  <c r="F46" i="12" s="1"/>
  <c r="C17" i="12"/>
  <c r="C46" i="12" s="1"/>
  <c r="B17" i="12"/>
  <c r="A17" i="12"/>
  <c r="A46" i="12" s="1"/>
  <c r="D16" i="12"/>
  <c r="F45" i="12" s="1"/>
  <c r="C16" i="12"/>
  <c r="C45" i="12" s="1"/>
  <c r="B16" i="12"/>
  <c r="A16" i="12"/>
  <c r="A45" i="12" s="1"/>
  <c r="D15" i="12"/>
  <c r="F43" i="12" s="1"/>
  <c r="G43" i="12" s="1"/>
  <c r="C15" i="12"/>
  <c r="C43" i="12" s="1"/>
  <c r="D43" i="12" s="1"/>
  <c r="B15" i="12"/>
  <c r="A15" i="12"/>
  <c r="A43" i="12" s="1"/>
  <c r="D8" i="12"/>
  <c r="F36" i="12" s="1"/>
  <c r="G36" i="12" s="1"/>
  <c r="C8" i="12"/>
  <c r="C36" i="12" s="1"/>
  <c r="D36" i="12" s="1"/>
  <c r="A8" i="12"/>
  <c r="A36" i="12" s="1"/>
  <c r="D6" i="12"/>
  <c r="F34" i="12" s="1"/>
  <c r="C6" i="12"/>
  <c r="C34" i="12" s="1"/>
  <c r="D34" i="12" s="1"/>
  <c r="B6" i="12"/>
  <c r="A6" i="12"/>
  <c r="A34" i="12" s="1"/>
  <c r="D5" i="12"/>
  <c r="F33" i="12" s="1"/>
  <c r="C5" i="12"/>
  <c r="C33" i="12" s="1"/>
  <c r="D33" i="12" s="1"/>
  <c r="B5" i="12"/>
  <c r="A5" i="12"/>
  <c r="A33" i="12" s="1"/>
  <c r="D4" i="12"/>
  <c r="F32" i="12" s="1"/>
  <c r="G32" i="12" s="1"/>
  <c r="C4" i="12"/>
  <c r="C32" i="12" s="1"/>
  <c r="D32" i="12" s="1"/>
  <c r="B4" i="12"/>
  <c r="A4" i="12"/>
  <c r="A32" i="12" s="1"/>
  <c r="D3" i="12"/>
  <c r="C3" i="12"/>
  <c r="B3" i="12"/>
  <c r="A3" i="12"/>
  <c r="A27" i="12" s="1"/>
  <c r="D18" i="9"/>
  <c r="C18" i="9"/>
  <c r="B18" i="9"/>
  <c r="A18" i="9"/>
  <c r="D21" i="8"/>
  <c r="C21" i="8"/>
  <c r="B21" i="8"/>
  <c r="A21" i="8"/>
  <c r="D20" i="7"/>
  <c r="C20" i="7"/>
  <c r="B20" i="7"/>
  <c r="A20" i="7"/>
  <c r="D20" i="6"/>
  <c r="A20" i="4"/>
  <c r="C20" i="6"/>
  <c r="B20" i="6"/>
  <c r="A20" i="6"/>
  <c r="D20" i="4"/>
  <c r="C20" i="4"/>
  <c r="B20" i="4"/>
  <c r="F52" i="9"/>
  <c r="C52" i="9"/>
  <c r="F58" i="8"/>
  <c r="C58" i="8"/>
  <c r="F54" i="7"/>
  <c r="C54" i="7"/>
  <c r="F54" i="6"/>
  <c r="C54" i="6"/>
  <c r="F56" i="4"/>
  <c r="C56" i="4"/>
  <c r="F27" i="9"/>
  <c r="H22" i="9"/>
  <c r="E27" i="9" s="1"/>
  <c r="F28" i="9"/>
  <c r="D4" i="9"/>
  <c r="F30" i="9" s="1"/>
  <c r="G30" i="9" s="1"/>
  <c r="E30" i="9"/>
  <c r="D5" i="9"/>
  <c r="F31" i="9" s="1"/>
  <c r="G31" i="9" s="1"/>
  <c r="B31" i="9"/>
  <c r="E31" i="9" s="1"/>
  <c r="D6" i="9"/>
  <c r="F32" i="9" s="1"/>
  <c r="G32" i="9" s="1"/>
  <c r="E32" i="9"/>
  <c r="D8" i="9"/>
  <c r="F34" i="9" s="1"/>
  <c r="G34" i="9" s="1"/>
  <c r="E34" i="9"/>
  <c r="D13" i="9"/>
  <c r="F39" i="9" s="1"/>
  <c r="G39" i="9" s="1"/>
  <c r="E39" i="9"/>
  <c r="D14" i="9"/>
  <c r="F41" i="9" s="1"/>
  <c r="D15" i="9"/>
  <c r="F42" i="9" s="1"/>
  <c r="D16" i="9"/>
  <c r="F45" i="9" s="1"/>
  <c r="D17" i="9"/>
  <c r="F46" i="9" s="1"/>
  <c r="E47" i="9"/>
  <c r="F47" i="9"/>
  <c r="D19" i="9"/>
  <c r="F48" i="9" s="1"/>
  <c r="E48" i="9"/>
  <c r="E50" i="9"/>
  <c r="F50" i="9"/>
  <c r="B47" i="9"/>
  <c r="C47" i="9"/>
  <c r="F30" i="8"/>
  <c r="H25" i="8"/>
  <c r="E31" i="8" s="1"/>
  <c r="F31" i="8"/>
  <c r="D4" i="8"/>
  <c r="F33" i="8" s="1"/>
  <c r="D5" i="8"/>
  <c r="F34" i="8" s="1"/>
  <c r="D6" i="8"/>
  <c r="F35" i="8" s="1"/>
  <c r="E35" i="8"/>
  <c r="D8" i="8"/>
  <c r="F37" i="8" s="1"/>
  <c r="E37" i="8"/>
  <c r="D10" i="8"/>
  <c r="F39" i="8" s="1"/>
  <c r="E41" i="8"/>
  <c r="D16" i="8"/>
  <c r="F45" i="8" s="1"/>
  <c r="E45" i="8"/>
  <c r="D17" i="8"/>
  <c r="F47" i="8" s="1"/>
  <c r="D18" i="8"/>
  <c r="F48" i="8" s="1"/>
  <c r="D19" i="8"/>
  <c r="F51" i="8" s="1"/>
  <c r="D20" i="8"/>
  <c r="F52" i="8" s="1"/>
  <c r="E53" i="8"/>
  <c r="F53" i="8"/>
  <c r="D22" i="8"/>
  <c r="F54" i="8" s="1"/>
  <c r="E56" i="8"/>
  <c r="F56" i="8"/>
  <c r="B53" i="8"/>
  <c r="C53" i="8"/>
  <c r="F29" i="7"/>
  <c r="H24" i="7"/>
  <c r="E30" i="7" s="1"/>
  <c r="F30" i="7"/>
  <c r="D4" i="7"/>
  <c r="F32" i="7" s="1"/>
  <c r="D5" i="7"/>
  <c r="F33" i="7" s="1"/>
  <c r="D6" i="7"/>
  <c r="F34" i="7" s="1"/>
  <c r="E34" i="7"/>
  <c r="D8" i="7"/>
  <c r="F36" i="7" s="1"/>
  <c r="E36" i="7"/>
  <c r="D13" i="7"/>
  <c r="F41" i="7" s="1"/>
  <c r="E41" i="7"/>
  <c r="D16" i="7"/>
  <c r="F43" i="7" s="1"/>
  <c r="D17" i="7"/>
  <c r="F44" i="7" s="1"/>
  <c r="D18" i="7"/>
  <c r="F47" i="7" s="1"/>
  <c r="D19" i="7"/>
  <c r="F48" i="7" s="1"/>
  <c r="E49" i="7"/>
  <c r="F49" i="7"/>
  <c r="D21" i="7"/>
  <c r="F50" i="7" s="1"/>
  <c r="E52" i="7"/>
  <c r="F52" i="7"/>
  <c r="B49" i="7"/>
  <c r="C49" i="7"/>
  <c r="F29" i="6"/>
  <c r="H24" i="6"/>
  <c r="E30" i="6" s="1"/>
  <c r="F30" i="6"/>
  <c r="D4" i="6"/>
  <c r="F32" i="6" s="1"/>
  <c r="D5" i="6"/>
  <c r="F33" i="6" s="1"/>
  <c r="D6" i="6"/>
  <c r="F34" i="6" s="1"/>
  <c r="D8" i="6"/>
  <c r="F36" i="6" s="1"/>
  <c r="D13" i="6"/>
  <c r="F41" i="6" s="1"/>
  <c r="D14" i="6"/>
  <c r="F43" i="6" s="1"/>
  <c r="D15" i="6"/>
  <c r="F44" i="6" s="1"/>
  <c r="D18" i="6"/>
  <c r="F47" i="6" s="1"/>
  <c r="D19" i="6"/>
  <c r="F48" i="6" s="1"/>
  <c r="E49" i="6"/>
  <c r="F49" i="6"/>
  <c r="D21" i="6"/>
  <c r="F50" i="6" s="1"/>
  <c r="E52" i="6"/>
  <c r="F52" i="6"/>
  <c r="B49" i="6"/>
  <c r="C49" i="6"/>
  <c r="E51" i="4"/>
  <c r="F51" i="4"/>
  <c r="H24" i="4"/>
  <c r="E50" i="4" s="1"/>
  <c r="F29" i="4"/>
  <c r="F30" i="4"/>
  <c r="D4" i="4"/>
  <c r="F32" i="4" s="1"/>
  <c r="E32" i="4"/>
  <c r="D5" i="4"/>
  <c r="F33" i="4" s="1"/>
  <c r="B33" i="4"/>
  <c r="E33" i="4"/>
  <c r="D6" i="4"/>
  <c r="F34" i="4" s="1"/>
  <c r="E34" i="4"/>
  <c r="D8" i="4"/>
  <c r="F36" i="4" s="1"/>
  <c r="E36" i="4"/>
  <c r="D15" i="4"/>
  <c r="F43" i="4" s="1"/>
  <c r="E43" i="4"/>
  <c r="D16" i="4"/>
  <c r="F45" i="4" s="1"/>
  <c r="D17" i="4"/>
  <c r="F46" i="4" s="1"/>
  <c r="D18" i="4"/>
  <c r="F49" i="4" s="1"/>
  <c r="D19" i="4"/>
  <c r="F50" i="4" s="1"/>
  <c r="E52" i="4"/>
  <c r="D21" i="4"/>
  <c r="F52" i="4" s="1"/>
  <c r="E54" i="4"/>
  <c r="F54" i="4"/>
  <c r="B51" i="4"/>
  <c r="C51" i="4"/>
  <c r="C4" i="4"/>
  <c r="C32" i="4" s="1"/>
  <c r="D32" i="4" s="1"/>
  <c r="C5" i="4"/>
  <c r="C33" i="4" s="1"/>
  <c r="C6" i="4"/>
  <c r="C34" i="4" s="1"/>
  <c r="C8" i="4"/>
  <c r="C36" i="4" s="1"/>
  <c r="C15" i="4"/>
  <c r="C43" i="4" s="1"/>
  <c r="C16" i="4"/>
  <c r="C45" i="4" s="1"/>
  <c r="C17" i="4"/>
  <c r="C46" i="4" s="1"/>
  <c r="C18" i="4"/>
  <c r="C49" i="4" s="1"/>
  <c r="C19" i="4"/>
  <c r="C50" i="4" s="1"/>
  <c r="C21" i="4"/>
  <c r="C52" i="4" s="1"/>
  <c r="C54" i="4"/>
  <c r="B28" i="9"/>
  <c r="B31" i="8"/>
  <c r="B30" i="7"/>
  <c r="B30" i="6"/>
  <c r="B30" i="4"/>
  <c r="C5" i="9"/>
  <c r="C31" i="9" s="1"/>
  <c r="D31" i="9" s="1"/>
  <c r="B42" i="9"/>
  <c r="B41" i="9"/>
  <c r="C19" i="9"/>
  <c r="C48" i="9" s="1"/>
  <c r="C6" i="9"/>
  <c r="C32" i="9" s="1"/>
  <c r="C8" i="9"/>
  <c r="C34" i="9" s="1"/>
  <c r="C13" i="9"/>
  <c r="C39" i="9" s="1"/>
  <c r="C14" i="9"/>
  <c r="C41" i="9" s="1"/>
  <c r="C15" i="9"/>
  <c r="C42" i="9" s="1"/>
  <c r="C16" i="9"/>
  <c r="C45" i="9" s="1"/>
  <c r="C17" i="9"/>
  <c r="C46" i="9" s="1"/>
  <c r="C4" i="9"/>
  <c r="C30" i="9" s="1"/>
  <c r="D30" i="9" s="1"/>
  <c r="B19" i="9"/>
  <c r="B6" i="9"/>
  <c r="B8" i="9"/>
  <c r="B13" i="9"/>
  <c r="B14" i="9"/>
  <c r="B15" i="9"/>
  <c r="B16" i="9"/>
  <c r="B17" i="9"/>
  <c r="B5" i="9"/>
  <c r="B4" i="9"/>
  <c r="A3" i="9"/>
  <c r="A25" i="9" s="1"/>
  <c r="B3" i="9"/>
  <c r="C3" i="9"/>
  <c r="D3" i="9"/>
  <c r="A4" i="9"/>
  <c r="A30" i="9" s="1"/>
  <c r="A5" i="9"/>
  <c r="A31" i="9" s="1"/>
  <c r="A6" i="9"/>
  <c r="A32" i="9" s="1"/>
  <c r="A34" i="9"/>
  <c r="A39" i="9"/>
  <c r="A41" i="9"/>
  <c r="A42" i="9"/>
  <c r="A45" i="9"/>
  <c r="A46" i="9"/>
  <c r="A48" i="9"/>
  <c r="E23" i="9"/>
  <c r="B27" i="9"/>
  <c r="C27" i="9"/>
  <c r="C28" i="9"/>
  <c r="B32" i="9"/>
  <c r="B34" i="9"/>
  <c r="B39" i="9"/>
  <c r="B45" i="9"/>
  <c r="B46" i="9"/>
  <c r="B48" i="9"/>
  <c r="B50" i="9"/>
  <c r="C50" i="9"/>
  <c r="C22" i="8"/>
  <c r="C54" i="8" s="1"/>
  <c r="C6" i="8"/>
  <c r="C35" i="8" s="1"/>
  <c r="C8" i="8"/>
  <c r="C37" i="8" s="1"/>
  <c r="C10" i="8"/>
  <c r="C39" i="8" s="1"/>
  <c r="C16" i="8"/>
  <c r="C45" i="8" s="1"/>
  <c r="C17" i="8"/>
  <c r="C47" i="8" s="1"/>
  <c r="C18" i="8"/>
  <c r="C48" i="8" s="1"/>
  <c r="C19" i="8"/>
  <c r="C51" i="8" s="1"/>
  <c r="C20" i="8"/>
  <c r="C52" i="8" s="1"/>
  <c r="C5" i="8"/>
  <c r="C34" i="8" s="1"/>
  <c r="C4" i="8"/>
  <c r="C33" i="8" s="1"/>
  <c r="D33" i="8" s="1"/>
  <c r="B22" i="8"/>
  <c r="B8" i="8"/>
  <c r="B10" i="8"/>
  <c r="B16" i="8"/>
  <c r="B17" i="8"/>
  <c r="B18" i="8"/>
  <c r="B19" i="8"/>
  <c r="B20" i="8"/>
  <c r="B6" i="8"/>
  <c r="B5" i="8"/>
  <c r="B4" i="8"/>
  <c r="A6" i="8"/>
  <c r="A35" i="8" s="1"/>
  <c r="A8" i="8"/>
  <c r="A37" i="8" s="1"/>
  <c r="A10" i="8"/>
  <c r="A39" i="8" s="1"/>
  <c r="A16" i="8"/>
  <c r="A45" i="8" s="1"/>
  <c r="A17" i="8"/>
  <c r="A47" i="8" s="1"/>
  <c r="A18" i="8"/>
  <c r="A48" i="8" s="1"/>
  <c r="A19" i="8"/>
  <c r="A51" i="8" s="1"/>
  <c r="A20" i="8"/>
  <c r="A52" i="8" s="1"/>
  <c r="A22" i="8"/>
  <c r="A54" i="8" s="1"/>
  <c r="A5" i="8"/>
  <c r="A34" i="8" s="1"/>
  <c r="A4" i="8"/>
  <c r="A33" i="8" s="1"/>
  <c r="A3" i="8"/>
  <c r="A28" i="8" s="1"/>
  <c r="B3" i="8"/>
  <c r="C3" i="8"/>
  <c r="D3" i="8"/>
  <c r="E26" i="8"/>
  <c r="B30" i="8"/>
  <c r="C30" i="8"/>
  <c r="C31" i="8"/>
  <c r="D31" i="8" s="1"/>
  <c r="E33" i="8"/>
  <c r="B34" i="8"/>
  <c r="E34" i="8" s="1"/>
  <c r="B35" i="8"/>
  <c r="B37" i="8"/>
  <c r="B41" i="8"/>
  <c r="B45" i="8"/>
  <c r="B47" i="8"/>
  <c r="B48" i="8"/>
  <c r="B51" i="8"/>
  <c r="B52" i="8"/>
  <c r="B54" i="8"/>
  <c r="E54" i="8"/>
  <c r="B56" i="8"/>
  <c r="C56" i="8"/>
  <c r="A17" i="7"/>
  <c r="A44" i="7" s="1"/>
  <c r="A16" i="7"/>
  <c r="A43" i="7" s="1"/>
  <c r="C17" i="7"/>
  <c r="C44" i="7" s="1"/>
  <c r="C16" i="7"/>
  <c r="C43" i="7" s="1"/>
  <c r="A3" i="7"/>
  <c r="A27" i="7" s="1"/>
  <c r="B3" i="7"/>
  <c r="C3" i="7"/>
  <c r="D3" i="7"/>
  <c r="A4" i="7"/>
  <c r="A32" i="7" s="1"/>
  <c r="B4" i="7"/>
  <c r="C4" i="7"/>
  <c r="C32" i="7" s="1"/>
  <c r="D32" i="7" s="1"/>
  <c r="A5" i="7"/>
  <c r="A33" i="7" s="1"/>
  <c r="B5" i="7"/>
  <c r="C5" i="7"/>
  <c r="C33" i="7" s="1"/>
  <c r="A6" i="7"/>
  <c r="A34" i="7" s="1"/>
  <c r="B6" i="7"/>
  <c r="C6" i="7"/>
  <c r="C34" i="7" s="1"/>
  <c r="A8" i="7"/>
  <c r="A36" i="7" s="1"/>
  <c r="C8" i="7"/>
  <c r="C36" i="7" s="1"/>
  <c r="A13" i="7"/>
  <c r="A41" i="7" s="1"/>
  <c r="B13" i="7"/>
  <c r="C13" i="7"/>
  <c r="C41" i="7" s="1"/>
  <c r="A14" i="7"/>
  <c r="B14" i="7"/>
  <c r="C14" i="7"/>
  <c r="D14" i="7"/>
  <c r="A15" i="7"/>
  <c r="B15" i="7"/>
  <c r="C15" i="7"/>
  <c r="D15" i="7"/>
  <c r="B16" i="7"/>
  <c r="B17" i="7"/>
  <c r="A18" i="7"/>
  <c r="A47" i="7" s="1"/>
  <c r="B18" i="7"/>
  <c r="C18" i="7"/>
  <c r="C47" i="7" s="1"/>
  <c r="A19" i="7"/>
  <c r="A48" i="7" s="1"/>
  <c r="B19" i="7"/>
  <c r="C19" i="7"/>
  <c r="C48" i="7" s="1"/>
  <c r="A21" i="7"/>
  <c r="A50" i="7" s="1"/>
  <c r="B21" i="7"/>
  <c r="C21" i="7"/>
  <c r="C50" i="7" s="1"/>
  <c r="E25" i="7"/>
  <c r="B29" i="7"/>
  <c r="C29" i="7"/>
  <c r="C30" i="7"/>
  <c r="E32" i="7"/>
  <c r="B33" i="7"/>
  <c r="E33" i="7" s="1"/>
  <c r="B34" i="7"/>
  <c r="B36" i="7"/>
  <c r="B41" i="7"/>
  <c r="B43" i="7"/>
  <c r="B44" i="7"/>
  <c r="B47" i="7"/>
  <c r="B48" i="7"/>
  <c r="B50" i="7"/>
  <c r="E50" i="7"/>
  <c r="B52" i="7"/>
  <c r="C52" i="7"/>
  <c r="B44" i="6"/>
  <c r="B43" i="6"/>
  <c r="E41" i="6"/>
  <c r="E36" i="6"/>
  <c r="E34" i="6"/>
  <c r="B41" i="6"/>
  <c r="B36" i="6"/>
  <c r="B34" i="6"/>
  <c r="A3" i="6"/>
  <c r="A27" i="6" s="1"/>
  <c r="D16" i="6"/>
  <c r="D17" i="6"/>
  <c r="C5" i="6"/>
  <c r="C33" i="6" s="1"/>
  <c r="C6" i="6"/>
  <c r="C34" i="6" s="1"/>
  <c r="D34" i="6" s="1"/>
  <c r="C8" i="6"/>
  <c r="C36" i="6" s="1"/>
  <c r="D36" i="6" s="1"/>
  <c r="C13" i="6"/>
  <c r="C41" i="6" s="1"/>
  <c r="C14" i="6"/>
  <c r="C43" i="6" s="1"/>
  <c r="C15" i="6"/>
  <c r="C44" i="6" s="1"/>
  <c r="D44" i="6" s="1"/>
  <c r="C16" i="6"/>
  <c r="C17" i="6"/>
  <c r="C18" i="6"/>
  <c r="C47" i="6" s="1"/>
  <c r="C19" i="6"/>
  <c r="C48" i="6" s="1"/>
  <c r="C21" i="6"/>
  <c r="C50" i="6" s="1"/>
  <c r="C4" i="6"/>
  <c r="C32" i="6" s="1"/>
  <c r="D32" i="6" s="1"/>
  <c r="B5" i="6"/>
  <c r="B6" i="6"/>
  <c r="B13" i="6"/>
  <c r="B14" i="6"/>
  <c r="B15" i="6"/>
  <c r="B16" i="6"/>
  <c r="B17" i="6"/>
  <c r="B18" i="6"/>
  <c r="B19" i="6"/>
  <c r="B21" i="6"/>
  <c r="B4" i="6"/>
  <c r="A21" i="6"/>
  <c r="A50" i="6" s="1"/>
  <c r="A19" i="6"/>
  <c r="A48" i="6" s="1"/>
  <c r="A18" i="6"/>
  <c r="A47" i="6" s="1"/>
  <c r="A17" i="6"/>
  <c r="A16" i="6"/>
  <c r="A15" i="6"/>
  <c r="A44" i="6" s="1"/>
  <c r="A14" i="6"/>
  <c r="A43" i="6" s="1"/>
  <c r="A13" i="6"/>
  <c r="A41" i="6" s="1"/>
  <c r="A8" i="6"/>
  <c r="A36" i="6" s="1"/>
  <c r="A6" i="6"/>
  <c r="A34" i="6" s="1"/>
  <c r="A5" i="6"/>
  <c r="A33" i="6" s="1"/>
  <c r="A4" i="6"/>
  <c r="A32" i="6" s="1"/>
  <c r="B3" i="6"/>
  <c r="C3" i="6"/>
  <c r="D3" i="6"/>
  <c r="E25" i="6"/>
  <c r="B29" i="6"/>
  <c r="C29" i="6"/>
  <c r="C30" i="6"/>
  <c r="E32" i="6"/>
  <c r="B33" i="6"/>
  <c r="E33" i="6" s="1"/>
  <c r="B47" i="6"/>
  <c r="B48" i="6"/>
  <c r="B50" i="6"/>
  <c r="E50" i="6"/>
  <c r="B52" i="6"/>
  <c r="C52" i="6"/>
  <c r="B34" i="4"/>
  <c r="B36" i="4"/>
  <c r="B43" i="4"/>
  <c r="B45" i="4"/>
  <c r="B46" i="4"/>
  <c r="B49" i="4"/>
  <c r="B50" i="4"/>
  <c r="B52" i="4"/>
  <c r="B54" i="4"/>
  <c r="B29" i="4"/>
  <c r="C29" i="4"/>
  <c r="C30" i="4"/>
  <c r="A19" i="4"/>
  <c r="A50" i="4" s="1"/>
  <c r="A21" i="4"/>
  <c r="A52" i="4" s="1"/>
  <c r="A18" i="4"/>
  <c r="A49" i="4" s="1"/>
  <c r="A17" i="4"/>
  <c r="A46" i="4" s="1"/>
  <c r="A16" i="4"/>
  <c r="A45" i="4" s="1"/>
  <c r="A5" i="4"/>
  <c r="A33" i="4" s="1"/>
  <c r="A6" i="4"/>
  <c r="A34" i="4" s="1"/>
  <c r="A8" i="4"/>
  <c r="A36" i="4" s="1"/>
  <c r="A15" i="4"/>
  <c r="A43" i="4" s="1"/>
  <c r="A4" i="4"/>
  <c r="A32" i="4" s="1"/>
  <c r="A3" i="4"/>
  <c r="A27" i="4" s="1"/>
  <c r="E25" i="4"/>
  <c r="B3" i="4"/>
  <c r="D3" i="4"/>
  <c r="B5" i="4"/>
  <c r="B6" i="4"/>
  <c r="B15" i="4"/>
  <c r="B16" i="4"/>
  <c r="B17" i="4"/>
  <c r="B18" i="4"/>
  <c r="B19" i="4"/>
  <c r="B21" i="4"/>
  <c r="B4" i="4"/>
  <c r="C3" i="4"/>
  <c r="G44" i="18" l="1"/>
  <c r="H44" i="18" s="1"/>
  <c r="I44" i="18" s="1"/>
  <c r="H46" i="17"/>
  <c r="I46" i="17" s="1"/>
  <c r="H42" i="15"/>
  <c r="I42" i="15" s="1"/>
  <c r="D50" i="17"/>
  <c r="D57" i="17" s="1"/>
  <c r="D53" i="15"/>
  <c r="D39" i="9"/>
  <c r="G41" i="7"/>
  <c r="G34" i="7"/>
  <c r="G34" i="12"/>
  <c r="H34" i="12" s="1"/>
  <c r="I34" i="12" s="1"/>
  <c r="D37" i="6"/>
  <c r="H37" i="6" s="1"/>
  <c r="I37" i="6" s="1"/>
  <c r="D36" i="7"/>
  <c r="D35" i="8"/>
  <c r="D34" i="9"/>
  <c r="G35" i="6"/>
  <c r="H35" i="6" s="1"/>
  <c r="I35" i="6" s="1"/>
  <c r="G36" i="8"/>
  <c r="D37" i="7"/>
  <c r="D41" i="7"/>
  <c r="D33" i="7"/>
  <c r="D32" i="9"/>
  <c r="H44" i="13"/>
  <c r="I44" i="13" s="1"/>
  <c r="H40" i="18"/>
  <c r="I40" i="18" s="1"/>
  <c r="H49" i="18"/>
  <c r="I49" i="18" s="1"/>
  <c r="H43" i="18"/>
  <c r="I43" i="18" s="1"/>
  <c r="D52" i="18"/>
  <c r="D53" i="18" s="1"/>
  <c r="H29" i="18"/>
  <c r="I29" i="18" s="1"/>
  <c r="D58" i="17"/>
  <c r="D59" i="17" s="1"/>
  <c r="H55" i="17"/>
  <c r="I55" i="17" s="1"/>
  <c r="H49" i="17"/>
  <c r="I49" i="17" s="1"/>
  <c r="H32" i="17"/>
  <c r="I32" i="17" s="1"/>
  <c r="G50" i="17"/>
  <c r="G57" i="17" s="1"/>
  <c r="H51" i="16"/>
  <c r="I51" i="16" s="1"/>
  <c r="D54" i="16"/>
  <c r="D55" i="16" s="1"/>
  <c r="H46" i="16"/>
  <c r="I46" i="16" s="1"/>
  <c r="H31" i="16"/>
  <c r="I31" i="16" s="1"/>
  <c r="G53" i="16"/>
  <c r="H45" i="16"/>
  <c r="I45" i="16" s="1"/>
  <c r="D54" i="15"/>
  <c r="D55" i="15" s="1"/>
  <c r="H46" i="15"/>
  <c r="I46" i="15" s="1"/>
  <c r="H51" i="15"/>
  <c r="I51" i="15" s="1"/>
  <c r="H31" i="15"/>
  <c r="I31" i="15" s="1"/>
  <c r="G53" i="15"/>
  <c r="H45" i="15"/>
  <c r="I45" i="15" s="1"/>
  <c r="D56" i="14"/>
  <c r="D57" i="14" s="1"/>
  <c r="H47" i="14"/>
  <c r="I47" i="14" s="1"/>
  <c r="H44" i="14"/>
  <c r="I44" i="14" s="1"/>
  <c r="G48" i="14"/>
  <c r="H53" i="14"/>
  <c r="I53" i="14" s="1"/>
  <c r="H31" i="13"/>
  <c r="I31" i="13" s="1"/>
  <c r="H47" i="13"/>
  <c r="I47" i="13" s="1"/>
  <c r="G48" i="13"/>
  <c r="H53" i="13"/>
  <c r="I53" i="13" s="1"/>
  <c r="D56" i="13"/>
  <c r="D57" i="13" s="1"/>
  <c r="D39" i="8"/>
  <c r="C40" i="8"/>
  <c r="D40" i="8" s="1"/>
  <c r="H37" i="9"/>
  <c r="I37" i="9" s="1"/>
  <c r="H39" i="12"/>
  <c r="I39" i="12" s="1"/>
  <c r="F41" i="8"/>
  <c r="G41" i="8" s="1"/>
  <c r="C41" i="8"/>
  <c r="G39" i="8"/>
  <c r="F40" i="8"/>
  <c r="G40" i="8" s="1"/>
  <c r="H39" i="7"/>
  <c r="I39" i="7" s="1"/>
  <c r="H39" i="6"/>
  <c r="I39" i="6" s="1"/>
  <c r="E47" i="6"/>
  <c r="G47" i="6" s="1"/>
  <c r="G52" i="6"/>
  <c r="H39" i="4"/>
  <c r="I39" i="4" s="1"/>
  <c r="H36" i="9"/>
  <c r="I36" i="9" s="1"/>
  <c r="H38" i="12"/>
  <c r="I38" i="12" s="1"/>
  <c r="H38" i="6"/>
  <c r="I38" i="6" s="1"/>
  <c r="H38" i="7"/>
  <c r="I38" i="7" s="1"/>
  <c r="D35" i="4"/>
  <c r="G33" i="4"/>
  <c r="G35" i="4"/>
  <c r="G43" i="4"/>
  <c r="G34" i="4"/>
  <c r="D34" i="4"/>
  <c r="H38" i="4"/>
  <c r="I38" i="4" s="1"/>
  <c r="D30" i="12"/>
  <c r="D52" i="8"/>
  <c r="D37" i="8"/>
  <c r="D36" i="8"/>
  <c r="H36" i="8" s="1"/>
  <c r="I36" i="8" s="1"/>
  <c r="D34" i="8"/>
  <c r="G34" i="8"/>
  <c r="G45" i="8"/>
  <c r="G37" i="8"/>
  <c r="G38" i="8"/>
  <c r="D41" i="8"/>
  <c r="D52" i="6"/>
  <c r="D51" i="12"/>
  <c r="D45" i="4"/>
  <c r="D54" i="4"/>
  <c r="G56" i="8"/>
  <c r="G50" i="9"/>
  <c r="E47" i="8"/>
  <c r="G47" i="8" s="1"/>
  <c r="E48" i="8"/>
  <c r="G48" i="8" s="1"/>
  <c r="E48" i="7"/>
  <c r="G48" i="7" s="1"/>
  <c r="E41" i="9"/>
  <c r="G41" i="9" s="1"/>
  <c r="D56" i="8"/>
  <c r="G49" i="7"/>
  <c r="D46" i="12"/>
  <c r="D54" i="12"/>
  <c r="E51" i="8"/>
  <c r="G51" i="8" s="1"/>
  <c r="E29" i="12"/>
  <c r="G29" i="12" s="1"/>
  <c r="E43" i="7"/>
  <c r="G43" i="7" s="1"/>
  <c r="G54" i="12"/>
  <c r="H54" i="12" s="1"/>
  <c r="I54" i="12" s="1"/>
  <c r="E52" i="8"/>
  <c r="G52" i="8" s="1"/>
  <c r="H52" i="8" s="1"/>
  <c r="I52" i="8" s="1"/>
  <c r="G51" i="4"/>
  <c r="G52" i="12"/>
  <c r="E43" i="6"/>
  <c r="G43" i="6" s="1"/>
  <c r="E48" i="6"/>
  <c r="G48" i="6" s="1"/>
  <c r="D30" i="6"/>
  <c r="E44" i="6"/>
  <c r="G44" i="6" s="1"/>
  <c r="H44" i="6" s="1"/>
  <c r="I44" i="6" s="1"/>
  <c r="D49" i="7"/>
  <c r="G31" i="8"/>
  <c r="H31" i="8" s="1"/>
  <c r="I31" i="8" s="1"/>
  <c r="G52" i="7"/>
  <c r="D53" i="8"/>
  <c r="D29" i="12"/>
  <c r="D28" i="9"/>
  <c r="G50" i="6"/>
  <c r="D50" i="9"/>
  <c r="E30" i="8"/>
  <c r="G30" i="8" s="1"/>
  <c r="E44" i="7"/>
  <c r="G44" i="7" s="1"/>
  <c r="E47" i="7"/>
  <c r="G47" i="7" s="1"/>
  <c r="D50" i="6"/>
  <c r="D43" i="7"/>
  <c r="D29" i="7"/>
  <c r="G54" i="4"/>
  <c r="G49" i="6"/>
  <c r="E29" i="6"/>
  <c r="G29" i="6" s="1"/>
  <c r="G47" i="9"/>
  <c r="G27" i="9"/>
  <c r="D41" i="9"/>
  <c r="E29" i="7"/>
  <c r="G29" i="7" s="1"/>
  <c r="E49" i="12"/>
  <c r="G49" i="12" s="1"/>
  <c r="H49" i="12" s="1"/>
  <c r="I49" i="12" s="1"/>
  <c r="D48" i="6"/>
  <c r="D47" i="7"/>
  <c r="D30" i="8"/>
  <c r="D32" i="8" s="1"/>
  <c r="E29" i="4"/>
  <c r="G29" i="4" s="1"/>
  <c r="D49" i="6"/>
  <c r="G54" i="8"/>
  <c r="D45" i="12"/>
  <c r="E42" i="9"/>
  <c r="G42" i="9" s="1"/>
  <c r="D47" i="9"/>
  <c r="E50" i="12"/>
  <c r="G50" i="12" s="1"/>
  <c r="E45" i="9"/>
  <c r="G45" i="9" s="1"/>
  <c r="D52" i="7"/>
  <c r="D48" i="7"/>
  <c r="D46" i="9"/>
  <c r="D30" i="4"/>
  <c r="E45" i="4"/>
  <c r="G45" i="4" s="1"/>
  <c r="D33" i="4"/>
  <c r="G53" i="8"/>
  <c r="E28" i="9"/>
  <c r="G28" i="9" s="1"/>
  <c r="D52" i="12"/>
  <c r="D48" i="9"/>
  <c r="D50" i="12"/>
  <c r="E30" i="12"/>
  <c r="G30" i="12" s="1"/>
  <c r="E45" i="12"/>
  <c r="G45" i="12" s="1"/>
  <c r="E46" i="9"/>
  <c r="G46" i="9" s="1"/>
  <c r="D29" i="6"/>
  <c r="G50" i="7"/>
  <c r="D30" i="7"/>
  <c r="D47" i="8"/>
  <c r="G52" i="4"/>
  <c r="E49" i="4"/>
  <c r="G49" i="4" s="1"/>
  <c r="G33" i="12"/>
  <c r="H33" i="12" s="1"/>
  <c r="I33" i="12" s="1"/>
  <c r="D45" i="8"/>
  <c r="D45" i="9"/>
  <c r="G36" i="4"/>
  <c r="G32" i="4"/>
  <c r="G36" i="6"/>
  <c r="H36" i="6" s="1"/>
  <c r="I36" i="6" s="1"/>
  <c r="G33" i="7"/>
  <c r="H33" i="7" s="1"/>
  <c r="I33" i="7" s="1"/>
  <c r="G30" i="7"/>
  <c r="G33" i="8"/>
  <c r="H33" i="8" s="1"/>
  <c r="I33" i="8" s="1"/>
  <c r="G51" i="12"/>
  <c r="D29" i="4"/>
  <c r="D50" i="7"/>
  <c r="D49" i="4"/>
  <c r="D47" i="6"/>
  <c r="D41" i="6"/>
  <c r="D33" i="6"/>
  <c r="D51" i="8"/>
  <c r="D54" i="8"/>
  <c r="D27" i="9"/>
  <c r="D42" i="9"/>
  <c r="D43" i="4"/>
  <c r="G32" i="6"/>
  <c r="G36" i="7"/>
  <c r="G35" i="8"/>
  <c r="D46" i="4"/>
  <c r="D34" i="7"/>
  <c r="D44" i="7"/>
  <c r="D48" i="8"/>
  <c r="D52" i="4"/>
  <c r="D36" i="4"/>
  <c r="D51" i="4"/>
  <c r="G34" i="6"/>
  <c r="H34" i="6" s="1"/>
  <c r="I34" i="6" s="1"/>
  <c r="G32" i="7"/>
  <c r="D35" i="9"/>
  <c r="D37" i="4"/>
  <c r="D50" i="4"/>
  <c r="G41" i="6"/>
  <c r="G33" i="6"/>
  <c r="G37" i="4"/>
  <c r="H37" i="12"/>
  <c r="I37" i="12" s="1"/>
  <c r="G35" i="9"/>
  <c r="G40" i="9" s="1"/>
  <c r="D38" i="8"/>
  <c r="G30" i="6"/>
  <c r="G50" i="4"/>
  <c r="H37" i="7"/>
  <c r="I37" i="7" s="1"/>
  <c r="H30" i="9"/>
  <c r="I30" i="9" s="1"/>
  <c r="D44" i="12"/>
  <c r="D43" i="6"/>
  <c r="D45" i="6" s="1"/>
  <c r="H43" i="12"/>
  <c r="I43" i="12" s="1"/>
  <c r="H39" i="9"/>
  <c r="I39" i="9" s="1"/>
  <c r="H35" i="7"/>
  <c r="I35" i="7" s="1"/>
  <c r="H31" i="9"/>
  <c r="I31" i="9" s="1"/>
  <c r="G46" i="12"/>
  <c r="H35" i="12"/>
  <c r="I35" i="12" s="1"/>
  <c r="H33" i="9"/>
  <c r="I33" i="9" s="1"/>
  <c r="H32" i="12"/>
  <c r="I32" i="12" s="1"/>
  <c r="G48" i="9"/>
  <c r="H34" i="9"/>
  <c r="I34" i="9" s="1"/>
  <c r="H32" i="9"/>
  <c r="I32" i="9" s="1"/>
  <c r="H36" i="12"/>
  <c r="I36" i="12" s="1"/>
  <c r="E46" i="4"/>
  <c r="G46" i="4" s="1"/>
  <c r="E30" i="4"/>
  <c r="G30" i="4" s="1"/>
  <c r="H39" i="8" l="1"/>
  <c r="I39" i="8" s="1"/>
  <c r="G51" i="18"/>
  <c r="G52" i="18" s="1"/>
  <c r="G53" i="18" s="1"/>
  <c r="H30" i="12"/>
  <c r="I30" i="12" s="1"/>
  <c r="H36" i="7"/>
  <c r="I36" i="7" s="1"/>
  <c r="D31" i="12"/>
  <c r="H41" i="7"/>
  <c r="I41" i="7" s="1"/>
  <c r="D42" i="7"/>
  <c r="D61" i="17"/>
  <c r="D62" i="17" s="1"/>
  <c r="H57" i="17"/>
  <c r="I57" i="17" s="1"/>
  <c r="G59" i="17"/>
  <c r="J50" i="17" s="1"/>
  <c r="G58" i="17"/>
  <c r="H50" i="17"/>
  <c r="I50" i="17" s="1"/>
  <c r="H53" i="16"/>
  <c r="I53" i="16" s="1"/>
  <c r="G54" i="16"/>
  <c r="H53" i="15"/>
  <c r="I53" i="15" s="1"/>
  <c r="G54" i="15"/>
  <c r="D59" i="14"/>
  <c r="D60" i="14" s="1"/>
  <c r="H48" i="14"/>
  <c r="I48" i="14" s="1"/>
  <c r="G55" i="14"/>
  <c r="D59" i="13"/>
  <c r="D60" i="13" s="1"/>
  <c r="H48" i="13"/>
  <c r="I48" i="13" s="1"/>
  <c r="G55" i="13"/>
  <c r="H33" i="4"/>
  <c r="I33" i="4" s="1"/>
  <c r="H40" i="8"/>
  <c r="I40" i="8" s="1"/>
  <c r="H30" i="8"/>
  <c r="I30" i="8" s="1"/>
  <c r="H30" i="6"/>
  <c r="I30" i="6" s="1"/>
  <c r="D31" i="6"/>
  <c r="H50" i="9"/>
  <c r="I50" i="9" s="1"/>
  <c r="H52" i="6"/>
  <c r="I52" i="6" s="1"/>
  <c r="H41" i="8"/>
  <c r="I41" i="8" s="1"/>
  <c r="H29" i="7"/>
  <c r="I29" i="7" s="1"/>
  <c r="H43" i="7"/>
  <c r="I43" i="7" s="1"/>
  <c r="H35" i="4"/>
  <c r="I35" i="4" s="1"/>
  <c r="H37" i="8"/>
  <c r="I37" i="8" s="1"/>
  <c r="H43" i="4"/>
  <c r="I43" i="4" s="1"/>
  <c r="H34" i="4"/>
  <c r="I34" i="4" s="1"/>
  <c r="H48" i="7"/>
  <c r="I48" i="7" s="1"/>
  <c r="D31" i="7"/>
  <c r="D47" i="12"/>
  <c r="D48" i="12" s="1"/>
  <c r="F7" i="11" s="1"/>
  <c r="H51" i="4"/>
  <c r="I51" i="4" s="1"/>
  <c r="H45" i="8"/>
  <c r="I45" i="8" s="1"/>
  <c r="G49" i="8"/>
  <c r="H34" i="8"/>
  <c r="I34" i="8" s="1"/>
  <c r="H56" i="8"/>
  <c r="I56" i="8" s="1"/>
  <c r="H38" i="8"/>
  <c r="I38" i="8" s="1"/>
  <c r="D43" i="9"/>
  <c r="H47" i="9"/>
  <c r="I47" i="9" s="1"/>
  <c r="H28" i="9"/>
  <c r="I28" i="9" s="1"/>
  <c r="G32" i="8"/>
  <c r="H32" i="8" s="1"/>
  <c r="I32" i="8" s="1"/>
  <c r="G46" i="8"/>
  <c r="G50" i="8" s="1"/>
  <c r="G51" i="7"/>
  <c r="H49" i="7"/>
  <c r="I49" i="7" s="1"/>
  <c r="H44" i="7"/>
  <c r="I44" i="7" s="1"/>
  <c r="H30" i="7"/>
  <c r="I30" i="7" s="1"/>
  <c r="H51" i="12"/>
  <c r="I51" i="12" s="1"/>
  <c r="H54" i="4"/>
  <c r="I54" i="4" s="1"/>
  <c r="D47" i="4"/>
  <c r="H45" i="4"/>
  <c r="I45" i="4" s="1"/>
  <c r="H47" i="8"/>
  <c r="I47" i="8" s="1"/>
  <c r="H50" i="6"/>
  <c r="I50" i="6" s="1"/>
  <c r="H33" i="6"/>
  <c r="I33" i="6" s="1"/>
  <c r="H45" i="12"/>
  <c r="I45" i="12" s="1"/>
  <c r="H52" i="12"/>
  <c r="I52" i="12" s="1"/>
  <c r="H52" i="7"/>
  <c r="I52" i="7" s="1"/>
  <c r="G44" i="12"/>
  <c r="H44" i="12" s="1"/>
  <c r="I44" i="12" s="1"/>
  <c r="D42" i="6"/>
  <c r="D46" i="6" s="1"/>
  <c r="H36" i="4"/>
  <c r="I36" i="4" s="1"/>
  <c r="G45" i="7"/>
  <c r="H35" i="9"/>
  <c r="I35" i="9" s="1"/>
  <c r="H50" i="7"/>
  <c r="I50" i="7" s="1"/>
  <c r="H37" i="4"/>
  <c r="I37" i="4" s="1"/>
  <c r="H27" i="9"/>
  <c r="I27" i="9" s="1"/>
  <c r="D53" i="12"/>
  <c r="H53" i="8"/>
  <c r="I53" i="8" s="1"/>
  <c r="H54" i="8"/>
  <c r="I54" i="8" s="1"/>
  <c r="G31" i="6"/>
  <c r="H43" i="6"/>
  <c r="I43" i="6" s="1"/>
  <c r="H42" i="9"/>
  <c r="I42" i="9" s="1"/>
  <c r="H49" i="6"/>
  <c r="I49" i="6" s="1"/>
  <c r="D40" i="9"/>
  <c r="G42" i="7"/>
  <c r="G53" i="12"/>
  <c r="H29" i="4"/>
  <c r="I29" i="4" s="1"/>
  <c r="H47" i="7"/>
  <c r="I47" i="7" s="1"/>
  <c r="G45" i="6"/>
  <c r="H45" i="6" s="1"/>
  <c r="I45" i="6" s="1"/>
  <c r="H29" i="12"/>
  <c r="I29" i="12" s="1"/>
  <c r="H46" i="9"/>
  <c r="I46" i="9" s="1"/>
  <c r="H35" i="8"/>
  <c r="I35" i="8" s="1"/>
  <c r="H34" i="7"/>
  <c r="I34" i="7" s="1"/>
  <c r="H50" i="12"/>
  <c r="I50" i="12" s="1"/>
  <c r="H41" i="6"/>
  <c r="I41" i="6" s="1"/>
  <c r="D44" i="4"/>
  <c r="D49" i="8"/>
  <c r="D55" i="8"/>
  <c r="D51" i="6"/>
  <c r="D31" i="4"/>
  <c r="H45" i="9"/>
  <c r="I45" i="9" s="1"/>
  <c r="D29" i="9"/>
  <c r="H41" i="9"/>
  <c r="I41" i="9" s="1"/>
  <c r="D51" i="7"/>
  <c r="G55" i="8"/>
  <c r="G31" i="12"/>
  <c r="H31" i="12" s="1"/>
  <c r="I31" i="12" s="1"/>
  <c r="H48" i="6"/>
  <c r="I48" i="6" s="1"/>
  <c r="H29" i="6"/>
  <c r="I29" i="6" s="1"/>
  <c r="D49" i="9"/>
  <c r="H51" i="8"/>
  <c r="I51" i="8" s="1"/>
  <c r="G43" i="9"/>
  <c r="G44" i="9" s="1"/>
  <c r="H32" i="7"/>
  <c r="I32" i="7" s="1"/>
  <c r="D46" i="8"/>
  <c r="G29" i="9"/>
  <c r="H52" i="4"/>
  <c r="I52" i="4" s="1"/>
  <c r="H47" i="6"/>
  <c r="I47" i="6" s="1"/>
  <c r="G51" i="6"/>
  <c r="G42" i="6"/>
  <c r="H32" i="6"/>
  <c r="I32" i="6" s="1"/>
  <c r="G31" i="7"/>
  <c r="D53" i="4"/>
  <c r="H48" i="8"/>
  <c r="I48" i="8" s="1"/>
  <c r="D45" i="7"/>
  <c r="H32" i="4"/>
  <c r="I32" i="4" s="1"/>
  <c r="G44" i="4"/>
  <c r="H49" i="4"/>
  <c r="I49" i="4" s="1"/>
  <c r="H50" i="4"/>
  <c r="I50" i="4" s="1"/>
  <c r="G53" i="4"/>
  <c r="H46" i="4"/>
  <c r="I46" i="4" s="1"/>
  <c r="G47" i="4"/>
  <c r="H30" i="4"/>
  <c r="I30" i="4" s="1"/>
  <c r="G31" i="4"/>
  <c r="H48" i="9"/>
  <c r="I48" i="9" s="1"/>
  <c r="H46" i="12"/>
  <c r="I46" i="12" s="1"/>
  <c r="G47" i="12"/>
  <c r="G49" i="9"/>
  <c r="H51" i="18" l="1"/>
  <c r="I51" i="18" s="1"/>
  <c r="H42" i="7"/>
  <c r="I42" i="7" s="1"/>
  <c r="J57" i="17"/>
  <c r="H53" i="18"/>
  <c r="I53" i="18" s="1"/>
  <c r="J53" i="18"/>
  <c r="J47" i="18"/>
  <c r="J35" i="18"/>
  <c r="J38" i="18"/>
  <c r="J30" i="18"/>
  <c r="J39" i="18"/>
  <c r="J37" i="18"/>
  <c r="J42" i="18"/>
  <c r="J33" i="18"/>
  <c r="J34" i="18"/>
  <c r="J36" i="18"/>
  <c r="J50" i="18"/>
  <c r="J48" i="18"/>
  <c r="J32" i="18"/>
  <c r="J31" i="18"/>
  <c r="J45" i="18"/>
  <c r="J46" i="18"/>
  <c r="J27" i="18"/>
  <c r="J41" i="18"/>
  <c r="J40" i="18"/>
  <c r="J28" i="18"/>
  <c r="J44" i="18"/>
  <c r="J29" i="18"/>
  <c r="J49" i="18"/>
  <c r="J43" i="18"/>
  <c r="H52" i="18"/>
  <c r="I52" i="18" s="1"/>
  <c r="J52" i="18"/>
  <c r="J51" i="18"/>
  <c r="G61" i="17"/>
  <c r="G62" i="17" s="1"/>
  <c r="H62" i="17" s="1"/>
  <c r="I62" i="17" s="1"/>
  <c r="H59" i="17"/>
  <c r="I59" i="17" s="1"/>
  <c r="J59" i="17"/>
  <c r="J41" i="17"/>
  <c r="J39" i="17"/>
  <c r="J37" i="17"/>
  <c r="J35" i="17"/>
  <c r="J36" i="17"/>
  <c r="J56" i="17"/>
  <c r="J33" i="17"/>
  <c r="J40" i="17"/>
  <c r="J42" i="17"/>
  <c r="J43" i="17"/>
  <c r="J53" i="17"/>
  <c r="J54" i="17"/>
  <c r="J44" i="17"/>
  <c r="J38" i="17"/>
  <c r="J45" i="17"/>
  <c r="J31" i="17"/>
  <c r="J30" i="17"/>
  <c r="J34" i="17"/>
  <c r="J52" i="17"/>
  <c r="J51" i="17"/>
  <c r="J47" i="17"/>
  <c r="J46" i="17"/>
  <c r="J48" i="17"/>
  <c r="J55" i="17"/>
  <c r="J32" i="17"/>
  <c r="J49" i="17"/>
  <c r="H58" i="17"/>
  <c r="I58" i="17" s="1"/>
  <c r="J58" i="17"/>
  <c r="H54" i="16"/>
  <c r="I54" i="16" s="1"/>
  <c r="G55" i="16"/>
  <c r="H54" i="15"/>
  <c r="I54" i="15" s="1"/>
  <c r="G55" i="15"/>
  <c r="J54" i="15" s="1"/>
  <c r="H55" i="14"/>
  <c r="I55" i="14" s="1"/>
  <c r="G56" i="14"/>
  <c r="H55" i="13"/>
  <c r="I55" i="13" s="1"/>
  <c r="G56" i="13"/>
  <c r="H31" i="6"/>
  <c r="I31" i="6" s="1"/>
  <c r="H49" i="8"/>
  <c r="I49" i="8" s="1"/>
  <c r="H31" i="7"/>
  <c r="I31" i="7" s="1"/>
  <c r="G46" i="6"/>
  <c r="G8" i="11" s="1"/>
  <c r="D44" i="9"/>
  <c r="H44" i="9" s="1"/>
  <c r="I44" i="9" s="1"/>
  <c r="H51" i="7"/>
  <c r="I51" i="7" s="1"/>
  <c r="D55" i="12"/>
  <c r="D56" i="12" s="1"/>
  <c r="D57" i="12" s="1"/>
  <c r="D59" i="12" s="1"/>
  <c r="D60" i="12" s="1"/>
  <c r="J7" i="11" s="1"/>
  <c r="D48" i="4"/>
  <c r="F6" i="11" s="1"/>
  <c r="G46" i="7"/>
  <c r="G53" i="7" s="1"/>
  <c r="H53" i="12"/>
  <c r="I53" i="12" s="1"/>
  <c r="G48" i="12"/>
  <c r="H48" i="12" s="1"/>
  <c r="I48" i="12" s="1"/>
  <c r="H45" i="7"/>
  <c r="I45" i="7" s="1"/>
  <c r="H55" i="8"/>
  <c r="I55" i="8" s="1"/>
  <c r="D46" i="7"/>
  <c r="H29" i="9"/>
  <c r="I29" i="9" s="1"/>
  <c r="H43" i="9"/>
  <c r="I43" i="9" s="1"/>
  <c r="H40" i="9"/>
  <c r="I40" i="9" s="1"/>
  <c r="D53" i="7"/>
  <c r="D54" i="7" s="1"/>
  <c r="D55" i="7" s="1"/>
  <c r="H44" i="4"/>
  <c r="I44" i="4" s="1"/>
  <c r="H51" i="6"/>
  <c r="I51" i="6" s="1"/>
  <c r="D50" i="8"/>
  <c r="H50" i="8" s="1"/>
  <c r="I50" i="8" s="1"/>
  <c r="H42" i="6"/>
  <c r="I42" i="6" s="1"/>
  <c r="H46" i="8"/>
  <c r="I46" i="8" s="1"/>
  <c r="G53" i="6"/>
  <c r="G54" i="6" s="1"/>
  <c r="H53" i="4"/>
  <c r="I53" i="4" s="1"/>
  <c r="G9" i="11"/>
  <c r="G57" i="8"/>
  <c r="G51" i="9"/>
  <c r="G10" i="11"/>
  <c r="H49" i="9"/>
  <c r="I49" i="9" s="1"/>
  <c r="F8" i="11"/>
  <c r="H46" i="6"/>
  <c r="I46" i="6" s="1"/>
  <c r="D53" i="6"/>
  <c r="H31" i="4"/>
  <c r="I31" i="4" s="1"/>
  <c r="H47" i="12"/>
  <c r="I47" i="12" s="1"/>
  <c r="G48" i="4"/>
  <c r="G55" i="4" s="1"/>
  <c r="H47" i="4"/>
  <c r="I47" i="4" s="1"/>
  <c r="J55" i="16" l="1"/>
  <c r="H55" i="16"/>
  <c r="I55" i="16" s="1"/>
  <c r="J52" i="16"/>
  <c r="J37" i="16"/>
  <c r="J33" i="16"/>
  <c r="J35" i="16"/>
  <c r="J40" i="16"/>
  <c r="J32" i="16"/>
  <c r="J38" i="16"/>
  <c r="J50" i="16"/>
  <c r="J39" i="16"/>
  <c r="J49" i="16"/>
  <c r="J34" i="16"/>
  <c r="J36" i="16"/>
  <c r="J41" i="16"/>
  <c r="J44" i="16"/>
  <c r="J29" i="16"/>
  <c r="J42" i="16"/>
  <c r="J43" i="16"/>
  <c r="J47" i="16"/>
  <c r="J48" i="16"/>
  <c r="J30" i="16"/>
  <c r="J51" i="16"/>
  <c r="J46" i="16"/>
  <c r="J31" i="16"/>
  <c r="J45" i="16"/>
  <c r="J53" i="16"/>
  <c r="J54" i="16"/>
  <c r="J55" i="15"/>
  <c r="H55" i="15"/>
  <c r="I55" i="15" s="1"/>
  <c r="J35" i="15"/>
  <c r="J39" i="15"/>
  <c r="J32" i="15"/>
  <c r="J33" i="15"/>
  <c r="J38" i="15"/>
  <c r="J37" i="15"/>
  <c r="J50" i="15"/>
  <c r="J41" i="15"/>
  <c r="J49" i="15"/>
  <c r="J52" i="15"/>
  <c r="J36" i="15"/>
  <c r="J40" i="15"/>
  <c r="J34" i="15"/>
  <c r="J44" i="15"/>
  <c r="J42" i="15"/>
  <c r="J43" i="15"/>
  <c r="J47" i="15"/>
  <c r="J48" i="15"/>
  <c r="J29" i="15"/>
  <c r="J30" i="15"/>
  <c r="J51" i="15"/>
  <c r="J31" i="15"/>
  <c r="J45" i="15"/>
  <c r="J46" i="15"/>
  <c r="J53" i="15"/>
  <c r="H56" i="14"/>
  <c r="I56" i="14" s="1"/>
  <c r="G57" i="14"/>
  <c r="J56" i="14" s="1"/>
  <c r="H56" i="13"/>
  <c r="I56" i="13" s="1"/>
  <c r="G57" i="13"/>
  <c r="H8" i="11"/>
  <c r="G55" i="12"/>
  <c r="G56" i="12" s="1"/>
  <c r="G57" i="12" s="1"/>
  <c r="D55" i="4"/>
  <c r="D56" i="4" s="1"/>
  <c r="D57" i="4" s="1"/>
  <c r="D59" i="4" s="1"/>
  <c r="D60" i="4" s="1"/>
  <c r="J6" i="11" s="1"/>
  <c r="F10" i="11"/>
  <c r="H10" i="11" s="1"/>
  <c r="D51" i="9"/>
  <c r="D52" i="9" s="1"/>
  <c r="D53" i="9" s="1"/>
  <c r="J10" i="11" s="1"/>
  <c r="H46" i="7"/>
  <c r="I46" i="7" s="1"/>
  <c r="G7" i="11"/>
  <c r="H7" i="11" s="1"/>
  <c r="D57" i="8"/>
  <c r="D58" i="8" s="1"/>
  <c r="D59" i="8" s="1"/>
  <c r="D61" i="8" s="1"/>
  <c r="D62" i="8" s="1"/>
  <c r="J9" i="11" s="1"/>
  <c r="F9" i="11"/>
  <c r="H9" i="11" s="1"/>
  <c r="G55" i="6"/>
  <c r="G56" i="4"/>
  <c r="G57" i="4" s="1"/>
  <c r="H53" i="6"/>
  <c r="I53" i="6" s="1"/>
  <c r="D54" i="6"/>
  <c r="H54" i="6" s="1"/>
  <c r="I54" i="6" s="1"/>
  <c r="G58" i="8"/>
  <c r="H53" i="7"/>
  <c r="I53" i="7" s="1"/>
  <c r="G54" i="7"/>
  <c r="G55" i="7" s="1"/>
  <c r="J40" i="7" s="1"/>
  <c r="G6" i="11"/>
  <c r="H6" i="11" s="1"/>
  <c r="H48" i="4"/>
  <c r="I48" i="4" s="1"/>
  <c r="G52" i="9"/>
  <c r="G53" i="9" s="1"/>
  <c r="G59" i="14" l="1"/>
  <c r="G60" i="14" s="1"/>
  <c r="H60" i="14" s="1"/>
  <c r="I60" i="14" s="1"/>
  <c r="H57" i="14"/>
  <c r="I57" i="14" s="1"/>
  <c r="J57" i="14"/>
  <c r="J29" i="14"/>
  <c r="J34" i="14"/>
  <c r="J38" i="14"/>
  <c r="J46" i="14"/>
  <c r="J49" i="14"/>
  <c r="J51" i="14"/>
  <c r="J52" i="14"/>
  <c r="J42" i="14"/>
  <c r="J41" i="14"/>
  <c r="J32" i="14"/>
  <c r="J36" i="14"/>
  <c r="J43" i="14"/>
  <c r="J30" i="14"/>
  <c r="J40" i="14"/>
  <c r="J54" i="14"/>
  <c r="J45" i="14"/>
  <c r="J31" i="14"/>
  <c r="J35" i="14"/>
  <c r="J50" i="14"/>
  <c r="J33" i="14"/>
  <c r="J39" i="14"/>
  <c r="J37" i="14"/>
  <c r="J53" i="14"/>
  <c r="J44" i="14"/>
  <c r="J47" i="14"/>
  <c r="J48" i="14"/>
  <c r="J55" i="14"/>
  <c r="J57" i="13"/>
  <c r="H57" i="13"/>
  <c r="I57" i="13" s="1"/>
  <c r="G59" i="13"/>
  <c r="G60" i="13" s="1"/>
  <c r="H60" i="13" s="1"/>
  <c r="I60" i="13" s="1"/>
  <c r="J51" i="13"/>
  <c r="J37" i="13"/>
  <c r="J32" i="13"/>
  <c r="J33" i="13"/>
  <c r="J35" i="13"/>
  <c r="J40" i="13"/>
  <c r="J54" i="13"/>
  <c r="J42" i="13"/>
  <c r="J39" i="13"/>
  <c r="J43" i="13"/>
  <c r="J38" i="13"/>
  <c r="J52" i="13"/>
  <c r="J41" i="13"/>
  <c r="J30" i="13"/>
  <c r="J36" i="13"/>
  <c r="J49" i="13"/>
  <c r="J44" i="13"/>
  <c r="J50" i="13"/>
  <c r="J29" i="13"/>
  <c r="J46" i="13"/>
  <c r="J34" i="13"/>
  <c r="J45" i="13"/>
  <c r="J31" i="13"/>
  <c r="J47" i="13"/>
  <c r="J53" i="13"/>
  <c r="J48" i="13"/>
  <c r="J55" i="13"/>
  <c r="J56" i="13"/>
  <c r="J37" i="9"/>
  <c r="J38" i="9"/>
  <c r="J39" i="6"/>
  <c r="J40" i="6"/>
  <c r="J39" i="12"/>
  <c r="J42" i="12"/>
  <c r="J40" i="12"/>
  <c r="J41" i="12"/>
  <c r="H55" i="12"/>
  <c r="I55" i="12" s="1"/>
  <c r="J41" i="4"/>
  <c r="J40" i="4"/>
  <c r="J42" i="4"/>
  <c r="H55" i="4"/>
  <c r="I55" i="4" s="1"/>
  <c r="J51" i="9"/>
  <c r="J36" i="9"/>
  <c r="H51" i="9"/>
  <c r="I51" i="9" s="1"/>
  <c r="J38" i="7"/>
  <c r="J39" i="7"/>
  <c r="J54" i="6"/>
  <c r="J38" i="6"/>
  <c r="J55" i="12"/>
  <c r="J38" i="12"/>
  <c r="J38" i="4"/>
  <c r="J39" i="4"/>
  <c r="H57" i="8"/>
  <c r="I57" i="8" s="1"/>
  <c r="J36" i="6"/>
  <c r="J35" i="6"/>
  <c r="J29" i="6"/>
  <c r="J51" i="6"/>
  <c r="J49" i="6"/>
  <c r="J30" i="6"/>
  <c r="J41" i="6"/>
  <c r="J50" i="6"/>
  <c r="J52" i="6"/>
  <c r="J31" i="6"/>
  <c r="J37" i="6"/>
  <c r="J48" i="6"/>
  <c r="J42" i="6"/>
  <c r="J45" i="6"/>
  <c r="J53" i="6"/>
  <c r="J33" i="6"/>
  <c r="J34" i="6"/>
  <c r="J43" i="6"/>
  <c r="J46" i="6"/>
  <c r="J32" i="6"/>
  <c r="J44" i="6"/>
  <c r="J55" i="6"/>
  <c r="J47" i="6"/>
  <c r="K8" i="11"/>
  <c r="J34" i="4"/>
  <c r="J32" i="4"/>
  <c r="J45" i="4"/>
  <c r="J36" i="4"/>
  <c r="J50" i="4"/>
  <c r="J51" i="4"/>
  <c r="J33" i="4"/>
  <c r="J44" i="4"/>
  <c r="J52" i="4"/>
  <c r="G59" i="4"/>
  <c r="G60" i="4" s="1"/>
  <c r="H57" i="4"/>
  <c r="I57" i="4" s="1"/>
  <c r="J57" i="4"/>
  <c r="J43" i="4"/>
  <c r="J54" i="4"/>
  <c r="J35" i="4"/>
  <c r="J29" i="4"/>
  <c r="J37" i="4"/>
  <c r="J49" i="4"/>
  <c r="J53" i="4"/>
  <c r="J30" i="4"/>
  <c r="J46" i="4"/>
  <c r="J31" i="4"/>
  <c r="J47" i="4"/>
  <c r="J55" i="4"/>
  <c r="J48" i="4"/>
  <c r="J34" i="7"/>
  <c r="J43" i="7"/>
  <c r="J37" i="7"/>
  <c r="J41" i="7"/>
  <c r="J52" i="7"/>
  <c r="J50" i="7"/>
  <c r="J30" i="7"/>
  <c r="J44" i="7"/>
  <c r="J42" i="7"/>
  <c r="J31" i="7"/>
  <c r="H55" i="7"/>
  <c r="I55" i="7" s="1"/>
  <c r="J55" i="7"/>
  <c r="J36" i="7"/>
  <c r="J32" i="7"/>
  <c r="J47" i="7"/>
  <c r="J49" i="7"/>
  <c r="J35" i="7"/>
  <c r="J33" i="7"/>
  <c r="J48" i="7"/>
  <c r="J29" i="7"/>
  <c r="J51" i="7"/>
  <c r="J45" i="7"/>
  <c r="J46" i="7"/>
  <c r="H58" i="8"/>
  <c r="I58" i="8" s="1"/>
  <c r="H52" i="9"/>
  <c r="I52" i="9" s="1"/>
  <c r="J52" i="9"/>
  <c r="J57" i="12"/>
  <c r="J43" i="12"/>
  <c r="J30" i="12"/>
  <c r="J35" i="12"/>
  <c r="J52" i="12"/>
  <c r="J33" i="12"/>
  <c r="J36" i="12"/>
  <c r="J45" i="12"/>
  <c r="G59" i="12"/>
  <c r="G60" i="12" s="1"/>
  <c r="J37" i="12"/>
  <c r="H57" i="12"/>
  <c r="I57" i="12" s="1"/>
  <c r="J31" i="12"/>
  <c r="J29" i="12"/>
  <c r="J54" i="12"/>
  <c r="J51" i="12"/>
  <c r="J49" i="12"/>
  <c r="J32" i="12"/>
  <c r="J34" i="12"/>
  <c r="J50" i="12"/>
  <c r="J44" i="12"/>
  <c r="J46" i="12"/>
  <c r="J53" i="12"/>
  <c r="J48" i="12"/>
  <c r="J47" i="12"/>
  <c r="H56" i="12"/>
  <c r="I56" i="12" s="1"/>
  <c r="J56" i="12"/>
  <c r="H54" i="7"/>
  <c r="I54" i="7" s="1"/>
  <c r="J54" i="7"/>
  <c r="G59" i="8"/>
  <c r="J53" i="7"/>
  <c r="D55" i="6"/>
  <c r="K10" i="11"/>
  <c r="L10" i="11" s="1"/>
  <c r="J45" i="9"/>
  <c r="J35" i="9"/>
  <c r="J30" i="9"/>
  <c r="J46" i="9"/>
  <c r="J47" i="9"/>
  <c r="J33" i="9"/>
  <c r="J42" i="9"/>
  <c r="J50" i="9"/>
  <c r="J40" i="9"/>
  <c r="H53" i="9"/>
  <c r="I53" i="9" s="1"/>
  <c r="J53" i="9"/>
  <c r="J41" i="9"/>
  <c r="J27" i="9"/>
  <c r="J31" i="9"/>
  <c r="J29" i="9"/>
  <c r="J39" i="9"/>
  <c r="J28" i="9"/>
  <c r="J34" i="9"/>
  <c r="J32" i="9"/>
  <c r="J48" i="9"/>
  <c r="J43" i="9"/>
  <c r="J44" i="9"/>
  <c r="J49" i="9"/>
  <c r="H56" i="4"/>
  <c r="I56" i="4" s="1"/>
  <c r="J56" i="4"/>
  <c r="J44" i="8" l="1"/>
  <c r="J43" i="8"/>
  <c r="J42" i="8"/>
  <c r="J39" i="8"/>
  <c r="J40" i="8"/>
  <c r="H60" i="12"/>
  <c r="I60" i="12" s="1"/>
  <c r="K7" i="11"/>
  <c r="L7" i="11" s="1"/>
  <c r="H60" i="4"/>
  <c r="I60" i="4" s="1"/>
  <c r="K6" i="11"/>
  <c r="L6" i="11" s="1"/>
  <c r="J8" i="11"/>
  <c r="L8" i="11" s="1"/>
  <c r="H55" i="6"/>
  <c r="I55" i="6" s="1"/>
  <c r="J59" i="8"/>
  <c r="J36" i="8"/>
  <c r="J53" i="8"/>
  <c r="J54" i="8"/>
  <c r="J41" i="8"/>
  <c r="J45" i="8"/>
  <c r="J30" i="8"/>
  <c r="J52" i="8"/>
  <c r="J49" i="8"/>
  <c r="J32" i="8"/>
  <c r="H59" i="8"/>
  <c r="I59" i="8" s="1"/>
  <c r="J38" i="8"/>
  <c r="J37" i="8"/>
  <c r="J33" i="8"/>
  <c r="J31" i="8"/>
  <c r="J55" i="8"/>
  <c r="G61" i="8"/>
  <c r="G62" i="8" s="1"/>
  <c r="J35" i="8"/>
  <c r="J34" i="8"/>
  <c r="J56" i="8"/>
  <c r="J48" i="8"/>
  <c r="J47" i="8"/>
  <c r="J51" i="8"/>
  <c r="J46" i="8"/>
  <c r="J50" i="8"/>
  <c r="J57" i="8"/>
  <c r="J58" i="8"/>
  <c r="H62" i="8" l="1"/>
  <c r="I62" i="8" s="1"/>
  <c r="K9" i="11"/>
  <c r="L9" i="11" s="1"/>
</calcChain>
</file>

<file path=xl/sharedStrings.xml><?xml version="1.0" encoding="utf-8"?>
<sst xmlns="http://schemas.openxmlformats.org/spreadsheetml/2006/main" count="593" uniqueCount="77">
  <si>
    <t>Monthly Rates and Charges</t>
  </si>
  <si>
    <t>Residential - R1</t>
  </si>
  <si>
    <t>Smart Meter Rate Adder</t>
  </si>
  <si>
    <t>Monthly Service Charge</t>
  </si>
  <si>
    <t>Distribution Volumetric Rate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</si>
  <si>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</si>
  <si>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</si>
  <si>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</si>
  <si>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</si>
  <si>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Standard Supply Service - Administarive Charge (if applicable)</t>
  </si>
  <si>
    <t>Residential - R2</t>
  </si>
  <si>
    <t>Retail Transmission Rate - Network Service Rate - Interval Meter &gt; 1,000 kW</t>
  </si>
  <si>
    <t>Retail Transmission Rate - Line and Transformation Connection Service Rate - Interval &gt; 1,000 kW</t>
  </si>
  <si>
    <t>Seasonal</t>
  </si>
  <si>
    <t>Street Lighting</t>
  </si>
  <si>
    <t>$</t>
  </si>
  <si>
    <t>$/kWh</t>
  </si>
  <si>
    <t>$/kW</t>
  </si>
  <si>
    <t>Other</t>
  </si>
  <si>
    <t>Debt Retirement Charge</t>
  </si>
  <si>
    <t>Energy - First Tier</t>
  </si>
  <si>
    <t>Energy - Second Tier</t>
  </si>
  <si>
    <t>%</t>
  </si>
  <si>
    <t>Loss Factor</t>
  </si>
  <si>
    <t>Total Loss Factor</t>
  </si>
  <si>
    <t>Metric</t>
  </si>
  <si>
    <t>Consumption</t>
  </si>
  <si>
    <t>kWh</t>
  </si>
  <si>
    <t>kW</t>
  </si>
  <si>
    <t>RPP Tier One</t>
  </si>
  <si>
    <t>Load Factor</t>
  </si>
  <si>
    <t>Volume</t>
  </si>
  <si>
    <t>Total:    Retail Transmission</t>
  </si>
  <si>
    <t>Total Bill</t>
  </si>
  <si>
    <t>% of Total Bill</t>
  </si>
  <si>
    <t>Energy, First Tier (kWh)</t>
  </si>
  <si>
    <t>Energy, Second Tier (kWh)</t>
  </si>
  <si>
    <t>Rate</t>
  </si>
  <si>
    <t>Charge</t>
  </si>
  <si>
    <t>Sub-Total:    Energy</t>
  </si>
  <si>
    <t>Total:    Distribution</t>
  </si>
  <si>
    <t>Sub-Total:    Delivery (Distribution and Retail Transmission)</t>
  </si>
  <si>
    <t>Sub-Total:    Regulatory</t>
  </si>
  <si>
    <t>Total Bill Before Taxes</t>
  </si>
  <si>
    <t>Impacts</t>
  </si>
  <si>
    <t>Special Purpose Charge</t>
  </si>
  <si>
    <t>GST / HST</t>
  </si>
  <si>
    <t>Algoma Power Inc.</t>
  </si>
  <si>
    <t>Residential Customers with an Interval Meter</t>
  </si>
  <si>
    <t>Current Approved Rates</t>
  </si>
  <si>
    <t>Rate Rider for Deferral/Variance Account Disposition - effective until May 31, 2013</t>
  </si>
  <si>
    <t>Rate Rider for Deferral/Variance Account Disposition - effective until November 30, 2015</t>
  </si>
  <si>
    <t>Rate Rider for Tax Changes - effective until December 31, 2012</t>
  </si>
  <si>
    <t>Customer Class</t>
  </si>
  <si>
    <t>Usage Profile</t>
  </si>
  <si>
    <t>Delivery Charges</t>
  </si>
  <si>
    <t>Current</t>
  </si>
  <si>
    <t>Proposed</t>
  </si>
  <si>
    <t>% Chg.</t>
  </si>
  <si>
    <t>Residential R1</t>
  </si>
  <si>
    <t>Residential R2</t>
  </si>
  <si>
    <t>Electricty Distribution Rate Proposal</t>
  </si>
  <si>
    <t>OCEB Credit</t>
  </si>
  <si>
    <t>Balance after OCEB Credit has been applied</t>
  </si>
  <si>
    <t>Rate Rider for Foregone Revenue Recovery - effective until December 31, 2012</t>
  </si>
  <si>
    <t>EB-2012-0104</t>
  </si>
  <si>
    <t>Proposed January 1, 2013</t>
  </si>
  <si>
    <t>Rate Rider for Deferral/Variance Account Disposition (2012) - effective until December 31, 2013</t>
  </si>
  <si>
    <t>Rate Rider for Global Adjustment Sub-Account Disposition (2012) - effective until December 31, 2013</t>
  </si>
  <si>
    <t>Rate Rider for PILs - effective until December 31, 2013</t>
  </si>
  <si>
    <t>Rate Impacts Summary Arising from the Rate Design Proposal</t>
  </si>
  <si>
    <t>Smart Meter Cost Recovery Rate Rider - Net Deferred Revenue Requirement, effective until December 31, 2013</t>
  </si>
  <si>
    <t>Smart Meter Cost Recovery Rate Rider - Incremental Revenue Requirement, effective until December 31, 2013</t>
  </si>
  <si>
    <t>2013 Distribution Rate Impact Module</t>
  </si>
  <si>
    <t>2013 IR</t>
  </si>
  <si>
    <t>January 3, 2013</t>
  </si>
  <si>
    <t>Response to Board Staff Interrogatory No. 21b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</si>
</sst>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00_);_(* \(#,##0.0000\);_(* &quot;-&quot;??_);_(@_)"/>
    <numFmt numFmtId="167" formatCode="0.0%"/>
    <numFmt numFmtId="168" formatCode="0.0000"/>
    <numFmt numFmtId="169" formatCode="_(* #,##0_);_(* \(#,##0\);_(* &quot;-&quot;??_);_(@_)"/>
    <numFmt numFmtId="170" formatCode="0.0"/>
    <numFmt numFmtId="171" formatCode="_(* #,##0.0000000_);_(* \(#,##0.000000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6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5" fontId="0" fillId="0" borderId="0" xfId="1" applyFont="1"/>
    <xf numFmtId="166" fontId="0" fillId="0" borderId="0" xfId="1" applyNumberFormat="1" applyFont="1"/>
    <xf numFmtId="167" fontId="0" fillId="0" borderId="0" xfId="3" applyNumberFormat="1" applyFont="1"/>
    <xf numFmtId="165" fontId="0" fillId="0" borderId="0" xfId="0" applyNumberFormat="1"/>
    <xf numFmtId="167" fontId="0" fillId="0" borderId="0" xfId="0" applyNumberForma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1" xfId="0" applyFont="1" applyBorder="1"/>
    <xf numFmtId="165" fontId="5" fillId="0" borderId="2" xfId="0" applyNumberFormat="1" applyFont="1" applyBorder="1"/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165" fontId="5" fillId="0" borderId="6" xfId="0" applyNumberFormat="1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166" fontId="5" fillId="0" borderId="8" xfId="0" applyNumberFormat="1" applyFont="1" applyBorder="1"/>
    <xf numFmtId="166" fontId="5" fillId="0" borderId="9" xfId="0" applyNumberFormat="1" applyFont="1" applyBorder="1"/>
    <xf numFmtId="0" fontId="5" fillId="0" borderId="10" xfId="0" applyFont="1" applyBorder="1"/>
    <xf numFmtId="0" fontId="5" fillId="0" borderId="11" xfId="0" applyFont="1" applyBorder="1" applyAlignment="1">
      <alignment horizontal="center"/>
    </xf>
    <xf numFmtId="165" fontId="5" fillId="0" borderId="11" xfId="0" applyNumberFormat="1" applyFont="1" applyBorder="1"/>
    <xf numFmtId="165" fontId="5" fillId="0" borderId="12" xfId="0" applyNumberFormat="1" applyFont="1" applyBorder="1"/>
    <xf numFmtId="0" fontId="5" fillId="0" borderId="13" xfId="0" applyFont="1" applyBorder="1"/>
    <xf numFmtId="0" fontId="5" fillId="0" borderId="14" xfId="0" applyFont="1" applyBorder="1" applyAlignment="1">
      <alignment horizontal="center"/>
    </xf>
    <xf numFmtId="165" fontId="5" fillId="0" borderId="14" xfId="0" applyNumberFormat="1" applyFont="1" applyBorder="1"/>
    <xf numFmtId="165" fontId="5" fillId="0" borderId="15" xfId="0" applyNumberFormat="1" applyFont="1" applyBorder="1"/>
    <xf numFmtId="166" fontId="5" fillId="0" borderId="14" xfId="0" applyNumberFormat="1" applyFont="1" applyBorder="1"/>
    <xf numFmtId="166" fontId="5" fillId="0" borderId="15" xfId="0" applyNumberFormat="1" applyFont="1" applyBorder="1"/>
    <xf numFmtId="0" fontId="3" fillId="0" borderId="5" xfId="0" applyFont="1" applyBorder="1"/>
    <xf numFmtId="169" fontId="5" fillId="2" borderId="3" xfId="1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2" borderId="3" xfId="0" applyFont="1" applyFill="1" applyBorder="1"/>
    <xf numFmtId="0" fontId="5" fillId="0" borderId="3" xfId="0" applyFont="1" applyBorder="1"/>
    <xf numFmtId="0" fontId="5" fillId="0" borderId="4" xfId="0" applyFont="1" applyBorder="1"/>
    <xf numFmtId="1" fontId="5" fillId="0" borderId="16" xfId="0" applyNumberFormat="1" applyFont="1" applyBorder="1" applyAlignment="1">
      <alignment horizontal="center"/>
    </xf>
    <xf numFmtId="168" fontId="5" fillId="0" borderId="16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10" fontId="5" fillId="0" borderId="16" xfId="3" applyNumberFormat="1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168" fontId="5" fillId="0" borderId="17" xfId="0" applyNumberFormat="1" applyFont="1" applyBorder="1" applyAlignment="1">
      <alignment horizontal="center"/>
    </xf>
    <xf numFmtId="0" fontId="5" fillId="0" borderId="17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10" fontId="5" fillId="0" borderId="17" xfId="3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1" xfId="0" applyFont="1" applyBorder="1" applyAlignment="1">
      <alignment horizontal="left" indent="1"/>
    </xf>
    <xf numFmtId="1" fontId="5" fillId="0" borderId="18" xfId="0" applyNumberFormat="1" applyFont="1" applyBorder="1" applyAlignment="1">
      <alignment horizontal="center"/>
    </xf>
    <xf numFmtId="168" fontId="5" fillId="0" borderId="18" xfId="0" applyNumberFormat="1" applyFont="1" applyBorder="1" applyAlignment="1">
      <alignment horizontal="center"/>
    </xf>
    <xf numFmtId="0" fontId="5" fillId="0" borderId="18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10" fontId="5" fillId="0" borderId="18" xfId="3" applyNumberFormat="1" applyFont="1" applyBorder="1" applyAlignment="1">
      <alignment horizontal="center"/>
    </xf>
    <xf numFmtId="10" fontId="5" fillId="0" borderId="22" xfId="3" applyNumberFormat="1" applyFont="1" applyBorder="1" applyAlignment="1">
      <alignment horizontal="center"/>
    </xf>
    <xf numFmtId="0" fontId="5" fillId="0" borderId="23" xfId="0" applyFont="1" applyBorder="1" applyAlignment="1">
      <alignment horizontal="left" indent="1"/>
    </xf>
    <xf numFmtId="10" fontId="5" fillId="0" borderId="24" xfId="3" applyNumberFormat="1" applyFont="1" applyBorder="1" applyAlignment="1">
      <alignment horizontal="center"/>
    </xf>
    <xf numFmtId="0" fontId="5" fillId="0" borderId="25" xfId="0" applyFont="1" applyBorder="1" applyAlignment="1">
      <alignment horizontal="left" indent="1"/>
    </xf>
    <xf numFmtId="1" fontId="5" fillId="0" borderId="26" xfId="0" applyNumberFormat="1" applyFont="1" applyBorder="1" applyAlignment="1">
      <alignment horizontal="center"/>
    </xf>
    <xf numFmtId="168" fontId="5" fillId="0" borderId="26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10" fontId="5" fillId="0" borderId="26" xfId="3" applyNumberFormat="1" applyFont="1" applyBorder="1" applyAlignment="1">
      <alignment horizontal="center"/>
    </xf>
    <xf numFmtId="10" fontId="5" fillId="0" borderId="27" xfId="3" applyNumberFormat="1" applyFont="1" applyBorder="1" applyAlignment="1">
      <alignment horizontal="center"/>
    </xf>
    <xf numFmtId="0" fontId="5" fillId="0" borderId="28" xfId="0" applyFont="1" applyBorder="1" applyAlignment="1">
      <alignment horizontal="left" indent="1"/>
    </xf>
    <xf numFmtId="0" fontId="5" fillId="2" borderId="17" xfId="0" applyFon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10" fontId="5" fillId="0" borderId="29" xfId="3" applyNumberFormat="1" applyFont="1" applyBorder="1" applyAlignment="1">
      <alignment horizontal="center"/>
    </xf>
    <xf numFmtId="0" fontId="8" fillId="3" borderId="30" xfId="0" applyFont="1" applyFill="1" applyBorder="1"/>
    <xf numFmtId="0" fontId="5" fillId="3" borderId="31" xfId="0" applyFont="1" applyFill="1" applyBorder="1" applyAlignment="1">
      <alignment horizontal="center"/>
    </xf>
    <xf numFmtId="0" fontId="5" fillId="3" borderId="31" xfId="0" applyFont="1" applyFill="1" applyBorder="1"/>
    <xf numFmtId="2" fontId="5" fillId="3" borderId="31" xfId="0" applyNumberFormat="1" applyFont="1" applyFill="1" applyBorder="1" applyAlignment="1">
      <alignment horizontal="center"/>
    </xf>
    <xf numFmtId="10" fontId="5" fillId="3" borderId="31" xfId="3" applyNumberFormat="1" applyFont="1" applyFill="1" applyBorder="1" applyAlignment="1">
      <alignment horizontal="center"/>
    </xf>
    <xf numFmtId="10" fontId="5" fillId="3" borderId="32" xfId="3" applyNumberFormat="1" applyFont="1" applyFill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3" borderId="31" xfId="0" applyNumberFormat="1" applyFont="1" applyFill="1" applyBorder="1" applyAlignment="1">
      <alignment horizontal="center"/>
    </xf>
    <xf numFmtId="0" fontId="8" fillId="4" borderId="30" xfId="0" applyFont="1" applyFill="1" applyBorder="1"/>
    <xf numFmtId="0" fontId="5" fillId="4" borderId="31" xfId="0" applyFont="1" applyFill="1" applyBorder="1" applyAlignment="1">
      <alignment horizontal="center"/>
    </xf>
    <xf numFmtId="0" fontId="5" fillId="4" borderId="31" xfId="0" applyFont="1" applyFill="1" applyBorder="1"/>
    <xf numFmtId="2" fontId="5" fillId="4" borderId="31" xfId="0" applyNumberFormat="1" applyFont="1" applyFill="1" applyBorder="1" applyAlignment="1">
      <alignment horizontal="center"/>
    </xf>
    <xf numFmtId="10" fontId="5" fillId="4" borderId="31" xfId="3" applyNumberFormat="1" applyFont="1" applyFill="1" applyBorder="1" applyAlignment="1">
      <alignment horizontal="center"/>
    </xf>
    <xf numFmtId="10" fontId="5" fillId="4" borderId="32" xfId="3" applyNumberFormat="1" applyFont="1" applyFill="1" applyBorder="1" applyAlignment="1">
      <alignment horizontal="center"/>
    </xf>
    <xf numFmtId="0" fontId="5" fillId="0" borderId="33" xfId="0" applyFont="1" applyBorder="1" applyAlignment="1">
      <alignment horizontal="left" indent="1"/>
    </xf>
    <xf numFmtId="1" fontId="5" fillId="0" borderId="34" xfId="0" applyNumberFormat="1" applyFont="1" applyBorder="1" applyAlignment="1">
      <alignment horizontal="center"/>
    </xf>
    <xf numFmtId="168" fontId="5" fillId="0" borderId="34" xfId="0" applyNumberFormat="1" applyFont="1" applyBorder="1" applyAlignment="1">
      <alignment horizontal="center"/>
    </xf>
    <xf numFmtId="2" fontId="5" fillId="0" borderId="34" xfId="0" applyNumberFormat="1" applyFont="1" applyBorder="1" applyAlignment="1">
      <alignment horizontal="center"/>
    </xf>
    <xf numFmtId="10" fontId="5" fillId="0" borderId="34" xfId="3" applyNumberFormat="1" applyFont="1" applyBorder="1" applyAlignment="1">
      <alignment horizontal="center"/>
    </xf>
    <xf numFmtId="10" fontId="5" fillId="0" borderId="35" xfId="3" applyNumberFormat="1" applyFont="1" applyBorder="1" applyAlignment="1">
      <alignment horizontal="center"/>
    </xf>
    <xf numFmtId="0" fontId="8" fillId="0" borderId="33" xfId="0" applyFont="1" applyBorder="1" applyAlignment="1">
      <alignment horizontal="left" indent="1"/>
    </xf>
    <xf numFmtId="0" fontId="5" fillId="0" borderId="34" xfId="0" applyFont="1" applyBorder="1" applyAlignment="1">
      <alignment horizontal="center"/>
    </xf>
    <xf numFmtId="9" fontId="5" fillId="0" borderId="34" xfId="3" applyFont="1" applyBorder="1" applyAlignment="1">
      <alignment horizontal="center"/>
    </xf>
    <xf numFmtId="0" fontId="5" fillId="0" borderId="34" xfId="0" applyFont="1" applyBorder="1"/>
    <xf numFmtId="167" fontId="5" fillId="0" borderId="4" xfId="3" applyNumberFormat="1" applyFont="1" applyBorder="1" applyAlignment="1">
      <alignment horizontal="center"/>
    </xf>
    <xf numFmtId="9" fontId="5" fillId="0" borderId="4" xfId="3" applyFont="1" applyBorder="1" applyAlignment="1">
      <alignment horizontal="center"/>
    </xf>
    <xf numFmtId="170" fontId="5" fillId="0" borderId="17" xfId="0" applyNumberFormat="1" applyFont="1" applyBorder="1" applyAlignment="1">
      <alignment horizontal="center"/>
    </xf>
    <xf numFmtId="170" fontId="5" fillId="0" borderId="26" xfId="0" applyNumberFormat="1" applyFont="1" applyBorder="1" applyAlignment="1">
      <alignment horizontal="center"/>
    </xf>
    <xf numFmtId="10" fontId="0" fillId="0" borderId="0" xfId="3" applyNumberFormat="1" applyFont="1"/>
    <xf numFmtId="0" fontId="8" fillId="0" borderId="3" xfId="0" applyFont="1" applyBorder="1"/>
    <xf numFmtId="171" fontId="0" fillId="0" borderId="0" xfId="1" applyNumberFormat="1" applyFont="1"/>
    <xf numFmtId="164" fontId="8" fillId="4" borderId="31" xfId="2" applyFont="1" applyFill="1" applyBorder="1" applyAlignment="1">
      <alignment horizontal="center"/>
    </xf>
    <xf numFmtId="9" fontId="0" fillId="0" borderId="0" xfId="3" applyFont="1"/>
    <xf numFmtId="0" fontId="5" fillId="0" borderId="23" xfId="0" applyFont="1" applyBorder="1" applyAlignment="1">
      <alignment horizontal="left"/>
    </xf>
    <xf numFmtId="0" fontId="4" fillId="0" borderId="0" xfId="0" applyFont="1" applyAlignment="1">
      <alignment horizontal="center"/>
    </xf>
    <xf numFmtId="166" fontId="0" fillId="0" borderId="0" xfId="1" applyNumberFormat="1" applyFont="1" applyFill="1"/>
    <xf numFmtId="0" fontId="1" fillId="0" borderId="0" xfId="0" applyFont="1"/>
    <xf numFmtId="0" fontId="0" fillId="0" borderId="16" xfId="0" applyBorder="1" applyAlignment="1">
      <alignment horizontal="center"/>
    </xf>
    <xf numFmtId="169" fontId="0" fillId="0" borderId="16" xfId="1" applyNumberFormat="1" applyFont="1" applyBorder="1"/>
    <xf numFmtId="165" fontId="0" fillId="0" borderId="16" xfId="1" applyFont="1" applyBorder="1"/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3" xfId="0" applyBorder="1"/>
    <xf numFmtId="0" fontId="0" fillId="0" borderId="36" xfId="0" applyBorder="1"/>
    <xf numFmtId="169" fontId="0" fillId="0" borderId="19" xfId="1" applyNumberFormat="1" applyFont="1" applyBorder="1"/>
    <xf numFmtId="165" fontId="0" fillId="0" borderId="19" xfId="1" applyFont="1" applyBorder="1"/>
    <xf numFmtId="0" fontId="0" fillId="0" borderId="28" xfId="0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169" fontId="11" fillId="5" borderId="16" xfId="1" applyNumberFormat="1" applyFont="1" applyFill="1" applyBorder="1"/>
    <xf numFmtId="169" fontId="11" fillId="5" borderId="19" xfId="1" applyNumberFormat="1" applyFont="1" applyFill="1" applyBorder="1"/>
    <xf numFmtId="167" fontId="11" fillId="5" borderId="16" xfId="3" applyNumberFormat="1" applyFont="1" applyFill="1" applyBorder="1"/>
    <xf numFmtId="167" fontId="11" fillId="5" borderId="19" xfId="3" applyNumberFormat="1" applyFont="1" applyFill="1" applyBorder="1"/>
    <xf numFmtId="0" fontId="5" fillId="0" borderId="37" xfId="0" applyFont="1" applyBorder="1"/>
    <xf numFmtId="0" fontId="5" fillId="0" borderId="38" xfId="0" applyFont="1" applyBorder="1" applyAlignment="1">
      <alignment horizontal="center"/>
    </xf>
    <xf numFmtId="0" fontId="5" fillId="0" borderId="38" xfId="0" applyFont="1" applyBorder="1"/>
    <xf numFmtId="0" fontId="5" fillId="0" borderId="39" xfId="0" applyFont="1" applyBorder="1"/>
    <xf numFmtId="0" fontId="6" fillId="0" borderId="4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164" fontId="6" fillId="0" borderId="0" xfId="0" applyNumberFormat="1" applyFont="1" applyBorder="1"/>
    <xf numFmtId="0" fontId="6" fillId="0" borderId="41" xfId="0" applyFont="1" applyBorder="1"/>
    <xf numFmtId="0" fontId="6" fillId="6" borderId="1" xfId="0" applyFont="1" applyFill="1" applyBorder="1"/>
    <xf numFmtId="0" fontId="6" fillId="6" borderId="42" xfId="0" applyFont="1" applyFill="1" applyBorder="1" applyAlignment="1">
      <alignment horizontal="center"/>
    </xf>
    <xf numFmtId="0" fontId="6" fillId="6" borderId="42" xfId="0" applyFont="1" applyFill="1" applyBorder="1"/>
    <xf numFmtId="164" fontId="6" fillId="6" borderId="42" xfId="0" applyNumberFormat="1" applyFont="1" applyFill="1" applyBorder="1"/>
    <xf numFmtId="0" fontId="6" fillId="6" borderId="2" xfId="0" applyFont="1" applyFill="1" applyBorder="1"/>
    <xf numFmtId="164" fontId="6" fillId="6" borderId="42" xfId="0" applyNumberFormat="1" applyFont="1" applyFill="1" applyBorder="1" applyAlignment="1">
      <alignment horizontal="center"/>
    </xf>
    <xf numFmtId="10" fontId="6" fillId="6" borderId="42" xfId="3" applyNumberFormat="1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10" fontId="0" fillId="0" borderId="16" xfId="3" applyNumberFormat="1" applyFont="1" applyBorder="1"/>
    <xf numFmtId="10" fontId="0" fillId="0" borderId="19" xfId="3" applyNumberFormat="1" applyFont="1" applyBorder="1"/>
    <xf numFmtId="10" fontId="0" fillId="0" borderId="24" xfId="3" applyNumberFormat="1" applyFont="1" applyBorder="1"/>
    <xf numFmtId="10" fontId="0" fillId="0" borderId="20" xfId="3" applyNumberFormat="1" applyFont="1" applyBorder="1"/>
    <xf numFmtId="0" fontId="10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4" fillId="0" borderId="2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8</xdr:row>
      <xdr:rowOff>114300</xdr:rowOff>
    </xdr:from>
    <xdr:to>
      <xdr:col>8</xdr:col>
      <xdr:colOff>800100</xdr:colOff>
      <xdr:row>12</xdr:row>
      <xdr:rowOff>152400</xdr:rowOff>
    </xdr:to>
    <xdr:pic>
      <xdr:nvPicPr>
        <xdr:cNvPr id="1028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3175" y="14097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0:I28"/>
  <sheetViews>
    <sheetView tabSelected="1" zoomScaleNormal="100" workbookViewId="0">
      <selection activeCell="I10" sqref="I10"/>
    </sheetView>
  </sheetViews>
  <sheetFormatPr defaultRowHeight="12.75" x14ac:dyDescent="0.2"/>
  <cols>
    <col min="1" max="1" width="5" customWidth="1"/>
    <col min="9" max="9" width="48.5703125" customWidth="1"/>
  </cols>
  <sheetData>
    <row r="20" spans="2:9" ht="33.75" x14ac:dyDescent="0.5">
      <c r="B20" s="147" t="s">
        <v>47</v>
      </c>
      <c r="C20" s="147"/>
      <c r="D20" s="147"/>
      <c r="E20" s="147"/>
      <c r="F20" s="147"/>
      <c r="G20" s="147"/>
      <c r="H20" s="147"/>
      <c r="I20" s="147"/>
    </row>
    <row r="21" spans="2:9" ht="33.75" x14ac:dyDescent="0.5">
      <c r="B21" s="147" t="s">
        <v>73</v>
      </c>
      <c r="C21" s="147"/>
      <c r="D21" s="147"/>
      <c r="E21" s="147"/>
      <c r="F21" s="147"/>
      <c r="G21" s="147"/>
      <c r="H21" s="147"/>
      <c r="I21" s="147"/>
    </row>
    <row r="22" spans="2:9" ht="33.75" x14ac:dyDescent="0.5">
      <c r="B22" s="147" t="s">
        <v>74</v>
      </c>
      <c r="C22" s="147"/>
      <c r="D22" s="147"/>
      <c r="E22" s="147"/>
      <c r="F22" s="147"/>
      <c r="G22" s="147"/>
      <c r="H22" s="147"/>
      <c r="I22" s="147"/>
    </row>
    <row r="23" spans="2:9" ht="33.75" x14ac:dyDescent="0.5">
      <c r="B23" s="147" t="s">
        <v>61</v>
      </c>
      <c r="C23" s="147"/>
      <c r="D23" s="147"/>
      <c r="E23" s="147"/>
      <c r="F23" s="147"/>
      <c r="G23" s="147"/>
      <c r="H23" s="147"/>
      <c r="I23" s="147"/>
    </row>
    <row r="24" spans="2:9" ht="33.75" x14ac:dyDescent="0.5">
      <c r="B24" s="147" t="s">
        <v>65</v>
      </c>
      <c r="C24" s="147"/>
      <c r="D24" s="147"/>
      <c r="E24" s="147"/>
      <c r="F24" s="147"/>
      <c r="G24" s="147"/>
      <c r="H24" s="147"/>
      <c r="I24" s="147"/>
    </row>
    <row r="25" spans="2:9" ht="33.75" x14ac:dyDescent="0.5">
      <c r="B25" s="148" t="s">
        <v>76</v>
      </c>
      <c r="C25" s="148"/>
      <c r="D25" s="148"/>
      <c r="E25" s="148"/>
      <c r="F25" s="148"/>
      <c r="G25" s="148"/>
      <c r="H25" s="148"/>
      <c r="I25" s="148"/>
    </row>
    <row r="26" spans="2:9" ht="33.75" x14ac:dyDescent="0.5">
      <c r="B26" s="148" t="s">
        <v>75</v>
      </c>
      <c r="C26" s="148"/>
      <c r="D26" s="148"/>
      <c r="E26" s="148"/>
      <c r="F26" s="148"/>
      <c r="G26" s="148"/>
      <c r="H26" s="148"/>
      <c r="I26" s="148"/>
    </row>
    <row r="27" spans="2:9" ht="33.75" x14ac:dyDescent="0.5">
      <c r="B27" s="147"/>
      <c r="C27" s="148"/>
      <c r="D27" s="148"/>
      <c r="E27" s="148"/>
      <c r="F27" s="148"/>
      <c r="G27" s="148"/>
      <c r="H27" s="148"/>
      <c r="I27" s="148"/>
    </row>
    <row r="28" spans="2:9" ht="33.75" x14ac:dyDescent="0.5">
      <c r="B28" s="147"/>
      <c r="C28" s="148"/>
      <c r="D28" s="148"/>
      <c r="E28" s="148"/>
      <c r="F28" s="148"/>
      <c r="G28" s="148"/>
      <c r="H28" s="148"/>
      <c r="I28" s="148"/>
    </row>
  </sheetData>
  <mergeCells count="9">
    <mergeCell ref="B28:I28"/>
    <mergeCell ref="B27:I27"/>
    <mergeCell ref="B26:I26"/>
    <mergeCell ref="B25:I25"/>
    <mergeCell ref="B20:I20"/>
    <mergeCell ref="B21:I21"/>
    <mergeCell ref="B22:I22"/>
    <mergeCell ref="B24:I24"/>
    <mergeCell ref="B23:I23"/>
  </mergeCells>
  <phoneticPr fontId="2" type="noConversion"/>
  <pageMargins left="0.75" right="0.75" top="1" bottom="1" header="0.5" footer="0.5"/>
  <pageSetup scale="77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5"/>
  <sheetViews>
    <sheetView zoomScaleNormal="100" workbookViewId="0">
      <selection activeCell="G4" sqref="G4"/>
    </sheetView>
  </sheetViews>
  <sheetFormatPr defaultRowHeight="12" x14ac:dyDescent="0.2"/>
  <cols>
    <col min="1" max="1" width="81.85546875" style="8" bestFit="1" customWidth="1"/>
    <col min="2" max="2" width="10" style="11" bestFit="1" customWidth="1"/>
    <col min="3" max="3" width="9.85546875" style="8" bestFit="1" customWidth="1"/>
    <col min="4" max="4" width="12" style="8" bestFit="1" customWidth="1"/>
    <col min="5" max="6" width="9.140625" style="8"/>
    <col min="7" max="7" width="12" style="8" bestFit="1" customWidth="1"/>
    <col min="8" max="8" width="10.5703125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8.75" thickBot="1" x14ac:dyDescent="0.3">
      <c r="A2" s="107" t="s">
        <v>48</v>
      </c>
    </row>
    <row r="3" spans="1:4" ht="36.75" thickBot="1" x14ac:dyDescent="0.25">
      <c r="A3" s="14" t="str">
        <f>Rates!A23</f>
        <v>Residential - R2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Rates!A24</f>
        <v>Monthly Service Charge</v>
      </c>
      <c r="B4" s="24" t="str">
        <f>Rates!B24</f>
        <v>$</v>
      </c>
      <c r="C4" s="25">
        <f>Rates!D24</f>
        <v>596.12</v>
      </c>
      <c r="D4" s="26">
        <f>Rates!F24</f>
        <v>596.12</v>
      </c>
    </row>
    <row r="5" spans="1:4" x14ac:dyDescent="0.2">
      <c r="A5" s="27" t="str">
        <f>Rates!A25</f>
        <v>Smart Meter Rate Adder</v>
      </c>
      <c r="B5" s="28" t="str">
        <f>Rates!B25</f>
        <v>$</v>
      </c>
      <c r="C5" s="29">
        <f>Rates!D25</f>
        <v>1</v>
      </c>
      <c r="D5" s="30">
        <f>Rates!F25</f>
        <v>0</v>
      </c>
    </row>
    <row r="6" spans="1:4" x14ac:dyDescent="0.2">
      <c r="A6" s="27" t="str">
        <f>Rates!A26</f>
        <v>Distribution Volumetric Rate</v>
      </c>
      <c r="B6" s="28" t="str">
        <f>Rates!B26</f>
        <v>$/kW</v>
      </c>
      <c r="C6" s="31">
        <f>Rates!D26</f>
        <v>2.7086000000000001</v>
      </c>
      <c r="D6" s="32">
        <f>Rates!F26</f>
        <v>2.8481999999999998</v>
      </c>
    </row>
    <row r="7" spans="1:4" x14ac:dyDescent="0.2">
      <c r="A7" s="27" t="str">
        <f>Rates!A27</f>
        <v>Rate Rider for Foregone Revenue Recovery - effective until December 31, 2012</v>
      </c>
      <c r="B7" s="28" t="str">
        <f>Rates!B27</f>
        <v>$/kW</v>
      </c>
      <c r="C7" s="31">
        <f>Rates!D27</f>
        <v>2.7199999999999998E-2</v>
      </c>
      <c r="D7" s="32">
        <f>Rates!F27</f>
        <v>0</v>
      </c>
    </row>
    <row r="8" spans="1:4" x14ac:dyDescent="0.2">
      <c r="A8" s="27" t="str">
        <f>Rates!A28</f>
        <v>Rate Rider for Deferral/Variance Account Disposition - effective until May 31, 2013</v>
      </c>
      <c r="B8" s="28" t="str">
        <f>Rates!B28</f>
        <v>$/kW</v>
      </c>
      <c r="C8" s="31">
        <f>Rates!D28</f>
        <v>2.2664</v>
      </c>
      <c r="D8" s="32">
        <f>Rates!F28</f>
        <v>2.2664</v>
      </c>
    </row>
    <row r="9" spans="1:4" x14ac:dyDescent="0.2">
      <c r="A9" s="27" t="str">
        <f>Rates!A29</f>
        <v>Rate Rider for Deferral/Variance Account Disposition - effective until May 31, 2013</v>
      </c>
      <c r="B9" s="28" t="str">
        <f>Rates!B29</f>
        <v>$/kW</v>
      </c>
      <c r="C9" s="31">
        <f>Rates!D29</f>
        <v>-2.8218999999999999</v>
      </c>
      <c r="D9" s="32">
        <f>Rates!F29</f>
        <v>-2.8218999999999999</v>
      </c>
    </row>
    <row r="10" spans="1:4" x14ac:dyDescent="0.2">
      <c r="A10" s="27" t="str">
        <f>Rates!A30</f>
        <v>Rate Rider for Deferral/Variance Account Disposition (2012) - effective until December 31, 2013</v>
      </c>
      <c r="B10" s="28" t="str">
        <f>Rates!B30</f>
        <v>$/kW</v>
      </c>
      <c r="C10" s="31">
        <f>Rates!D30</f>
        <v>0</v>
      </c>
      <c r="D10" s="32">
        <f>Rates!F30</f>
        <v>0.1096</v>
      </c>
    </row>
    <row r="11" spans="1:4" x14ac:dyDescent="0.2">
      <c r="A11" s="27" t="str">
        <f>Rates!A31</f>
        <v>Rate Rider for Global Adjustment Sub-Account Disposition (2012) - effective until December 31, 2013</v>
      </c>
      <c r="B11" s="28" t="str">
        <f>Rates!B31</f>
        <v>$/kW</v>
      </c>
      <c r="C11" s="31">
        <f>Rates!D31</f>
        <v>0</v>
      </c>
      <c r="D11" s="32">
        <f>Rates!F31</f>
        <v>0.46450000000000002</v>
      </c>
    </row>
    <row r="12" spans="1:4" x14ac:dyDescent="0.2">
      <c r="A12" s="27" t="str">
        <f>Rates!A32</f>
        <v>Rate Rider for PILs - effective until December 31, 2013</v>
      </c>
      <c r="B12" s="28" t="str">
        <f>Rates!B32</f>
        <v>$/kW</v>
      </c>
      <c r="C12" s="31">
        <f>Rates!D32</f>
        <v>0</v>
      </c>
      <c r="D12" s="32">
        <f>Rates!F32</f>
        <v>0</v>
      </c>
    </row>
    <row r="13" spans="1:4" x14ac:dyDescent="0.2">
      <c r="A13" s="27" t="str">
        <f>Rates!A33</f>
        <v>Rate Rider for Tax Changes - effective until December 31, 2012</v>
      </c>
      <c r="B13" s="28" t="str">
        <f>Rates!B33</f>
        <v>$/kW</v>
      </c>
      <c r="C13" s="31">
        <f>Rates!D33</f>
        <v>-2.7300000000000001E-2</v>
      </c>
      <c r="D13" s="32">
        <f>Rates!F33</f>
        <v>-0.02</v>
      </c>
    </row>
    <row r="14" spans="1:4" x14ac:dyDescent="0.2">
      <c r="A14" s="27" t="str">
        <f>Rates!A34</f>
        <v>Retail Transmission Rate - Network Service Rate</v>
      </c>
      <c r="B14" s="28" t="str">
        <f>Rates!B34</f>
        <v>$/kW</v>
      </c>
      <c r="C14" s="31">
        <f>Rates!D34</f>
        <v>2.6396000000000002</v>
      </c>
      <c r="D14" s="32">
        <f>Rates!F34</f>
        <v>2.5209000000000001</v>
      </c>
    </row>
    <row r="15" spans="1:4" x14ac:dyDescent="0.2">
      <c r="A15" s="27" t="str">
        <f>Rates!A35</f>
        <v>Retail Transmission Rate - Line and Transformation Connection Service Rate</v>
      </c>
      <c r="B15" s="28" t="str">
        <f>Rates!B35</f>
        <v>$/kW</v>
      </c>
      <c r="C15" s="31">
        <f>Rates!D35</f>
        <v>1.8099000000000001</v>
      </c>
      <c r="D15" s="32">
        <f>Rates!F35</f>
        <v>1.7696000000000001</v>
      </c>
    </row>
    <row r="16" spans="1:4" x14ac:dyDescent="0.2">
      <c r="A16" s="19" t="str">
        <f>Rates!A36</f>
        <v>Retail Transmission Rate - Network Service Rate - Interval Meter &gt; 1,000 kW</v>
      </c>
      <c r="B16" s="20" t="str">
        <f>Rates!B36</f>
        <v>$/kW</v>
      </c>
      <c r="C16" s="21">
        <f>Rates!D36</f>
        <v>2.8001</v>
      </c>
      <c r="D16" s="22">
        <f>Rates!F36</f>
        <v>2.6741999999999999</v>
      </c>
    </row>
    <row r="17" spans="1:10" x14ac:dyDescent="0.2">
      <c r="A17" s="19" t="str">
        <f>Rates!A37</f>
        <v>Retail Transmission Rate - Line and Transformation Connection Service Rate - Interval &gt; 1,000 kW</v>
      </c>
      <c r="B17" s="20" t="str">
        <f>Rates!B37</f>
        <v>$/kW</v>
      </c>
      <c r="C17" s="21">
        <f>Rates!D37</f>
        <v>2.0003000000000002</v>
      </c>
      <c r="D17" s="22">
        <f>Rates!F37</f>
        <v>1.9558</v>
      </c>
    </row>
    <row r="18" spans="1:10" x14ac:dyDescent="0.2">
      <c r="A18" s="19" t="str">
        <f>Rates!A38</f>
        <v>Wholesale Market Service Rate</v>
      </c>
      <c r="B18" s="20" t="str">
        <f>Rates!B38</f>
        <v>$/kWh</v>
      </c>
      <c r="C18" s="21">
        <f>Rates!D38</f>
        <v>5.1999999999999998E-3</v>
      </c>
      <c r="D18" s="22">
        <f>Rates!F38</f>
        <v>5.1999999999999998E-3</v>
      </c>
    </row>
    <row r="19" spans="1:10" x14ac:dyDescent="0.2">
      <c r="A19" s="19" t="str">
        <f>Rates!A39</f>
        <v>Rural Rate Protection Charge</v>
      </c>
      <c r="B19" s="20" t="str">
        <f>Rates!B39</f>
        <v>$/kWh</v>
      </c>
      <c r="C19" s="21">
        <f>Rates!D39</f>
        <v>1.1000000000000001E-3</v>
      </c>
      <c r="D19" s="22">
        <f>Rates!F39</f>
        <v>1.1000000000000001E-3</v>
      </c>
    </row>
    <row r="20" spans="1:10" x14ac:dyDescent="0.2">
      <c r="A20" s="27" t="str">
        <f>Rates!A40</f>
        <v>Special Purpose Charge</v>
      </c>
      <c r="B20" s="28" t="str">
        <f>Rates!B40</f>
        <v>$/kWh</v>
      </c>
      <c r="C20" s="31">
        <f>Rates!D40</f>
        <v>0</v>
      </c>
      <c r="D20" s="32">
        <f>Rates!F40</f>
        <v>0</v>
      </c>
    </row>
    <row r="21" spans="1:10" ht="12.75" thickBot="1" x14ac:dyDescent="0.25">
      <c r="A21" s="12" t="str">
        <f>Rates!A41</f>
        <v>Standard Supply Service - Administarive Charge (if applicable)</v>
      </c>
      <c r="B21" s="17" t="str">
        <f>Rates!B41</f>
        <v>$</v>
      </c>
      <c r="C21" s="18">
        <f>Rates!D41</f>
        <v>0.25</v>
      </c>
      <c r="D21" s="13">
        <f>Rates!F41</f>
        <v>0.25</v>
      </c>
    </row>
    <row r="23" spans="1:10" ht="12.75" thickBot="1" x14ac:dyDescent="0.25"/>
    <row r="24" spans="1:10" ht="13.5" thickBot="1" x14ac:dyDescent="0.25">
      <c r="A24" s="33" t="s">
        <v>26</v>
      </c>
      <c r="B24" s="34">
        <v>1100000</v>
      </c>
      <c r="C24" s="35" t="s">
        <v>27</v>
      </c>
      <c r="D24" s="36">
        <v>2500</v>
      </c>
      <c r="E24" s="35" t="s">
        <v>28</v>
      </c>
      <c r="G24" s="37" t="s">
        <v>23</v>
      </c>
      <c r="H24" s="53">
        <f>Rates!F89</f>
        <v>1.0864</v>
      </c>
    </row>
    <row r="25" spans="1:10" ht="13.5" thickBot="1" x14ac:dyDescent="0.25">
      <c r="A25" s="33" t="s">
        <v>29</v>
      </c>
      <c r="B25" s="34">
        <v>750</v>
      </c>
      <c r="C25" s="35" t="s">
        <v>27</v>
      </c>
      <c r="D25" s="37" t="s">
        <v>30</v>
      </c>
      <c r="E25" s="97">
        <f>IF(D24&gt;0,B24/(D24*24*30.4)," ")</f>
        <v>0.60307017543859653</v>
      </c>
    </row>
    <row r="26" spans="1:10" ht="12.75" thickBot="1" x14ac:dyDescent="0.25"/>
    <row r="27" spans="1:10" ht="12.75" customHeight="1" x14ac:dyDescent="0.2">
      <c r="A27" s="149" t="str">
        <f>A3</f>
        <v>Residential - R2</v>
      </c>
      <c r="B27" s="151" t="s">
        <v>31</v>
      </c>
      <c r="C27" s="142" t="s">
        <v>37</v>
      </c>
      <c r="D27" s="142" t="s">
        <v>38</v>
      </c>
      <c r="E27" s="151" t="s">
        <v>31</v>
      </c>
      <c r="F27" s="142" t="s">
        <v>37</v>
      </c>
      <c r="G27" s="142" t="s">
        <v>38</v>
      </c>
      <c r="H27" s="153" t="s">
        <v>44</v>
      </c>
      <c r="I27" s="153"/>
      <c r="J27" s="154"/>
    </row>
    <row r="28" spans="1:10" ht="12.75" thickBot="1" x14ac:dyDescent="0.25">
      <c r="A28" s="150"/>
      <c r="B28" s="152"/>
      <c r="C28" s="50" t="s">
        <v>15</v>
      </c>
      <c r="D28" s="50" t="s">
        <v>15</v>
      </c>
      <c r="E28" s="152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 x14ac:dyDescent="0.2">
      <c r="A29" s="54" t="s">
        <v>35</v>
      </c>
      <c r="B29" s="55">
        <f>IF(B24*Rates!D89&gt;B25,B25,B24*Rates!D89)</f>
        <v>750</v>
      </c>
      <c r="C29" s="56">
        <f>Rates!D84</f>
        <v>7.4999999999999997E-2</v>
      </c>
      <c r="D29" s="57">
        <f>B29*C29</f>
        <v>56.25</v>
      </c>
      <c r="E29" s="55">
        <f>IF(B24*H24&gt;B25,B25,B24*H24)</f>
        <v>750</v>
      </c>
      <c r="F29" s="56">
        <f>Rates!F84</f>
        <v>7.4999999999999997E-2</v>
      </c>
      <c r="G29" s="57">
        <f>E29*F29</f>
        <v>56.25</v>
      </c>
      <c r="H29" s="58">
        <f t="shared" ref="H29:H55" si="0">G29-D29</f>
        <v>0</v>
      </c>
      <c r="I29" s="59">
        <f>IF(ISERROR(H29/D29),1,H29/D29)</f>
        <v>0</v>
      </c>
      <c r="J29" s="60">
        <f t="shared" ref="J29:J55" si="1">IF(ISERROR(G29/G$55),0,G29/G$55)</f>
        <v>3.6826517058667678E-4</v>
      </c>
    </row>
    <row r="30" spans="1:10" ht="12.75" thickBot="1" x14ac:dyDescent="0.25">
      <c r="A30" s="63" t="s">
        <v>36</v>
      </c>
      <c r="B30" s="64">
        <f>IF(B24*Rates!D89&gt;=B25,B24*Rates!D89-B25,0)</f>
        <v>1194290</v>
      </c>
      <c r="C30" s="65">
        <f>Rates!D85</f>
        <v>8.7999999999999995E-2</v>
      </c>
      <c r="D30" s="66">
        <f>B30*C30</f>
        <v>105097.51999999999</v>
      </c>
      <c r="E30" s="64">
        <f>IF(B24*H24&gt;=B25,B24*H24-B25,0)</f>
        <v>1194290</v>
      </c>
      <c r="F30" s="65">
        <f>Rates!F85</f>
        <v>8.7999999999999995E-2</v>
      </c>
      <c r="G30" s="66">
        <f>E30*F30</f>
        <v>105097.51999999999</v>
      </c>
      <c r="H30" s="66">
        <f t="shared" si="0"/>
        <v>0</v>
      </c>
      <c r="I30" s="67">
        <f>IF(ISERROR(H30/D30),0,H30/D30)</f>
        <v>0</v>
      </c>
      <c r="J30" s="68">
        <f t="shared" si="1"/>
        <v>0.68806677566287411</v>
      </c>
    </row>
    <row r="31" spans="1:10" ht="12.75" thickBot="1" x14ac:dyDescent="0.25">
      <c r="A31" s="73" t="s">
        <v>39</v>
      </c>
      <c r="B31" s="74"/>
      <c r="C31" s="75"/>
      <c r="D31" s="76">
        <f>SUM(D29:D30)</f>
        <v>105153.76999999999</v>
      </c>
      <c r="E31" s="75"/>
      <c r="F31" s="75"/>
      <c r="G31" s="76">
        <f>SUM(G29:G30)</f>
        <v>105153.76999999999</v>
      </c>
      <c r="H31" s="76">
        <f t="shared" si="0"/>
        <v>0</v>
      </c>
      <c r="I31" s="77">
        <f>IF(ISERROR(H31/D31),0,H31/D31)</f>
        <v>0</v>
      </c>
      <c r="J31" s="78">
        <f t="shared" si="1"/>
        <v>0.68843504083346085</v>
      </c>
    </row>
    <row r="32" spans="1:10" x14ac:dyDescent="0.2">
      <c r="A32" s="69" t="str">
        <f t="shared" ref="A32:A37" si="2">A4</f>
        <v>Monthly Service Charge</v>
      </c>
      <c r="B32" s="70">
        <v>1</v>
      </c>
      <c r="C32" s="46">
        <f t="shared" ref="C32:C37" si="3">C4</f>
        <v>596.12</v>
      </c>
      <c r="D32" s="46">
        <f t="shared" ref="D32:D41" si="4">B32*C32</f>
        <v>596.12</v>
      </c>
      <c r="E32" s="71">
        <f>B32</f>
        <v>1</v>
      </c>
      <c r="F32" s="47">
        <f t="shared" ref="F32:F37" si="5">D4</f>
        <v>596.12</v>
      </c>
      <c r="G32" s="47">
        <f t="shared" ref="G32:G41" si="6">E32*F32</f>
        <v>596.12</v>
      </c>
      <c r="H32" s="47">
        <f t="shared" si="0"/>
        <v>0</v>
      </c>
      <c r="I32" s="48">
        <f>IF(ISERROR(H32/D32),0,H32/D32)</f>
        <v>0</v>
      </c>
      <c r="J32" s="72">
        <f t="shared" si="1"/>
        <v>3.9027597064911958E-3</v>
      </c>
    </row>
    <row r="33" spans="1:10" x14ac:dyDescent="0.2">
      <c r="A33" s="61" t="str">
        <f t="shared" si="2"/>
        <v>Smart Meter Rate Adder</v>
      </c>
      <c r="B33" s="43">
        <f>B32</f>
        <v>1</v>
      </c>
      <c r="C33" s="41">
        <f t="shared" si="3"/>
        <v>1</v>
      </c>
      <c r="D33" s="41">
        <f t="shared" si="4"/>
        <v>1</v>
      </c>
      <c r="E33" s="43">
        <f>B33</f>
        <v>1</v>
      </c>
      <c r="F33" s="41">
        <f t="shared" si="5"/>
        <v>0</v>
      </c>
      <c r="G33" s="41">
        <f t="shared" si="6"/>
        <v>0</v>
      </c>
      <c r="H33" s="41">
        <f t="shared" si="0"/>
        <v>-1</v>
      </c>
      <c r="I33" s="42">
        <f>IF(ISERROR(H33/D33),1,H33/D33)</f>
        <v>-1</v>
      </c>
      <c r="J33" s="62">
        <f t="shared" si="1"/>
        <v>0</v>
      </c>
    </row>
    <row r="34" spans="1:10" x14ac:dyDescent="0.2">
      <c r="A34" s="61" t="str">
        <f t="shared" si="2"/>
        <v>Distribution Volumetric Rate</v>
      </c>
      <c r="B34" s="43">
        <f>D24</f>
        <v>2500</v>
      </c>
      <c r="C34" s="40">
        <f t="shared" si="3"/>
        <v>2.7086000000000001</v>
      </c>
      <c r="D34" s="41">
        <f t="shared" si="4"/>
        <v>6771.5</v>
      </c>
      <c r="E34" s="43">
        <f>D24</f>
        <v>2500</v>
      </c>
      <c r="F34" s="40">
        <f t="shared" si="5"/>
        <v>2.8481999999999998</v>
      </c>
      <c r="G34" s="41">
        <f t="shared" si="6"/>
        <v>7120.5</v>
      </c>
      <c r="H34" s="41">
        <f t="shared" si="0"/>
        <v>349</v>
      </c>
      <c r="I34" s="42">
        <f t="shared" ref="I34:I55" si="7">IF(ISERROR(H34/D34),0,H34/D34)</f>
        <v>5.1539540722144284E-2</v>
      </c>
      <c r="J34" s="62">
        <f t="shared" si="1"/>
        <v>4.6617460393998791E-2</v>
      </c>
    </row>
    <row r="35" spans="1:10" x14ac:dyDescent="0.2">
      <c r="A35" s="61" t="str">
        <f t="shared" si="2"/>
        <v>Rate Rider for Foregone Revenue Recovery - effective until December 31, 2012</v>
      </c>
      <c r="B35" s="43">
        <f>D24</f>
        <v>2500</v>
      </c>
      <c r="C35" s="40">
        <f t="shared" si="3"/>
        <v>2.7199999999999998E-2</v>
      </c>
      <c r="D35" s="41">
        <f t="shared" si="4"/>
        <v>68</v>
      </c>
      <c r="E35" s="43">
        <f>D24</f>
        <v>2500</v>
      </c>
      <c r="F35" s="40">
        <f t="shared" si="5"/>
        <v>0</v>
      </c>
      <c r="G35" s="41">
        <f>E35*F35</f>
        <v>0</v>
      </c>
      <c r="H35" s="41">
        <f>G35-D35</f>
        <v>-68</v>
      </c>
      <c r="I35" s="42">
        <f>IF(ISERROR(H35/D35),0,H35/D35)</f>
        <v>-1</v>
      </c>
      <c r="J35" s="62">
        <f t="shared" si="1"/>
        <v>0</v>
      </c>
    </row>
    <row r="36" spans="1:10" x14ac:dyDescent="0.2">
      <c r="A36" s="61" t="str">
        <f t="shared" si="2"/>
        <v>Rate Rider for Deferral/Variance Account Disposition - effective until May 31, 2013</v>
      </c>
      <c r="B36" s="43">
        <f>D24</f>
        <v>2500</v>
      </c>
      <c r="C36" s="40">
        <f t="shared" si="3"/>
        <v>2.2664</v>
      </c>
      <c r="D36" s="41">
        <f t="shared" si="4"/>
        <v>5666</v>
      </c>
      <c r="E36" s="43">
        <f>D24</f>
        <v>2500</v>
      </c>
      <c r="F36" s="40">
        <f t="shared" si="5"/>
        <v>2.2664</v>
      </c>
      <c r="G36" s="41">
        <f t="shared" si="6"/>
        <v>5666</v>
      </c>
      <c r="H36" s="41">
        <f t="shared" si="0"/>
        <v>0</v>
      </c>
      <c r="I36" s="42">
        <f t="shared" si="7"/>
        <v>0</v>
      </c>
      <c r="J36" s="62">
        <f t="shared" si="1"/>
        <v>3.7094941449673076E-2</v>
      </c>
    </row>
    <row r="37" spans="1:10" x14ac:dyDescent="0.2">
      <c r="A37" s="61" t="str">
        <f t="shared" si="2"/>
        <v>Rate Rider for Deferral/Variance Account Disposition - effective until May 31, 2013</v>
      </c>
      <c r="B37" s="43">
        <f>D24</f>
        <v>2500</v>
      </c>
      <c r="C37" s="40">
        <f t="shared" si="3"/>
        <v>-2.8218999999999999</v>
      </c>
      <c r="D37" s="41">
        <f t="shared" si="4"/>
        <v>-7054.75</v>
      </c>
      <c r="E37" s="43">
        <f>D24</f>
        <v>2500</v>
      </c>
      <c r="F37" s="40">
        <f t="shared" si="5"/>
        <v>-2.8218999999999999</v>
      </c>
      <c r="G37" s="41">
        <f>E37*F37</f>
        <v>-7054.75</v>
      </c>
      <c r="H37" s="41">
        <f>G37-D37</f>
        <v>0</v>
      </c>
      <c r="I37" s="42">
        <f>IF(ISERROR(H37/D37),0,H37/D37)</f>
        <v>0</v>
      </c>
      <c r="J37" s="62">
        <f t="shared" si="1"/>
        <v>-4.6186999327935255E-2</v>
      </c>
    </row>
    <row r="38" spans="1:10" x14ac:dyDescent="0.2">
      <c r="A38" s="61" t="str">
        <f>A10</f>
        <v>Rate Rider for Deferral/Variance Account Disposition (2012) - effective until December 31, 2013</v>
      </c>
      <c r="B38" s="43">
        <f>D24</f>
        <v>2500</v>
      </c>
      <c r="C38" s="40">
        <f>C10</f>
        <v>0</v>
      </c>
      <c r="D38" s="41">
        <f t="shared" si="4"/>
        <v>0</v>
      </c>
      <c r="E38" s="43">
        <f>D24</f>
        <v>2500</v>
      </c>
      <c r="F38" s="40">
        <f>D10</f>
        <v>0.1096</v>
      </c>
      <c r="G38" s="41">
        <f>E38*F38</f>
        <v>274</v>
      </c>
      <c r="H38" s="41">
        <f>G38-D38</f>
        <v>274</v>
      </c>
      <c r="I38" s="42">
        <f>IF(ISERROR(H38/D38),0,H38/D38)</f>
        <v>0</v>
      </c>
      <c r="J38" s="62">
        <f t="shared" si="1"/>
        <v>1.7938605642799899E-3</v>
      </c>
    </row>
    <row r="39" spans="1:10" x14ac:dyDescent="0.2">
      <c r="A39" s="61" t="str">
        <f>A11</f>
        <v>Rate Rider for Global Adjustment Sub-Account Disposition (2012) - effective until December 31, 2013</v>
      </c>
      <c r="B39" s="43">
        <f>D24</f>
        <v>2500</v>
      </c>
      <c r="C39" s="40">
        <f>C11</f>
        <v>0</v>
      </c>
      <c r="D39" s="41">
        <f t="shared" si="4"/>
        <v>0</v>
      </c>
      <c r="E39" s="43">
        <f>D24</f>
        <v>2500</v>
      </c>
      <c r="F39" s="40">
        <f>D11</f>
        <v>0.46450000000000002</v>
      </c>
      <c r="G39" s="41">
        <f>E39*F39</f>
        <v>1161.25</v>
      </c>
      <c r="H39" s="41">
        <f>G39-D39</f>
        <v>1161.25</v>
      </c>
      <c r="I39" s="42">
        <f>IF(ISERROR(H39/D39),0,H39/D39)</f>
        <v>0</v>
      </c>
      <c r="J39" s="62">
        <f t="shared" si="1"/>
        <v>7.6026298550005049E-3</v>
      </c>
    </row>
    <row r="40" spans="1:10" x14ac:dyDescent="0.2">
      <c r="A40" s="61" t="str">
        <f>A12</f>
        <v>Rate Rider for PILs - effective until December 31, 2013</v>
      </c>
      <c r="B40" s="43">
        <f>D24</f>
        <v>2500</v>
      </c>
      <c r="C40" s="40">
        <f>C12</f>
        <v>0</v>
      </c>
      <c r="D40" s="41">
        <f t="shared" si="4"/>
        <v>0</v>
      </c>
      <c r="E40" s="43">
        <f>D24</f>
        <v>2500</v>
      </c>
      <c r="F40" s="40">
        <f>D12</f>
        <v>0</v>
      </c>
      <c r="G40" s="41">
        <f>E40*F40</f>
        <v>0</v>
      </c>
      <c r="H40" s="41">
        <f>G40-D40</f>
        <v>0</v>
      </c>
      <c r="I40" s="42">
        <f>IF(ISERROR(H40/D40),0,H40/D40)</f>
        <v>0</v>
      </c>
      <c r="J40" s="62">
        <f t="shared" si="1"/>
        <v>0</v>
      </c>
    </row>
    <row r="41" spans="1:10" ht="12.75" thickBot="1" x14ac:dyDescent="0.25">
      <c r="A41" s="61" t="str">
        <f t="shared" ref="A41" si="8">A13</f>
        <v>Rate Rider for Tax Changes - effective until December 31, 2012</v>
      </c>
      <c r="B41" s="43">
        <f>D24</f>
        <v>2500</v>
      </c>
      <c r="C41" s="40">
        <f t="shared" ref="C41" si="9">C13</f>
        <v>-2.7300000000000001E-2</v>
      </c>
      <c r="D41" s="41">
        <f t="shared" si="4"/>
        <v>-68.25</v>
      </c>
      <c r="E41" s="43">
        <f>D24</f>
        <v>2500</v>
      </c>
      <c r="F41" s="40">
        <f t="shared" ref="F41" si="10">D13</f>
        <v>-0.02</v>
      </c>
      <c r="G41" s="41">
        <f t="shared" si="6"/>
        <v>-50</v>
      </c>
      <c r="H41" s="41">
        <f t="shared" si="0"/>
        <v>18.25</v>
      </c>
      <c r="I41" s="42">
        <f t="shared" si="7"/>
        <v>-0.26739926739926739</v>
      </c>
      <c r="J41" s="62">
        <f t="shared" si="1"/>
        <v>-3.2734681829926825E-4</v>
      </c>
    </row>
    <row r="42" spans="1:10" ht="12.75" thickBot="1" x14ac:dyDescent="0.25">
      <c r="A42" s="73" t="s">
        <v>40</v>
      </c>
      <c r="B42" s="74"/>
      <c r="C42" s="75"/>
      <c r="D42" s="80">
        <f>SUM(D32:D41)</f>
        <v>5979.619999999999</v>
      </c>
      <c r="E42" s="75"/>
      <c r="F42" s="75"/>
      <c r="G42" s="76">
        <f>SUM(G32:G41)</f>
        <v>7713.119999999999</v>
      </c>
      <c r="H42" s="76">
        <f t="shared" si="0"/>
        <v>1733.5</v>
      </c>
      <c r="I42" s="77">
        <f t="shared" si="7"/>
        <v>0.28990136496968039</v>
      </c>
      <c r="J42" s="78">
        <f t="shared" si="1"/>
        <v>5.0497305823209028E-2</v>
      </c>
    </row>
    <row r="43" spans="1:10" x14ac:dyDescent="0.2">
      <c r="A43" s="69" t="str">
        <f>A16</f>
        <v>Retail Transmission Rate - Network Service Rate - Interval Meter &gt; 1,000 kW</v>
      </c>
      <c r="B43" s="44">
        <f>D24*Rates!D89</f>
        <v>2716</v>
      </c>
      <c r="C43" s="45">
        <f>C16</f>
        <v>2.8001</v>
      </c>
      <c r="D43" s="47">
        <f>B43*C43</f>
        <v>7605.0716000000002</v>
      </c>
      <c r="E43" s="44">
        <f>D24*H24</f>
        <v>2716</v>
      </c>
      <c r="F43" s="45">
        <f>D16</f>
        <v>2.6741999999999999</v>
      </c>
      <c r="G43" s="47">
        <f>E43*F43</f>
        <v>7263.1271999999999</v>
      </c>
      <c r="H43" s="47">
        <f t="shared" si="0"/>
        <v>-341.94440000000031</v>
      </c>
      <c r="I43" s="48">
        <f t="shared" si="7"/>
        <v>-4.496267990428917E-2</v>
      </c>
      <c r="J43" s="72">
        <f t="shared" si="1"/>
        <v>4.7551231596457459E-2</v>
      </c>
    </row>
    <row r="44" spans="1:10" ht="12.75" thickBot="1" x14ac:dyDescent="0.25">
      <c r="A44" s="63" t="str">
        <f>A17</f>
        <v>Retail Transmission Rate - Line and Transformation Connection Service Rate - Interval &gt; 1,000 kW</v>
      </c>
      <c r="B44" s="64">
        <f>D24*Rates!D89</f>
        <v>2716</v>
      </c>
      <c r="C44" s="65">
        <f>C17</f>
        <v>2.0003000000000002</v>
      </c>
      <c r="D44" s="66">
        <f>B44*C44</f>
        <v>5432.8148000000001</v>
      </c>
      <c r="E44" s="64">
        <f>D24*H24</f>
        <v>2716</v>
      </c>
      <c r="F44" s="65">
        <f>D17</f>
        <v>1.9558</v>
      </c>
      <c r="G44" s="66">
        <f>E44*F44</f>
        <v>5311.9528</v>
      </c>
      <c r="H44" s="66">
        <f t="shared" si="0"/>
        <v>-120.86200000000008</v>
      </c>
      <c r="I44" s="67">
        <f t="shared" si="7"/>
        <v>-2.2246663000549931E-2</v>
      </c>
      <c r="J44" s="68">
        <f t="shared" si="1"/>
        <v>3.4777016960717784E-2</v>
      </c>
    </row>
    <row r="45" spans="1:10" ht="12.75" thickBot="1" x14ac:dyDescent="0.25">
      <c r="A45" s="73" t="s">
        <v>32</v>
      </c>
      <c r="B45" s="74"/>
      <c r="C45" s="75"/>
      <c r="D45" s="76">
        <f>SUM(D43:D44)</f>
        <v>13037.886399999999</v>
      </c>
      <c r="E45" s="75"/>
      <c r="F45" s="75"/>
      <c r="G45" s="76">
        <f>SUM(G43:G44)</f>
        <v>12575.08</v>
      </c>
      <c r="H45" s="76">
        <f t="shared" si="0"/>
        <v>-462.80639999999948</v>
      </c>
      <c r="I45" s="77">
        <f t="shared" si="7"/>
        <v>-3.5497041913173863E-2</v>
      </c>
      <c r="J45" s="78">
        <f t="shared" si="1"/>
        <v>8.2328248557175243E-2</v>
      </c>
    </row>
    <row r="46" spans="1:10" ht="12.75" thickBot="1" x14ac:dyDescent="0.25">
      <c r="A46" s="81" t="s">
        <v>41</v>
      </c>
      <c r="B46" s="82"/>
      <c r="C46" s="83"/>
      <c r="D46" s="84">
        <f>D42+D45</f>
        <v>19017.506399999998</v>
      </c>
      <c r="E46" s="83"/>
      <c r="F46" s="83"/>
      <c r="G46" s="84">
        <f>G42+G45</f>
        <v>20288.199999999997</v>
      </c>
      <c r="H46" s="84">
        <f t="shared" si="0"/>
        <v>1270.6935999999987</v>
      </c>
      <c r="I46" s="85">
        <f t="shared" si="7"/>
        <v>6.6817046003465455E-2</v>
      </c>
      <c r="J46" s="86">
        <f t="shared" si="1"/>
        <v>0.13282555438038426</v>
      </c>
    </row>
    <row r="47" spans="1:10" x14ac:dyDescent="0.2">
      <c r="A47" s="69" t="str">
        <f>A18</f>
        <v>Wholesale Market Service Rate</v>
      </c>
      <c r="B47" s="44">
        <f>B24*Rates!D89</f>
        <v>1195040</v>
      </c>
      <c r="C47" s="45">
        <f>C18</f>
        <v>5.1999999999999998E-3</v>
      </c>
      <c r="D47" s="47">
        <f>B47*C47</f>
        <v>6214.2079999999996</v>
      </c>
      <c r="E47" s="44">
        <f>B24*H24</f>
        <v>1195040</v>
      </c>
      <c r="F47" s="45">
        <f>D18</f>
        <v>5.1999999999999998E-3</v>
      </c>
      <c r="G47" s="47">
        <f>E47*F47</f>
        <v>6214.2079999999996</v>
      </c>
      <c r="H47" s="47">
        <f t="shared" si="0"/>
        <v>0</v>
      </c>
      <c r="I47" s="48">
        <f t="shared" si="7"/>
        <v>0</v>
      </c>
      <c r="J47" s="72">
        <f t="shared" si="1"/>
        <v>4.0684024340997181E-2</v>
      </c>
    </row>
    <row r="48" spans="1:10" x14ac:dyDescent="0.2">
      <c r="A48" s="61" t="str">
        <f>A19</f>
        <v>Rural Rate Protection Charge</v>
      </c>
      <c r="B48" s="39">
        <f>B24*Rates!D89</f>
        <v>1195040</v>
      </c>
      <c r="C48" s="40">
        <f>C19</f>
        <v>1.1000000000000001E-3</v>
      </c>
      <c r="D48" s="41">
        <f>B48*C48</f>
        <v>1314.5440000000001</v>
      </c>
      <c r="E48" s="39">
        <f>B24*H24</f>
        <v>1195040</v>
      </c>
      <c r="F48" s="40">
        <f>D19</f>
        <v>1.1000000000000001E-3</v>
      </c>
      <c r="G48" s="41">
        <f>E48*F48</f>
        <v>1314.5440000000001</v>
      </c>
      <c r="H48" s="41">
        <f t="shared" si="0"/>
        <v>0</v>
      </c>
      <c r="I48" s="42">
        <f t="shared" si="7"/>
        <v>0</v>
      </c>
      <c r="J48" s="62">
        <f t="shared" si="1"/>
        <v>8.6062359182878662E-3</v>
      </c>
    </row>
    <row r="49" spans="1:10" x14ac:dyDescent="0.2">
      <c r="A49" s="63" t="s">
        <v>45</v>
      </c>
      <c r="B49" s="64">
        <f>B24*Rates!D89</f>
        <v>1195040</v>
      </c>
      <c r="C49" s="65">
        <f>Rates!D40</f>
        <v>0</v>
      </c>
      <c r="D49" s="66">
        <f>B49*C49</f>
        <v>0</v>
      </c>
      <c r="E49" s="64">
        <f>B24*Rates!F89</f>
        <v>1195040</v>
      </c>
      <c r="F49" s="65">
        <f>Rates!F40</f>
        <v>0</v>
      </c>
      <c r="G49" s="66">
        <f>E49*F49</f>
        <v>0</v>
      </c>
      <c r="H49" s="41">
        <f>G49-D49</f>
        <v>0</v>
      </c>
      <c r="I49" s="42">
        <f>IF(ISERROR(H49/D49),0,H49/D49)</f>
        <v>0</v>
      </c>
      <c r="J49" s="62">
        <f t="shared" si="1"/>
        <v>0</v>
      </c>
    </row>
    <row r="50" spans="1:10" ht="12.75" thickBot="1" x14ac:dyDescent="0.25">
      <c r="A50" s="63" t="str">
        <f>A21</f>
        <v>Standard Supply Service - Administarive Charge (if applicable)</v>
      </c>
      <c r="B50" s="79">
        <f>B32</f>
        <v>1</v>
      </c>
      <c r="C50" s="66">
        <f>C21</f>
        <v>0.25</v>
      </c>
      <c r="D50" s="66">
        <f>B50*C50</f>
        <v>0.25</v>
      </c>
      <c r="E50" s="64">
        <f>B32</f>
        <v>1</v>
      </c>
      <c r="F50" s="66">
        <f>D21</f>
        <v>0.25</v>
      </c>
      <c r="G50" s="66">
        <f>E50*F50</f>
        <v>0.25</v>
      </c>
      <c r="H50" s="66">
        <f t="shared" si="0"/>
        <v>0</v>
      </c>
      <c r="I50" s="67">
        <f t="shared" si="7"/>
        <v>0</v>
      </c>
      <c r="J50" s="68">
        <f t="shared" si="1"/>
        <v>1.6367340914963412E-6</v>
      </c>
    </row>
    <row r="51" spans="1:10" ht="12.75" thickBot="1" x14ac:dyDescent="0.25">
      <c r="A51" s="73" t="s">
        <v>42</v>
      </c>
      <c r="B51" s="74"/>
      <c r="C51" s="75"/>
      <c r="D51" s="76">
        <f>SUM(D47:D50)</f>
        <v>7529.0019999999995</v>
      </c>
      <c r="E51" s="75"/>
      <c r="F51" s="75"/>
      <c r="G51" s="76">
        <f>SUM(G47:G50)</f>
        <v>7529.0019999999995</v>
      </c>
      <c r="H51" s="76">
        <f t="shared" si="0"/>
        <v>0</v>
      </c>
      <c r="I51" s="77">
        <f t="shared" si="7"/>
        <v>0</v>
      </c>
      <c r="J51" s="78">
        <f t="shared" si="1"/>
        <v>4.9291896993376542E-2</v>
      </c>
    </row>
    <row r="52" spans="1:10" ht="12.75" thickBot="1" x14ac:dyDescent="0.25">
      <c r="A52" s="87" t="s">
        <v>19</v>
      </c>
      <c r="B52" s="88">
        <f>B24</f>
        <v>1100000</v>
      </c>
      <c r="C52" s="89">
        <f>Rates!D83</f>
        <v>2E-3</v>
      </c>
      <c r="D52" s="90">
        <f>B52*C52</f>
        <v>2200</v>
      </c>
      <c r="E52" s="88">
        <f>B24</f>
        <v>1100000</v>
      </c>
      <c r="F52" s="89">
        <f>Rates!F83</f>
        <v>2E-3</v>
      </c>
      <c r="G52" s="90">
        <f>E52*F52</f>
        <v>2200</v>
      </c>
      <c r="H52" s="90">
        <f t="shared" si="0"/>
        <v>0</v>
      </c>
      <c r="I52" s="91">
        <f t="shared" si="7"/>
        <v>0</v>
      </c>
      <c r="J52" s="92">
        <f t="shared" si="1"/>
        <v>1.4403260005167803E-2</v>
      </c>
    </row>
    <row r="53" spans="1:10" ht="12.75" thickBot="1" x14ac:dyDescent="0.25">
      <c r="A53" s="73" t="s">
        <v>43</v>
      </c>
      <c r="B53" s="74"/>
      <c r="C53" s="75"/>
      <c r="D53" s="76">
        <f>D31+D46+D51+D52</f>
        <v>133900.27839999998</v>
      </c>
      <c r="E53" s="75"/>
      <c r="F53" s="75"/>
      <c r="G53" s="76">
        <f>G31+G46+G51+G52</f>
        <v>135170.97199999998</v>
      </c>
      <c r="H53" s="76">
        <f t="shared" si="0"/>
        <v>1270.6935999999987</v>
      </c>
      <c r="I53" s="77">
        <f t="shared" si="7"/>
        <v>9.4898503213268811E-3</v>
      </c>
      <c r="J53" s="78">
        <f t="shared" si="1"/>
        <v>0.88495575221238931</v>
      </c>
    </row>
    <row r="54" spans="1:10" ht="12.75" thickBot="1" x14ac:dyDescent="0.25">
      <c r="A54" s="93" t="s">
        <v>46</v>
      </c>
      <c r="B54" s="94"/>
      <c r="C54" s="95">
        <f>Rates!D90</f>
        <v>0.13</v>
      </c>
      <c r="D54" s="90">
        <f>C54*D53</f>
        <v>17407.036192</v>
      </c>
      <c r="E54" s="96"/>
      <c r="F54" s="95">
        <f>Rates!F90</f>
        <v>0.13</v>
      </c>
      <c r="G54" s="90">
        <f>F54*G53</f>
        <v>17572.226359999997</v>
      </c>
      <c r="H54" s="90">
        <f t="shared" si="0"/>
        <v>165.19016799999736</v>
      </c>
      <c r="I54" s="91">
        <f t="shared" si="7"/>
        <v>9.4898503213267388E-3</v>
      </c>
      <c r="J54" s="92">
        <f t="shared" si="1"/>
        <v>0.11504424778761062</v>
      </c>
    </row>
    <row r="55" spans="1:10" ht="12.75" thickBot="1" x14ac:dyDescent="0.25">
      <c r="A55" s="81" t="s">
        <v>33</v>
      </c>
      <c r="B55" s="82"/>
      <c r="C55" s="83"/>
      <c r="D55" s="104">
        <f>D53+D54</f>
        <v>151307.31459199998</v>
      </c>
      <c r="E55" s="83"/>
      <c r="F55" s="83"/>
      <c r="G55" s="104">
        <f>G53+G54</f>
        <v>152743.19835999998</v>
      </c>
      <c r="H55" s="104">
        <f t="shared" si="0"/>
        <v>1435.8837679999997</v>
      </c>
      <c r="I55" s="85">
        <f t="shared" si="7"/>
        <v>9.4898503213268898E-3</v>
      </c>
      <c r="J55" s="86">
        <f t="shared" si="1"/>
        <v>1</v>
      </c>
    </row>
  </sheetData>
  <mergeCells count="4">
    <mergeCell ref="A27:A28"/>
    <mergeCell ref="B27:B28"/>
    <mergeCell ref="E27:E28"/>
    <mergeCell ref="H27:J27"/>
  </mergeCells>
  <pageMargins left="0.75" right="0.75" top="1" bottom="1" header="0.5" footer="0.5"/>
  <pageSetup scale="68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2"/>
  <sheetViews>
    <sheetView topLeftCell="A16" zoomScaleNormal="100" workbookViewId="0">
      <selection activeCell="A11" sqref="A11"/>
    </sheetView>
  </sheetViews>
  <sheetFormatPr defaultRowHeight="12" x14ac:dyDescent="0.2"/>
  <cols>
    <col min="1" max="1" width="81.85546875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0.28515625" style="8" bestFit="1" customWidth="1"/>
    <col min="8" max="9" width="9.140625" style="8"/>
    <col min="10" max="10" width="11.5703125" style="8" bestFit="1" customWidth="1"/>
    <col min="11" max="11" width="3.42578125" style="8" customWidth="1"/>
    <col min="12" max="16384" width="9.140625" style="8"/>
  </cols>
  <sheetData>
    <row r="2" spans="1:4" ht="12.75" thickBot="1" x14ac:dyDescent="0.25"/>
    <row r="3" spans="1:4" ht="36.75" thickBot="1" x14ac:dyDescent="0.25">
      <c r="A3" s="14" t="str">
        <f>Rates!A43</f>
        <v>Seasonal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Rates!A44</f>
        <v>Monthly Service Charge</v>
      </c>
      <c r="B4" s="24" t="str">
        <f>Rates!B44</f>
        <v>$</v>
      </c>
      <c r="C4" s="25">
        <f>Rates!D44</f>
        <v>26.15</v>
      </c>
      <c r="D4" s="26">
        <f>Rates!F44</f>
        <v>26.38</v>
      </c>
    </row>
    <row r="5" spans="1:4" x14ac:dyDescent="0.2">
      <c r="A5" s="27" t="str">
        <f>Rates!A45</f>
        <v>Smart Meter Rate Adder</v>
      </c>
      <c r="B5" s="28" t="str">
        <f>Rates!B45</f>
        <v>$</v>
      </c>
      <c r="C5" s="29">
        <f>Rates!D45</f>
        <v>1</v>
      </c>
      <c r="D5" s="30">
        <f>Rates!F45</f>
        <v>0</v>
      </c>
    </row>
    <row r="6" spans="1:4" x14ac:dyDescent="0.2">
      <c r="A6" s="27" t="str">
        <f>Rates!A46</f>
        <v>Distribution Volumetric Rate</v>
      </c>
      <c r="B6" s="28" t="str">
        <f>Rates!B46</f>
        <v>$/kWh</v>
      </c>
      <c r="C6" s="31">
        <f>Rates!D46</f>
        <v>0.10059999999999999</v>
      </c>
      <c r="D6" s="32">
        <f>Rates!F46</f>
        <v>0.10150000000000001</v>
      </c>
    </row>
    <row r="7" spans="1:4" x14ac:dyDescent="0.2">
      <c r="A7" s="27" t="str">
        <f>Rates!A47</f>
        <v>Rate Rider for Foregone Revenue Recovery - effective until December 31, 2012</v>
      </c>
      <c r="B7" s="28" t="str">
        <f>Rates!B47</f>
        <v>$/kWh</v>
      </c>
      <c r="C7" s="31">
        <f>Rates!D47</f>
        <v>2.0000000000000001E-4</v>
      </c>
      <c r="D7" s="32">
        <f>Rates!F47</f>
        <v>0</v>
      </c>
    </row>
    <row r="8" spans="1:4" x14ac:dyDescent="0.2">
      <c r="A8" s="27" t="str">
        <f>Rates!A48</f>
        <v>Rate Rider for Deferral/Variance Account Disposition - effective until May 31, 2013</v>
      </c>
      <c r="B8" s="28" t="str">
        <f>Rates!B48</f>
        <v>$/kWh</v>
      </c>
      <c r="C8" s="31">
        <f>Rates!D48</f>
        <v>4.5999999999999999E-3</v>
      </c>
      <c r="D8" s="32">
        <f>Rates!F48</f>
        <v>4.5999999999999999E-3</v>
      </c>
    </row>
    <row r="9" spans="1:4" x14ac:dyDescent="0.2">
      <c r="A9" s="27" t="str">
        <f>Rates!A49</f>
        <v>Rate Rider for Deferral/Variance Account Disposition - effective until May 31, 2013</v>
      </c>
      <c r="B9" s="28" t="str">
        <f>Rates!B49</f>
        <v>$/kWh</v>
      </c>
      <c r="C9" s="31">
        <f>Rates!D49</f>
        <v>-6.1000000000000004E-3</v>
      </c>
      <c r="D9" s="32">
        <f>Rates!F49</f>
        <v>-6.1000000000000004E-3</v>
      </c>
    </row>
    <row r="10" spans="1:4" x14ac:dyDescent="0.2">
      <c r="A10" s="27" t="str">
        <f>Rates!A50</f>
        <v>Rate Rider for Deferral/Variance Account Disposition - effective until November 30, 2015</v>
      </c>
      <c r="B10" s="28" t="str">
        <f>Rates!B50</f>
        <v>$/kWh</v>
      </c>
      <c r="C10" s="31">
        <f>Rates!D50</f>
        <v>3.0700000000000002E-2</v>
      </c>
      <c r="D10" s="32">
        <f>Rates!F50</f>
        <v>3.0700000000000002E-2</v>
      </c>
    </row>
    <row r="11" spans="1:4" x14ac:dyDescent="0.2">
      <c r="A11" s="27" t="str">
        <f>Rates!A51</f>
        <v>Rate Rider for Deferral/Variance Account Disposition (2012) - effective until December 31, 2013</v>
      </c>
      <c r="B11" s="28" t="str">
        <f>Rates!B51</f>
        <v>$/kWh</v>
      </c>
      <c r="C11" s="31">
        <f>Rates!D51</f>
        <v>0</v>
      </c>
      <c r="D11" s="32">
        <f>Rates!F51</f>
        <v>-1.5E-3</v>
      </c>
    </row>
    <row r="12" spans="1:4" x14ac:dyDescent="0.2">
      <c r="A12" s="27" t="str">
        <f>Rates!A52</f>
        <v>Rate Rider for Global Adjustment Sub-Account Disposition (2012) - effective until December 31, 2013</v>
      </c>
      <c r="B12" s="28" t="str">
        <f>Rates!B52</f>
        <v>$/kWh</v>
      </c>
      <c r="C12" s="31">
        <f>Rates!D52</f>
        <v>0</v>
      </c>
      <c r="D12" s="32"/>
    </row>
    <row r="13" spans="1:4" x14ac:dyDescent="0.2">
      <c r="A13" s="27" t="str">
        <f>Rates!A53</f>
        <v>Rate Rider for PILs - effective until December 31, 2013</v>
      </c>
      <c r="B13" s="28" t="str">
        <f>Rates!B53</f>
        <v>$/kWh</v>
      </c>
      <c r="C13" s="31">
        <f>Rates!D53</f>
        <v>0</v>
      </c>
      <c r="D13" s="32">
        <f>Rates!F53</f>
        <v>0</v>
      </c>
    </row>
    <row r="14" spans="1:4" x14ac:dyDescent="0.2">
      <c r="A14" s="27" t="str">
        <f>Rates!A54</f>
        <v>Smart Meter Cost Recovery Rate Rider - Net Deferred Revenue Requirement, effective until December 31, 2013</v>
      </c>
      <c r="B14" s="28" t="str">
        <f>Rates!B54</f>
        <v>$/kWh</v>
      </c>
      <c r="C14" s="31">
        <f>Rates!D54</f>
        <v>0</v>
      </c>
      <c r="D14" s="32">
        <f>Rates!F54</f>
        <v>4.1099999999999998E-2</v>
      </c>
    </row>
    <row r="15" spans="1:4" x14ac:dyDescent="0.2">
      <c r="A15" s="27" t="str">
        <f>Rates!A55</f>
        <v>Smart Meter Cost Recovery Rate Rider - Incremental Revenue Requirement, effective until December 31, 2013</v>
      </c>
      <c r="B15" s="28" t="str">
        <f>Rates!B55</f>
        <v>$/kWh</v>
      </c>
      <c r="C15" s="31">
        <f>Rates!D55</f>
        <v>0</v>
      </c>
      <c r="D15" s="32">
        <f>Rates!F55</f>
        <v>1.7399999999999999E-2</v>
      </c>
    </row>
    <row r="16" spans="1:4" x14ac:dyDescent="0.2">
      <c r="A16" s="27" t="str">
        <f>Rates!A56</f>
        <v>Rate Rider for Tax Changes - effective until December 31, 2012</v>
      </c>
      <c r="B16" s="28" t="str">
        <f>Rates!B56</f>
        <v>$/kWh</v>
      </c>
      <c r="C16" s="31">
        <f>Rates!D56</f>
        <v>-2.9999999999999997E-4</v>
      </c>
      <c r="D16" s="32">
        <f>Rates!F56</f>
        <v>-2.0000000000000001E-4</v>
      </c>
    </row>
    <row r="17" spans="1:10" x14ac:dyDescent="0.2">
      <c r="A17" s="27" t="str">
        <f>Rates!A57</f>
        <v>Retail Transmission Rate - Network Service Rate</v>
      </c>
      <c r="B17" s="28" t="str">
        <f>Rates!B57</f>
        <v>$/kWh</v>
      </c>
      <c r="C17" s="31">
        <f>Rates!D57</f>
        <v>7.1000000000000004E-3</v>
      </c>
      <c r="D17" s="32">
        <f>Rates!F57</f>
        <v>6.7999999999999996E-3</v>
      </c>
    </row>
    <row r="18" spans="1:10" x14ac:dyDescent="0.2">
      <c r="A18" s="27" t="str">
        <f>Rates!A58</f>
        <v>Retail Transmission Rate - Line and Transformation Connection Service Rate</v>
      </c>
      <c r="B18" s="28" t="str">
        <f>Rates!B58</f>
        <v>$/kWh</v>
      </c>
      <c r="C18" s="31">
        <f>Rates!D58</f>
        <v>5.1000000000000004E-3</v>
      </c>
      <c r="D18" s="32">
        <f>Rates!F58</f>
        <v>5.0000000000000001E-3</v>
      </c>
    </row>
    <row r="19" spans="1:10" x14ac:dyDescent="0.2">
      <c r="A19" s="27" t="str">
        <f>Rates!A59</f>
        <v>Wholesale Market Service Rate</v>
      </c>
      <c r="B19" s="28" t="str">
        <f>Rates!B59</f>
        <v>$/kWh</v>
      </c>
      <c r="C19" s="31">
        <f>Rates!D59</f>
        <v>5.1999999999999998E-3</v>
      </c>
      <c r="D19" s="32">
        <f>Rates!F59</f>
        <v>5.1999999999999998E-3</v>
      </c>
    </row>
    <row r="20" spans="1:10" x14ac:dyDescent="0.2">
      <c r="A20" s="27" t="str">
        <f>Rates!A60</f>
        <v>Rural Rate Protection Charge</v>
      </c>
      <c r="B20" s="28" t="str">
        <f>Rates!B60</f>
        <v>$/kWh</v>
      </c>
      <c r="C20" s="31">
        <f>Rates!D60</f>
        <v>1.1000000000000001E-3</v>
      </c>
      <c r="D20" s="32">
        <f>Rates!F60</f>
        <v>1.1000000000000001E-3</v>
      </c>
    </row>
    <row r="21" spans="1:10" x14ac:dyDescent="0.2">
      <c r="A21" s="27" t="str">
        <f>Rates!A61</f>
        <v>Special Purpose Charge</v>
      </c>
      <c r="B21" s="28" t="str">
        <f>Rates!B61</f>
        <v>$/kWh</v>
      </c>
      <c r="C21" s="31">
        <f>Rates!D61</f>
        <v>0</v>
      </c>
      <c r="D21" s="32">
        <f>Rates!F61</f>
        <v>0</v>
      </c>
    </row>
    <row r="22" spans="1:10" ht="12.75" thickBot="1" x14ac:dyDescent="0.25">
      <c r="A22" s="12" t="str">
        <f>Rates!A62</f>
        <v>Standard Supply Service - Administarive Charge (if applicable)</v>
      </c>
      <c r="B22" s="17" t="str">
        <f>Rates!B62</f>
        <v>$</v>
      </c>
      <c r="C22" s="18">
        <f>Rates!D62</f>
        <v>0.25</v>
      </c>
      <c r="D22" s="13">
        <f>Rates!F62</f>
        <v>0.25</v>
      </c>
    </row>
    <row r="24" spans="1:10" ht="12.75" thickBot="1" x14ac:dyDescent="0.25"/>
    <row r="25" spans="1:10" ht="13.5" thickBot="1" x14ac:dyDescent="0.25">
      <c r="A25" s="33" t="s">
        <v>26</v>
      </c>
      <c r="B25" s="34">
        <v>287</v>
      </c>
      <c r="C25" s="35" t="s">
        <v>27</v>
      </c>
      <c r="D25" s="36"/>
      <c r="E25" s="35" t="s">
        <v>28</v>
      </c>
      <c r="G25" s="37" t="s">
        <v>23</v>
      </c>
      <c r="H25" s="53">
        <f>Rates!F89</f>
        <v>1.0864</v>
      </c>
    </row>
    <row r="26" spans="1:10" ht="13.5" thickBot="1" x14ac:dyDescent="0.25">
      <c r="A26" s="33" t="s">
        <v>29</v>
      </c>
      <c r="B26" s="34">
        <v>750</v>
      </c>
      <c r="C26" s="35" t="s">
        <v>27</v>
      </c>
      <c r="D26" s="37" t="s">
        <v>30</v>
      </c>
      <c r="E26" s="38" t="str">
        <f>IF(D25&gt;0,B25/(D25*24*30.4)," ")</f>
        <v xml:space="preserve"> </v>
      </c>
    </row>
    <row r="27" spans="1:10" ht="12.75" thickBot="1" x14ac:dyDescent="0.25"/>
    <row r="28" spans="1:10" ht="12.75" customHeight="1" x14ac:dyDescent="0.2">
      <c r="A28" s="149" t="str">
        <f>A3</f>
        <v>Seasonal</v>
      </c>
      <c r="B28" s="151" t="s">
        <v>31</v>
      </c>
      <c r="C28" s="49" t="s">
        <v>37</v>
      </c>
      <c r="D28" s="49" t="s">
        <v>38</v>
      </c>
      <c r="E28" s="151" t="s">
        <v>31</v>
      </c>
      <c r="F28" s="49" t="s">
        <v>37</v>
      </c>
      <c r="G28" s="49" t="s">
        <v>38</v>
      </c>
      <c r="H28" s="153" t="s">
        <v>44</v>
      </c>
      <c r="I28" s="153"/>
      <c r="J28" s="154"/>
    </row>
    <row r="29" spans="1:10" ht="12.75" thickBot="1" x14ac:dyDescent="0.25">
      <c r="A29" s="150"/>
      <c r="B29" s="152"/>
      <c r="C29" s="50" t="s">
        <v>15</v>
      </c>
      <c r="D29" s="50" t="s">
        <v>15</v>
      </c>
      <c r="E29" s="152"/>
      <c r="F29" s="50" t="s">
        <v>15</v>
      </c>
      <c r="G29" s="50" t="s">
        <v>15</v>
      </c>
      <c r="H29" s="50" t="s">
        <v>15</v>
      </c>
      <c r="I29" s="51" t="s">
        <v>22</v>
      </c>
      <c r="J29" s="52" t="s">
        <v>34</v>
      </c>
    </row>
    <row r="30" spans="1:10" x14ac:dyDescent="0.2">
      <c r="A30" s="54" t="s">
        <v>35</v>
      </c>
      <c r="B30" s="55">
        <f>IF(B25*Rates!D89&gt;B26,B26,B25*Rates!D89)</f>
        <v>311.79680000000002</v>
      </c>
      <c r="C30" s="56">
        <f>Rates!D84</f>
        <v>7.4999999999999997E-2</v>
      </c>
      <c r="D30" s="58">
        <f>B30*C30</f>
        <v>23.38476</v>
      </c>
      <c r="E30" s="55">
        <f>IF(B25*H25&gt;B26,B26,B25*H25)</f>
        <v>311.79680000000002</v>
      </c>
      <c r="F30" s="56">
        <f>Rates!F84</f>
        <v>7.4999999999999997E-2</v>
      </c>
      <c r="G30" s="58">
        <f>E30*F30</f>
        <v>23.38476</v>
      </c>
      <c r="H30" s="58">
        <f t="shared" ref="H30:H59" si="0">G30-D30</f>
        <v>0</v>
      </c>
      <c r="I30" s="59">
        <f>IF(ISERROR(H30/D30),1,H30/D30)</f>
        <v>0</v>
      </c>
      <c r="J30" s="60">
        <f t="shared" ref="J30:J41" si="1">IF(ISERROR(G30/G$59),0,G30/G$59)</f>
        <v>0.18805505799504235</v>
      </c>
    </row>
    <row r="31" spans="1:10" ht="12.75" thickBot="1" x14ac:dyDescent="0.25">
      <c r="A31" s="63" t="s">
        <v>36</v>
      </c>
      <c r="B31" s="64">
        <f>IF(B25*Rates!D89&gt;=B26,B25*Rates!D89-B26,0)</f>
        <v>0</v>
      </c>
      <c r="C31" s="65">
        <f>Rates!D85</f>
        <v>8.7999999999999995E-2</v>
      </c>
      <c r="D31" s="66">
        <f>B31*C31</f>
        <v>0</v>
      </c>
      <c r="E31" s="64">
        <f>IF(B25*H25&gt;=B26,B25*H25-B26,0)</f>
        <v>0</v>
      </c>
      <c r="F31" s="65">
        <f>Rates!F85</f>
        <v>8.7999999999999995E-2</v>
      </c>
      <c r="G31" s="66">
        <f>E31*F31</f>
        <v>0</v>
      </c>
      <c r="H31" s="66">
        <f t="shared" si="0"/>
        <v>0</v>
      </c>
      <c r="I31" s="67">
        <f>IF(ISERROR(H31/D31),0,H31/D31)</f>
        <v>0</v>
      </c>
      <c r="J31" s="68">
        <f t="shared" si="1"/>
        <v>0</v>
      </c>
    </row>
    <row r="32" spans="1:10" ht="12.75" thickBot="1" x14ac:dyDescent="0.25">
      <c r="A32" s="73" t="s">
        <v>39</v>
      </c>
      <c r="B32" s="74"/>
      <c r="C32" s="75"/>
      <c r="D32" s="76">
        <f>SUM(D30:D31)</f>
        <v>23.38476</v>
      </c>
      <c r="E32" s="75"/>
      <c r="F32" s="75"/>
      <c r="G32" s="76">
        <f>SUM(G30:G31)</f>
        <v>23.38476</v>
      </c>
      <c r="H32" s="76">
        <f t="shared" si="0"/>
        <v>0</v>
      </c>
      <c r="I32" s="77">
        <f>IF(ISERROR(H32/D32),0,H32/D32)</f>
        <v>0</v>
      </c>
      <c r="J32" s="78">
        <f t="shared" si="1"/>
        <v>0.18805505799504235</v>
      </c>
    </row>
    <row r="33" spans="1:10" x14ac:dyDescent="0.2">
      <c r="A33" s="69" t="str">
        <f t="shared" ref="A33:A38" si="2">A4</f>
        <v>Monthly Service Charge</v>
      </c>
      <c r="B33" s="70">
        <v>1</v>
      </c>
      <c r="C33" s="46">
        <f t="shared" ref="C33:C38" si="3">C4</f>
        <v>26.15</v>
      </c>
      <c r="D33" s="46">
        <f t="shared" ref="D33:D45" si="4">B33*C33</f>
        <v>26.15</v>
      </c>
      <c r="E33" s="71">
        <f>B33</f>
        <v>1</v>
      </c>
      <c r="F33" s="47">
        <f t="shared" ref="F33:F37" si="5">D4</f>
        <v>26.38</v>
      </c>
      <c r="G33" s="47">
        <f t="shared" ref="G33:G45" si="6">E33*F33</f>
        <v>26.38</v>
      </c>
      <c r="H33" s="47">
        <f t="shared" si="0"/>
        <v>0.23000000000000043</v>
      </c>
      <c r="I33" s="48">
        <f>IF(ISERROR(H33/D33),0,H33/D33)</f>
        <v>8.795411089866173E-3</v>
      </c>
      <c r="J33" s="72">
        <f t="shared" si="1"/>
        <v>0.21214211434751595</v>
      </c>
    </row>
    <row r="34" spans="1:10" x14ac:dyDescent="0.2">
      <c r="A34" s="61" t="str">
        <f t="shared" si="2"/>
        <v>Smart Meter Rate Adder</v>
      </c>
      <c r="B34" s="43">
        <f>B33</f>
        <v>1</v>
      </c>
      <c r="C34" s="41">
        <f t="shared" si="3"/>
        <v>1</v>
      </c>
      <c r="D34" s="41">
        <f t="shared" si="4"/>
        <v>1</v>
      </c>
      <c r="E34" s="43">
        <f>B34</f>
        <v>1</v>
      </c>
      <c r="F34" s="41">
        <f t="shared" si="5"/>
        <v>0</v>
      </c>
      <c r="G34" s="41">
        <f t="shared" si="6"/>
        <v>0</v>
      </c>
      <c r="H34" s="41">
        <f t="shared" si="0"/>
        <v>-1</v>
      </c>
      <c r="I34" s="42">
        <f>IF(ISERROR(H34/D34),1,H34/D34)</f>
        <v>-1</v>
      </c>
      <c r="J34" s="62">
        <f t="shared" si="1"/>
        <v>0</v>
      </c>
    </row>
    <row r="35" spans="1:10" x14ac:dyDescent="0.2">
      <c r="A35" s="61" t="str">
        <f t="shared" si="2"/>
        <v>Distribution Volumetric Rate</v>
      </c>
      <c r="B35" s="43">
        <f>B25</f>
        <v>287</v>
      </c>
      <c r="C35" s="40">
        <f t="shared" si="3"/>
        <v>0.10059999999999999</v>
      </c>
      <c r="D35" s="41">
        <f t="shared" si="4"/>
        <v>28.872199999999999</v>
      </c>
      <c r="E35" s="43">
        <f>B25</f>
        <v>287</v>
      </c>
      <c r="F35" s="40">
        <f t="shared" si="5"/>
        <v>0.10150000000000001</v>
      </c>
      <c r="G35" s="41">
        <f t="shared" si="6"/>
        <v>29.130500000000001</v>
      </c>
      <c r="H35" s="41">
        <f t="shared" si="0"/>
        <v>0.25830000000000197</v>
      </c>
      <c r="I35" s="42">
        <f t="shared" ref="I35:I59" si="7">IF(ISERROR(H35/D35),0,H35/D35)</f>
        <v>8.9463220675945025E-3</v>
      </c>
      <c r="J35" s="62">
        <f t="shared" si="1"/>
        <v>0.23426102585293077</v>
      </c>
    </row>
    <row r="36" spans="1:10" x14ac:dyDescent="0.2">
      <c r="A36" s="61" t="str">
        <f t="shared" si="2"/>
        <v>Rate Rider for Foregone Revenue Recovery - effective until December 31, 2012</v>
      </c>
      <c r="B36" s="43">
        <f>B25</f>
        <v>287</v>
      </c>
      <c r="C36" s="40">
        <f t="shared" si="3"/>
        <v>2.0000000000000001E-4</v>
      </c>
      <c r="D36" s="41">
        <f t="shared" si="4"/>
        <v>5.74E-2</v>
      </c>
      <c r="E36" s="43">
        <f>B25</f>
        <v>287</v>
      </c>
      <c r="F36" s="40">
        <f t="shared" si="5"/>
        <v>0</v>
      </c>
      <c r="G36" s="41">
        <f>E36*F36</f>
        <v>0</v>
      </c>
      <c r="H36" s="41">
        <f>G36-D36</f>
        <v>-5.74E-2</v>
      </c>
      <c r="I36" s="42">
        <f>IF(ISERROR(H36/D36),0,H36/D36)</f>
        <v>-1</v>
      </c>
      <c r="J36" s="62">
        <f t="shared" si="1"/>
        <v>0</v>
      </c>
    </row>
    <row r="37" spans="1:10" x14ac:dyDescent="0.2">
      <c r="A37" s="61" t="str">
        <f t="shared" si="2"/>
        <v>Rate Rider for Deferral/Variance Account Disposition - effective until May 31, 2013</v>
      </c>
      <c r="B37" s="43">
        <f>B25</f>
        <v>287</v>
      </c>
      <c r="C37" s="40">
        <f t="shared" si="3"/>
        <v>4.5999999999999999E-3</v>
      </c>
      <c r="D37" s="41">
        <f t="shared" si="4"/>
        <v>1.3202</v>
      </c>
      <c r="E37" s="43">
        <f>B25</f>
        <v>287</v>
      </c>
      <c r="F37" s="40">
        <f t="shared" si="5"/>
        <v>4.5999999999999999E-3</v>
      </c>
      <c r="G37" s="41">
        <f t="shared" si="6"/>
        <v>1.3202</v>
      </c>
      <c r="H37" s="41">
        <f t="shared" si="0"/>
        <v>0</v>
      </c>
      <c r="I37" s="42">
        <f t="shared" si="7"/>
        <v>0</v>
      </c>
      <c r="J37" s="62">
        <f t="shared" si="1"/>
        <v>1.0616755851462873E-2</v>
      </c>
    </row>
    <row r="38" spans="1:10" x14ac:dyDescent="0.2">
      <c r="A38" s="61" t="str">
        <f t="shared" si="2"/>
        <v>Rate Rider for Deferral/Variance Account Disposition - effective until May 31, 2013</v>
      </c>
      <c r="B38" s="43">
        <f>B25</f>
        <v>287</v>
      </c>
      <c r="C38" s="40">
        <f t="shared" si="3"/>
        <v>-6.1000000000000004E-3</v>
      </c>
      <c r="D38" s="41">
        <f t="shared" si="4"/>
        <v>-1.7507000000000001</v>
      </c>
      <c r="E38" s="43">
        <f>B25</f>
        <v>287</v>
      </c>
      <c r="F38" s="40">
        <f>D9</f>
        <v>-6.1000000000000004E-3</v>
      </c>
      <c r="G38" s="41">
        <f>E38*F38</f>
        <v>-1.7507000000000001</v>
      </c>
      <c r="H38" s="41">
        <f>G38-D38</f>
        <v>0</v>
      </c>
      <c r="I38" s="42">
        <f>IF(ISERROR(H38/D38),0,H38/D38)</f>
        <v>0</v>
      </c>
      <c r="J38" s="62">
        <f t="shared" si="1"/>
        <v>-1.4078741455200766E-2</v>
      </c>
    </row>
    <row r="39" spans="1:10" x14ac:dyDescent="0.2">
      <c r="A39" s="61" t="str">
        <f>A10</f>
        <v>Rate Rider for Deferral/Variance Account Disposition - effective until November 30, 2015</v>
      </c>
      <c r="B39" s="43">
        <f>B25</f>
        <v>287</v>
      </c>
      <c r="C39" s="40">
        <f>C10</f>
        <v>3.0700000000000002E-2</v>
      </c>
      <c r="D39" s="41">
        <f t="shared" si="4"/>
        <v>8.8109000000000002</v>
      </c>
      <c r="E39" s="43">
        <f>B25</f>
        <v>287</v>
      </c>
      <c r="F39" s="40">
        <f>D10</f>
        <v>3.0700000000000002E-2</v>
      </c>
      <c r="G39" s="41">
        <f>E39*F39</f>
        <v>8.8109000000000002</v>
      </c>
      <c r="H39" s="41">
        <f>G39-D39</f>
        <v>0</v>
      </c>
      <c r="I39" s="42">
        <f>IF(ISERROR(H39/D39),0,H39/D39)</f>
        <v>0</v>
      </c>
      <c r="J39" s="62">
        <f t="shared" si="1"/>
        <v>7.085530535650221E-2</v>
      </c>
    </row>
    <row r="40" spans="1:10" x14ac:dyDescent="0.2">
      <c r="A40" s="61" t="str">
        <f>A11</f>
        <v>Rate Rider for Deferral/Variance Account Disposition (2012) - effective until December 31, 2013</v>
      </c>
      <c r="B40" s="43">
        <f>B25</f>
        <v>287</v>
      </c>
      <c r="C40" s="40">
        <f>C11</f>
        <v>0</v>
      </c>
      <c r="D40" s="41">
        <f t="shared" si="4"/>
        <v>0</v>
      </c>
      <c r="E40" s="43">
        <f>B25</f>
        <v>287</v>
      </c>
      <c r="F40" s="40">
        <f>D11</f>
        <v>-1.5E-3</v>
      </c>
      <c r="G40" s="41">
        <f>E40*F40</f>
        <v>-0.43049999999999999</v>
      </c>
      <c r="H40" s="41">
        <f>G40-D40</f>
        <v>-0.43049999999999999</v>
      </c>
      <c r="I40" s="42">
        <f>IF(ISERROR(H40/D40),0,H40/D40)</f>
        <v>0</v>
      </c>
      <c r="J40" s="62">
        <f t="shared" si="1"/>
        <v>-3.4619856037378929E-3</v>
      </c>
    </row>
    <row r="41" spans="1:10" x14ac:dyDescent="0.2">
      <c r="A41" s="61" t="str">
        <f>A12</f>
        <v>Rate Rider for Global Adjustment Sub-Account Disposition (2012) - effective until December 31, 2013</v>
      </c>
      <c r="B41" s="43">
        <f>B25</f>
        <v>287</v>
      </c>
      <c r="C41" s="40">
        <f>C12</f>
        <v>0</v>
      </c>
      <c r="D41" s="41">
        <f t="shared" si="4"/>
        <v>0</v>
      </c>
      <c r="E41" s="43">
        <f>B25</f>
        <v>287</v>
      </c>
      <c r="F41" s="40">
        <f>D12</f>
        <v>0</v>
      </c>
      <c r="G41" s="41">
        <f t="shared" si="6"/>
        <v>0</v>
      </c>
      <c r="H41" s="41">
        <f t="shared" si="0"/>
        <v>0</v>
      </c>
      <c r="I41" s="42">
        <f t="shared" si="7"/>
        <v>0</v>
      </c>
      <c r="J41" s="62">
        <f t="shared" si="1"/>
        <v>0</v>
      </c>
    </row>
    <row r="42" spans="1:10" x14ac:dyDescent="0.2">
      <c r="A42" s="61" t="str">
        <f t="shared" ref="A42:A44" si="8">A13</f>
        <v>Rate Rider for PILs - effective until December 31, 2013</v>
      </c>
      <c r="B42" s="43">
        <f>B25</f>
        <v>287</v>
      </c>
      <c r="C42" s="40">
        <f t="shared" ref="C42:C44" si="9">C13</f>
        <v>0</v>
      </c>
      <c r="D42" s="41">
        <f t="shared" si="4"/>
        <v>0</v>
      </c>
      <c r="E42" s="43">
        <f>B25</f>
        <v>287</v>
      </c>
      <c r="F42" s="40">
        <f t="shared" ref="F42:F44" si="10">D13</f>
        <v>0</v>
      </c>
      <c r="G42" s="41">
        <f t="shared" ref="G42:G44" si="11">E42*F42</f>
        <v>0</v>
      </c>
      <c r="H42" s="41">
        <f t="shared" ref="H42:H44" si="12">G42-D42</f>
        <v>0</v>
      </c>
      <c r="I42" s="42">
        <f t="shared" ref="I42:I44" si="13">IF(ISERROR(H42/D42),0,H42/D42)</f>
        <v>0</v>
      </c>
      <c r="J42" s="62">
        <f t="shared" ref="J42:J44" si="14">IF(ISERROR(G42/G$59),0,G42/G$59)</f>
        <v>0</v>
      </c>
    </row>
    <row r="43" spans="1:10" x14ac:dyDescent="0.2">
      <c r="A43" s="61" t="str">
        <f t="shared" si="8"/>
        <v>Smart Meter Cost Recovery Rate Rider - Net Deferred Revenue Requirement, effective until December 31, 2013</v>
      </c>
      <c r="B43" s="43">
        <f>B25</f>
        <v>287</v>
      </c>
      <c r="C43" s="40">
        <f t="shared" si="9"/>
        <v>0</v>
      </c>
      <c r="D43" s="41">
        <f t="shared" si="4"/>
        <v>0</v>
      </c>
      <c r="E43" s="43">
        <f>B25</f>
        <v>287</v>
      </c>
      <c r="F43" s="40">
        <f t="shared" si="10"/>
        <v>4.1099999999999998E-2</v>
      </c>
      <c r="G43" s="41">
        <f t="shared" si="11"/>
        <v>11.7957</v>
      </c>
      <c r="H43" s="41">
        <f t="shared" si="12"/>
        <v>11.7957</v>
      </c>
      <c r="I43" s="42">
        <f t="shared" si="13"/>
        <v>0</v>
      </c>
      <c r="J43" s="62">
        <f t="shared" si="14"/>
        <v>9.485840554241827E-2</v>
      </c>
    </row>
    <row r="44" spans="1:10" x14ac:dyDescent="0.2">
      <c r="A44" s="61" t="str">
        <f t="shared" si="8"/>
        <v>Smart Meter Cost Recovery Rate Rider - Incremental Revenue Requirement, effective until December 31, 2013</v>
      </c>
      <c r="B44" s="43">
        <f>B25</f>
        <v>287</v>
      </c>
      <c r="C44" s="40">
        <f t="shared" si="9"/>
        <v>0</v>
      </c>
      <c r="D44" s="41">
        <f t="shared" si="4"/>
        <v>0</v>
      </c>
      <c r="E44" s="43">
        <f>B25</f>
        <v>287</v>
      </c>
      <c r="F44" s="40">
        <f t="shared" si="10"/>
        <v>1.7399999999999999E-2</v>
      </c>
      <c r="G44" s="41">
        <f t="shared" si="11"/>
        <v>4.9937999999999994</v>
      </c>
      <c r="H44" s="41">
        <f t="shared" si="12"/>
        <v>4.9937999999999994</v>
      </c>
      <c r="I44" s="42">
        <f t="shared" si="13"/>
        <v>0</v>
      </c>
      <c r="J44" s="62">
        <f t="shared" si="14"/>
        <v>4.0159033003359552E-2</v>
      </c>
    </row>
    <row r="45" spans="1:10" ht="12.75" thickBot="1" x14ac:dyDescent="0.25">
      <c r="A45" s="61" t="str">
        <f>A16</f>
        <v>Rate Rider for Tax Changes - effective until December 31, 2012</v>
      </c>
      <c r="B45" s="43">
        <f>B25</f>
        <v>287</v>
      </c>
      <c r="C45" s="40">
        <f>C16</f>
        <v>-2.9999999999999997E-4</v>
      </c>
      <c r="D45" s="41">
        <f t="shared" si="4"/>
        <v>-8.6099999999999996E-2</v>
      </c>
      <c r="E45" s="43">
        <f>B25</f>
        <v>287</v>
      </c>
      <c r="F45" s="40">
        <f>D16</f>
        <v>-2.0000000000000001E-4</v>
      </c>
      <c r="G45" s="41">
        <f t="shared" si="6"/>
        <v>-5.74E-2</v>
      </c>
      <c r="H45" s="41">
        <f t="shared" si="0"/>
        <v>2.8699999999999996E-2</v>
      </c>
      <c r="I45" s="42">
        <f t="shared" si="7"/>
        <v>-0.33333333333333331</v>
      </c>
      <c r="J45" s="62">
        <f t="shared" ref="J45:J59" si="15">IF(ISERROR(G45/G$59),0,G45/G$59)</f>
        <v>-4.6159808049838576E-4</v>
      </c>
    </row>
    <row r="46" spans="1:10" ht="12.75" thickBot="1" x14ac:dyDescent="0.25">
      <c r="A46" s="73" t="s">
        <v>40</v>
      </c>
      <c r="B46" s="74"/>
      <c r="C46" s="75"/>
      <c r="D46" s="76">
        <f>SUM(D33:D45)</f>
        <v>64.373899999999992</v>
      </c>
      <c r="E46" s="75"/>
      <c r="F46" s="75"/>
      <c r="G46" s="76">
        <f>SUM(G33:G45)</f>
        <v>80.192499999999995</v>
      </c>
      <c r="H46" s="76">
        <f t="shared" si="0"/>
        <v>15.818600000000004</v>
      </c>
      <c r="I46" s="77">
        <f t="shared" si="7"/>
        <v>0.24573002412468417</v>
      </c>
      <c r="J46" s="78">
        <f t="shared" si="15"/>
        <v>0.64489031481475256</v>
      </c>
    </row>
    <row r="47" spans="1:10" x14ac:dyDescent="0.2">
      <c r="A47" s="69" t="str">
        <f>A17</f>
        <v>Retail Transmission Rate - Network Service Rate</v>
      </c>
      <c r="B47" s="44">
        <f>B25*Rates!D89</f>
        <v>311.79680000000002</v>
      </c>
      <c r="C47" s="45">
        <f>C17</f>
        <v>7.1000000000000004E-3</v>
      </c>
      <c r="D47" s="47">
        <f>B47*C47</f>
        <v>2.2137572800000003</v>
      </c>
      <c r="E47" s="44">
        <f>B25*H25</f>
        <v>311.79680000000002</v>
      </c>
      <c r="F47" s="45">
        <f>D17</f>
        <v>6.7999999999999996E-3</v>
      </c>
      <c r="G47" s="47">
        <f>E47*F47</f>
        <v>2.1202182399999998</v>
      </c>
      <c r="H47" s="47">
        <f t="shared" si="0"/>
        <v>-9.3539040000000462E-2</v>
      </c>
      <c r="I47" s="48">
        <f t="shared" si="7"/>
        <v>-4.2253521126760764E-2</v>
      </c>
      <c r="J47" s="72">
        <f t="shared" si="15"/>
        <v>1.7050325258217171E-2</v>
      </c>
    </row>
    <row r="48" spans="1:10" ht="12.75" thickBot="1" x14ac:dyDescent="0.25">
      <c r="A48" s="63" t="str">
        <f>A18</f>
        <v>Retail Transmission Rate - Line and Transformation Connection Service Rate</v>
      </c>
      <c r="B48" s="64">
        <f>B25*Rates!D89</f>
        <v>311.79680000000002</v>
      </c>
      <c r="C48" s="65">
        <f>C18</f>
        <v>5.1000000000000004E-3</v>
      </c>
      <c r="D48" s="66">
        <f>B48*C48</f>
        <v>1.5901636800000003</v>
      </c>
      <c r="E48" s="64">
        <f>B25*H25</f>
        <v>311.79680000000002</v>
      </c>
      <c r="F48" s="65">
        <f>D18</f>
        <v>5.0000000000000001E-3</v>
      </c>
      <c r="G48" s="66">
        <f>E48*F48</f>
        <v>1.5589840000000001</v>
      </c>
      <c r="H48" s="66">
        <f t="shared" si="0"/>
        <v>-3.1179680000000154E-2</v>
      </c>
      <c r="I48" s="67">
        <f t="shared" si="7"/>
        <v>-1.9607843137254995E-2</v>
      </c>
      <c r="J48" s="68">
        <f t="shared" si="15"/>
        <v>1.2537003866336159E-2</v>
      </c>
    </row>
    <row r="49" spans="1:10" ht="12.75" thickBot="1" x14ac:dyDescent="0.25">
      <c r="A49" s="73" t="s">
        <v>32</v>
      </c>
      <c r="B49" s="74"/>
      <c r="C49" s="75"/>
      <c r="D49" s="76">
        <f>SUM(D47:D48)</f>
        <v>3.8039209600000006</v>
      </c>
      <c r="E49" s="75"/>
      <c r="F49" s="75"/>
      <c r="G49" s="76">
        <f>SUM(G47:G48)</f>
        <v>3.67920224</v>
      </c>
      <c r="H49" s="76">
        <f t="shared" si="0"/>
        <v>-0.12471872000000062</v>
      </c>
      <c r="I49" s="77">
        <f t="shared" si="7"/>
        <v>-3.2786885245901794E-2</v>
      </c>
      <c r="J49" s="78">
        <f t="shared" si="15"/>
        <v>2.9587329124553328E-2</v>
      </c>
    </row>
    <row r="50" spans="1:10" ht="12.75" thickBot="1" x14ac:dyDescent="0.25">
      <c r="A50" s="81" t="s">
        <v>41</v>
      </c>
      <c r="B50" s="82"/>
      <c r="C50" s="83"/>
      <c r="D50" s="84">
        <f>D46+D49</f>
        <v>68.177820959999991</v>
      </c>
      <c r="E50" s="83"/>
      <c r="F50" s="83"/>
      <c r="G50" s="84">
        <f>G46+G49</f>
        <v>83.871702239999991</v>
      </c>
      <c r="H50" s="84">
        <f t="shared" si="0"/>
        <v>15.693881279999999</v>
      </c>
      <c r="I50" s="85">
        <f t="shared" si="7"/>
        <v>0.23019042056518085</v>
      </c>
      <c r="J50" s="86">
        <f t="shared" si="15"/>
        <v>0.67447764393930587</v>
      </c>
    </row>
    <row r="51" spans="1:10" x14ac:dyDescent="0.2">
      <c r="A51" s="69" t="str">
        <f>A19</f>
        <v>Wholesale Market Service Rate</v>
      </c>
      <c r="B51" s="44">
        <f>B25*Rates!D89</f>
        <v>311.79680000000002</v>
      </c>
      <c r="C51" s="45">
        <f>C19</f>
        <v>5.1999999999999998E-3</v>
      </c>
      <c r="D51" s="47">
        <f>B51*C51</f>
        <v>1.62134336</v>
      </c>
      <c r="E51" s="44">
        <f>B25*H25</f>
        <v>311.79680000000002</v>
      </c>
      <c r="F51" s="45">
        <f>D19</f>
        <v>5.1999999999999998E-3</v>
      </c>
      <c r="G51" s="47">
        <f>E51*F51</f>
        <v>1.62134336</v>
      </c>
      <c r="H51" s="47">
        <f t="shared" si="0"/>
        <v>0</v>
      </c>
      <c r="I51" s="48">
        <f t="shared" si="7"/>
        <v>0</v>
      </c>
      <c r="J51" s="72">
        <f t="shared" si="15"/>
        <v>1.3038484020989604E-2</v>
      </c>
    </row>
    <row r="52" spans="1:10" x14ac:dyDescent="0.2">
      <c r="A52" s="61" t="str">
        <f>A20</f>
        <v>Rural Rate Protection Charge</v>
      </c>
      <c r="B52" s="39">
        <f>B25*Rates!D89</f>
        <v>311.79680000000002</v>
      </c>
      <c r="C52" s="40">
        <f>C20</f>
        <v>1.1000000000000001E-3</v>
      </c>
      <c r="D52" s="41">
        <f>B52*C52</f>
        <v>0.34297648000000003</v>
      </c>
      <c r="E52" s="39">
        <f>B25*H25</f>
        <v>311.79680000000002</v>
      </c>
      <c r="F52" s="40">
        <f>D20</f>
        <v>1.1000000000000001E-3</v>
      </c>
      <c r="G52" s="41">
        <f>E52*F52</f>
        <v>0.34297648000000003</v>
      </c>
      <c r="H52" s="41">
        <f t="shared" si="0"/>
        <v>0</v>
      </c>
      <c r="I52" s="42">
        <f t="shared" si="7"/>
        <v>0</v>
      </c>
      <c r="J52" s="62">
        <f t="shared" si="15"/>
        <v>2.7581408505939547E-3</v>
      </c>
    </row>
    <row r="53" spans="1:10" x14ac:dyDescent="0.2">
      <c r="A53" s="63" t="s">
        <v>45</v>
      </c>
      <c r="B53" s="64">
        <f>B25*Rates!D89</f>
        <v>311.79680000000002</v>
      </c>
      <c r="C53" s="65">
        <f>Rates!D61</f>
        <v>0</v>
      </c>
      <c r="D53" s="66">
        <f>B53*C53</f>
        <v>0</v>
      </c>
      <c r="E53" s="64">
        <f>B25*Rates!F89</f>
        <v>311.79680000000002</v>
      </c>
      <c r="F53" s="65">
        <f>Rates!F61</f>
        <v>0</v>
      </c>
      <c r="G53" s="66">
        <f>E53*F53</f>
        <v>0</v>
      </c>
      <c r="H53" s="41">
        <f>G53-D53</f>
        <v>0</v>
      </c>
      <c r="I53" s="42">
        <f>IF(ISERROR(H53/D53),0,H53/D53)</f>
        <v>0</v>
      </c>
      <c r="J53" s="62">
        <f t="shared" si="15"/>
        <v>0</v>
      </c>
    </row>
    <row r="54" spans="1:10" ht="12.75" thickBot="1" x14ac:dyDescent="0.25">
      <c r="A54" s="63" t="str">
        <f>A22</f>
        <v>Standard Supply Service - Administarive Charge (if applicable)</v>
      </c>
      <c r="B54" s="79">
        <f>B33</f>
        <v>1</v>
      </c>
      <c r="C54" s="66">
        <f>C22</f>
        <v>0.25</v>
      </c>
      <c r="D54" s="66">
        <f>B54*C54</f>
        <v>0.25</v>
      </c>
      <c r="E54" s="64">
        <f>B33</f>
        <v>1</v>
      </c>
      <c r="F54" s="66">
        <f>D22</f>
        <v>0.25</v>
      </c>
      <c r="G54" s="66">
        <f>E54*F54</f>
        <v>0.25</v>
      </c>
      <c r="H54" s="66">
        <f t="shared" si="0"/>
        <v>0</v>
      </c>
      <c r="I54" s="67">
        <f t="shared" si="7"/>
        <v>0</v>
      </c>
      <c r="J54" s="68">
        <f t="shared" si="15"/>
        <v>2.0104446014738053E-3</v>
      </c>
    </row>
    <row r="55" spans="1:10" ht="12.75" thickBot="1" x14ac:dyDescent="0.25">
      <c r="A55" s="73" t="s">
        <v>42</v>
      </c>
      <c r="B55" s="74"/>
      <c r="C55" s="75"/>
      <c r="D55" s="76">
        <f>SUM(D51:D54)</f>
        <v>2.2143198399999999</v>
      </c>
      <c r="E55" s="75"/>
      <c r="F55" s="75"/>
      <c r="G55" s="76">
        <f>SUM(G51:G54)</f>
        <v>2.2143198399999999</v>
      </c>
      <c r="H55" s="76">
        <f t="shared" si="0"/>
        <v>0</v>
      </c>
      <c r="I55" s="77">
        <f t="shared" si="7"/>
        <v>0</v>
      </c>
      <c r="J55" s="78">
        <f t="shared" si="15"/>
        <v>1.7807069473057362E-2</v>
      </c>
    </row>
    <row r="56" spans="1:10" ht="12.75" thickBot="1" x14ac:dyDescent="0.25">
      <c r="A56" s="87" t="s">
        <v>19</v>
      </c>
      <c r="B56" s="88">
        <f>B25</f>
        <v>287</v>
      </c>
      <c r="C56" s="89">
        <f>Rates!D83</f>
        <v>2E-3</v>
      </c>
      <c r="D56" s="90">
        <f>B56*C56</f>
        <v>0.57400000000000007</v>
      </c>
      <c r="E56" s="88">
        <f>B25</f>
        <v>287</v>
      </c>
      <c r="F56" s="89">
        <f>Rates!F83</f>
        <v>2E-3</v>
      </c>
      <c r="G56" s="90">
        <f>E56*F56</f>
        <v>0.57400000000000007</v>
      </c>
      <c r="H56" s="90">
        <f t="shared" si="0"/>
        <v>0</v>
      </c>
      <c r="I56" s="91">
        <f t="shared" si="7"/>
        <v>0</v>
      </c>
      <c r="J56" s="92">
        <f t="shared" si="15"/>
        <v>4.6159808049838578E-3</v>
      </c>
    </row>
    <row r="57" spans="1:10" ht="12.75" thickBot="1" x14ac:dyDescent="0.25">
      <c r="A57" s="73" t="s">
        <v>43</v>
      </c>
      <c r="B57" s="74"/>
      <c r="C57" s="75"/>
      <c r="D57" s="76">
        <f>D32+D50+D55+D56</f>
        <v>94.350900799999991</v>
      </c>
      <c r="E57" s="75"/>
      <c r="F57" s="75"/>
      <c r="G57" s="76">
        <f>G32+G50+G55+G56</f>
        <v>110.04478207999999</v>
      </c>
      <c r="H57" s="76">
        <f t="shared" si="0"/>
        <v>15.693881279999999</v>
      </c>
      <c r="I57" s="77">
        <f t="shared" si="7"/>
        <v>0.16633525644092209</v>
      </c>
      <c r="J57" s="78">
        <f t="shared" si="15"/>
        <v>0.88495575221238942</v>
      </c>
    </row>
    <row r="58" spans="1:10" ht="12.75" thickBot="1" x14ac:dyDescent="0.25">
      <c r="A58" s="93" t="s">
        <v>46</v>
      </c>
      <c r="B58" s="94"/>
      <c r="C58" s="95">
        <f>Rates!D90</f>
        <v>0.13</v>
      </c>
      <c r="D58" s="90">
        <f>C58*D57</f>
        <v>12.265617103999999</v>
      </c>
      <c r="E58" s="96"/>
      <c r="F58" s="95">
        <f>Rates!F90</f>
        <v>0.13</v>
      </c>
      <c r="G58" s="90">
        <f>F58*G57</f>
        <v>14.305821670399999</v>
      </c>
      <c r="H58" s="90">
        <f t="shared" si="0"/>
        <v>2.0402045663999999</v>
      </c>
      <c r="I58" s="91">
        <f t="shared" si="7"/>
        <v>0.16633525644092209</v>
      </c>
      <c r="J58" s="92">
        <f t="shared" si="15"/>
        <v>0.11504424778761062</v>
      </c>
    </row>
    <row r="59" spans="1:10" ht="12.75" thickBot="1" x14ac:dyDescent="0.25">
      <c r="A59" s="81" t="s">
        <v>33</v>
      </c>
      <c r="B59" s="82"/>
      <c r="C59" s="83"/>
      <c r="D59" s="104">
        <f>D57+D58</f>
        <v>106.61651790399999</v>
      </c>
      <c r="E59" s="83"/>
      <c r="F59" s="83"/>
      <c r="G59" s="104">
        <f>G57+G58</f>
        <v>124.35060375039998</v>
      </c>
      <c r="H59" s="104">
        <f t="shared" si="0"/>
        <v>17.734085846399992</v>
      </c>
      <c r="I59" s="85">
        <f t="shared" si="7"/>
        <v>0.16633525644092201</v>
      </c>
      <c r="J59" s="86">
        <f t="shared" si="15"/>
        <v>1</v>
      </c>
    </row>
    <row r="60" spans="1:10" x14ac:dyDescent="0.2">
      <c r="A60" s="126"/>
      <c r="B60" s="127"/>
      <c r="C60" s="128"/>
      <c r="D60" s="128"/>
      <c r="E60" s="128"/>
      <c r="F60" s="128"/>
      <c r="G60" s="128"/>
      <c r="H60" s="128"/>
      <c r="I60" s="128"/>
      <c r="J60" s="129"/>
    </row>
    <row r="61" spans="1:10" x14ac:dyDescent="0.2">
      <c r="A61" s="130" t="s">
        <v>62</v>
      </c>
      <c r="B61" s="131"/>
      <c r="C61" s="132"/>
      <c r="D61" s="133">
        <f>D59*0.1</f>
        <v>10.661651790400001</v>
      </c>
      <c r="E61" s="132"/>
      <c r="F61" s="132"/>
      <c r="G61" s="133">
        <f>G59*0.1</f>
        <v>12.435060375039999</v>
      </c>
      <c r="H61" s="132"/>
      <c r="I61" s="132"/>
      <c r="J61" s="134"/>
    </row>
    <row r="62" spans="1:10" ht="12.75" thickBot="1" x14ac:dyDescent="0.25">
      <c r="A62" s="135" t="s">
        <v>63</v>
      </c>
      <c r="B62" s="136"/>
      <c r="C62" s="137"/>
      <c r="D62" s="138">
        <f>D59-D61</f>
        <v>95.954866113599991</v>
      </c>
      <c r="E62" s="137"/>
      <c r="F62" s="137"/>
      <c r="G62" s="138">
        <f>G59-G61</f>
        <v>111.91554337535999</v>
      </c>
      <c r="H62" s="140">
        <f>G62-D62</f>
        <v>15.960677261759997</v>
      </c>
      <c r="I62" s="141">
        <f>H62/D62</f>
        <v>0.16633525644092206</v>
      </c>
      <c r="J62" s="139"/>
    </row>
  </sheetData>
  <mergeCells count="4">
    <mergeCell ref="A28:A29"/>
    <mergeCell ref="B28:B29"/>
    <mergeCell ref="E28:E29"/>
    <mergeCell ref="H28:J28"/>
  </mergeCells>
  <phoneticPr fontId="2" type="noConversion"/>
  <pageMargins left="0.75" right="0.75" top="1" bottom="1" header="0.5" footer="0.5"/>
  <pageSetup scale="60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2"/>
  <sheetViews>
    <sheetView topLeftCell="A23" zoomScaleNormal="100" workbookViewId="0">
      <selection activeCell="F71" sqref="F71:G71"/>
    </sheetView>
  </sheetViews>
  <sheetFormatPr defaultRowHeight="12" x14ac:dyDescent="0.2"/>
  <cols>
    <col min="1" max="1" width="81.85546875" style="8" bestFit="1" customWidth="1"/>
    <col min="2" max="2" width="9.140625" style="11" bestFit="1" customWidth="1"/>
    <col min="3" max="3" width="10" style="8" bestFit="1" customWidth="1"/>
    <col min="4" max="4" width="11.5703125" style="8" bestFit="1" customWidth="1"/>
    <col min="5" max="6" width="9.28515625" style="8" bestFit="1" customWidth="1"/>
    <col min="7" max="7" width="11.28515625" style="8" bestFit="1" customWidth="1"/>
    <col min="8" max="8" width="10.42578125" style="8" bestFit="1" customWidth="1"/>
    <col min="9" max="9" width="9.28515625" style="8" bestFit="1" customWidth="1"/>
    <col min="10" max="10" width="11.7109375" style="8" bestFit="1" customWidth="1"/>
    <col min="11" max="11" width="3" style="8" customWidth="1"/>
    <col min="12" max="16384" width="9.140625" style="8"/>
  </cols>
  <sheetData>
    <row r="2" spans="1:4" ht="12.75" thickBot="1" x14ac:dyDescent="0.25"/>
    <row r="3" spans="1:4" ht="36.75" thickBot="1" x14ac:dyDescent="0.25">
      <c r="A3" s="14" t="str">
        <f>Rates!A43</f>
        <v>Seasonal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Rates!A44</f>
        <v>Monthly Service Charge</v>
      </c>
      <c r="B4" s="24" t="str">
        <f>Rates!B44</f>
        <v>$</v>
      </c>
      <c r="C4" s="25">
        <f>Rates!D44</f>
        <v>26.15</v>
      </c>
      <c r="D4" s="26">
        <f>Rates!F44</f>
        <v>26.38</v>
      </c>
    </row>
    <row r="5" spans="1:4" x14ac:dyDescent="0.2">
      <c r="A5" s="27" t="str">
        <f>Rates!A45</f>
        <v>Smart Meter Rate Adder</v>
      </c>
      <c r="B5" s="28" t="str">
        <f>Rates!B45</f>
        <v>$</v>
      </c>
      <c r="C5" s="29">
        <f>Rates!D45</f>
        <v>1</v>
      </c>
      <c r="D5" s="30">
        <f>Rates!F45</f>
        <v>0</v>
      </c>
    </row>
    <row r="6" spans="1:4" x14ac:dyDescent="0.2">
      <c r="A6" s="27" t="str">
        <f>Rates!A46</f>
        <v>Distribution Volumetric Rate</v>
      </c>
      <c r="B6" s="28" t="str">
        <f>Rates!B46</f>
        <v>$/kWh</v>
      </c>
      <c r="C6" s="31">
        <f>Rates!D46</f>
        <v>0.10059999999999999</v>
      </c>
      <c r="D6" s="32">
        <f>Rates!F46</f>
        <v>0.10150000000000001</v>
      </c>
    </row>
    <row r="7" spans="1:4" x14ac:dyDescent="0.2">
      <c r="A7" s="27" t="str">
        <f>Rates!A47</f>
        <v>Rate Rider for Foregone Revenue Recovery - effective until December 31, 2012</v>
      </c>
      <c r="B7" s="28" t="str">
        <f>Rates!B47</f>
        <v>$/kWh</v>
      </c>
      <c r="C7" s="31">
        <f>Rates!D47</f>
        <v>2.0000000000000001E-4</v>
      </c>
      <c r="D7" s="32">
        <f>Rates!F47</f>
        <v>0</v>
      </c>
    </row>
    <row r="8" spans="1:4" x14ac:dyDescent="0.2">
      <c r="A8" s="27" t="str">
        <f>Rates!A48</f>
        <v>Rate Rider for Deferral/Variance Account Disposition - effective until May 31, 2013</v>
      </c>
      <c r="B8" s="28" t="str">
        <f>Rates!B48</f>
        <v>$/kWh</v>
      </c>
      <c r="C8" s="31">
        <f>Rates!D48</f>
        <v>4.5999999999999999E-3</v>
      </c>
      <c r="D8" s="32">
        <f>Rates!F48</f>
        <v>4.5999999999999999E-3</v>
      </c>
    </row>
    <row r="9" spans="1:4" x14ac:dyDescent="0.2">
      <c r="A9" s="27" t="str">
        <f>Rates!A49</f>
        <v>Rate Rider for Deferral/Variance Account Disposition - effective until May 31, 2013</v>
      </c>
      <c r="B9" s="28" t="str">
        <f>Rates!B49</f>
        <v>$/kWh</v>
      </c>
      <c r="C9" s="31">
        <f>Rates!D49</f>
        <v>-6.1000000000000004E-3</v>
      </c>
      <c r="D9" s="32">
        <f>Rates!F49</f>
        <v>-6.1000000000000004E-3</v>
      </c>
    </row>
    <row r="10" spans="1:4" x14ac:dyDescent="0.2">
      <c r="A10" s="27" t="str">
        <f>Rates!A50</f>
        <v>Rate Rider for Deferral/Variance Account Disposition - effective until November 30, 2015</v>
      </c>
      <c r="B10" s="28" t="str">
        <f>Rates!B50</f>
        <v>$/kWh</v>
      </c>
      <c r="C10" s="31">
        <f>Rates!D50</f>
        <v>3.0700000000000002E-2</v>
      </c>
      <c r="D10" s="32">
        <f>Rates!F50</f>
        <v>3.0700000000000002E-2</v>
      </c>
    </row>
    <row r="11" spans="1:4" x14ac:dyDescent="0.2">
      <c r="A11" s="27" t="str">
        <f>Rates!A51</f>
        <v>Rate Rider for Deferral/Variance Account Disposition (2012) - effective until December 31, 2013</v>
      </c>
      <c r="B11" s="28" t="str">
        <f>Rates!B51</f>
        <v>$/kWh</v>
      </c>
      <c r="C11" s="31">
        <f>Rates!D51</f>
        <v>0</v>
      </c>
      <c r="D11" s="32">
        <f>Rates!F51</f>
        <v>-1.5E-3</v>
      </c>
    </row>
    <row r="12" spans="1:4" x14ac:dyDescent="0.2">
      <c r="A12" s="27" t="str">
        <f>Rates!A52</f>
        <v>Rate Rider for Global Adjustment Sub-Account Disposition (2012) - effective until December 31, 2013</v>
      </c>
      <c r="B12" s="28" t="str">
        <f>Rates!B52</f>
        <v>$/kWh</v>
      </c>
      <c r="C12" s="31">
        <f>Rates!D52</f>
        <v>0</v>
      </c>
      <c r="D12" s="32">
        <f>Rates!F52</f>
        <v>1.1000000000000001E-3</v>
      </c>
    </row>
    <row r="13" spans="1:4" x14ac:dyDescent="0.2">
      <c r="A13" s="27" t="str">
        <f>Rates!A53</f>
        <v>Rate Rider for PILs - effective until December 31, 2013</v>
      </c>
      <c r="B13" s="28" t="str">
        <f>Rates!B53</f>
        <v>$/kWh</v>
      </c>
      <c r="C13" s="31">
        <f>Rates!D53</f>
        <v>0</v>
      </c>
      <c r="D13" s="32">
        <f>Rates!F53</f>
        <v>0</v>
      </c>
    </row>
    <row r="14" spans="1:4" x14ac:dyDescent="0.2">
      <c r="A14" s="27" t="str">
        <f>Rates!A54</f>
        <v>Smart Meter Cost Recovery Rate Rider - Net Deferred Revenue Requirement, effective until December 31, 2013</v>
      </c>
      <c r="B14" s="28" t="str">
        <f>Rates!B54</f>
        <v>$/kWh</v>
      </c>
      <c r="C14" s="31">
        <f>Rates!D54</f>
        <v>0</v>
      </c>
      <c r="D14" s="32">
        <f>Rates!F54</f>
        <v>4.1099999999999998E-2</v>
      </c>
    </row>
    <row r="15" spans="1:4" x14ac:dyDescent="0.2">
      <c r="A15" s="27" t="str">
        <f>Rates!A55</f>
        <v>Smart Meter Cost Recovery Rate Rider - Incremental Revenue Requirement, effective until December 31, 2013</v>
      </c>
      <c r="B15" s="28" t="str">
        <f>Rates!B55</f>
        <v>$/kWh</v>
      </c>
      <c r="C15" s="31">
        <f>Rates!D55</f>
        <v>0</v>
      </c>
      <c r="D15" s="32">
        <f>Rates!F55</f>
        <v>1.7399999999999999E-2</v>
      </c>
    </row>
    <row r="16" spans="1:4" x14ac:dyDescent="0.2">
      <c r="A16" s="27" t="str">
        <f>Rates!A56</f>
        <v>Rate Rider for Tax Changes - effective until December 31, 2012</v>
      </c>
      <c r="B16" s="28" t="str">
        <f>Rates!B56</f>
        <v>$/kWh</v>
      </c>
      <c r="C16" s="31">
        <f>Rates!D56</f>
        <v>-2.9999999999999997E-4</v>
      </c>
      <c r="D16" s="32">
        <f>Rates!F56</f>
        <v>-2.0000000000000001E-4</v>
      </c>
    </row>
    <row r="17" spans="1:10" x14ac:dyDescent="0.2">
      <c r="A17" s="27" t="str">
        <f>Rates!A57</f>
        <v>Retail Transmission Rate - Network Service Rate</v>
      </c>
      <c r="B17" s="28" t="str">
        <f>Rates!B57</f>
        <v>$/kWh</v>
      </c>
      <c r="C17" s="31">
        <f>Rates!D57</f>
        <v>7.1000000000000004E-3</v>
      </c>
      <c r="D17" s="32">
        <f>Rates!F57</f>
        <v>6.7999999999999996E-3</v>
      </c>
    </row>
    <row r="18" spans="1:10" x14ac:dyDescent="0.2">
      <c r="A18" s="27" t="str">
        <f>Rates!A58</f>
        <v>Retail Transmission Rate - Line and Transformation Connection Service Rate</v>
      </c>
      <c r="B18" s="28" t="str">
        <f>Rates!B58</f>
        <v>$/kWh</v>
      </c>
      <c r="C18" s="31">
        <f>Rates!D58</f>
        <v>5.1000000000000004E-3</v>
      </c>
      <c r="D18" s="32">
        <f>Rates!F58</f>
        <v>5.0000000000000001E-3</v>
      </c>
    </row>
    <row r="19" spans="1:10" x14ac:dyDescent="0.2">
      <c r="A19" s="27" t="str">
        <f>Rates!A59</f>
        <v>Wholesale Market Service Rate</v>
      </c>
      <c r="B19" s="28" t="str">
        <f>Rates!B59</f>
        <v>$/kWh</v>
      </c>
      <c r="C19" s="31">
        <f>Rates!D59</f>
        <v>5.1999999999999998E-3</v>
      </c>
      <c r="D19" s="32">
        <f>Rates!F59</f>
        <v>5.1999999999999998E-3</v>
      </c>
    </row>
    <row r="20" spans="1:10" x14ac:dyDescent="0.2">
      <c r="A20" s="27" t="str">
        <f>Rates!A60</f>
        <v>Rural Rate Protection Charge</v>
      </c>
      <c r="B20" s="28" t="str">
        <f>Rates!B60</f>
        <v>$/kWh</v>
      </c>
      <c r="C20" s="31">
        <f>Rates!D60</f>
        <v>1.1000000000000001E-3</v>
      </c>
      <c r="D20" s="32">
        <f>Rates!F60</f>
        <v>1.1000000000000001E-3</v>
      </c>
    </row>
    <row r="21" spans="1:10" x14ac:dyDescent="0.2">
      <c r="A21" s="27" t="str">
        <f>Rates!A61</f>
        <v>Special Purpose Charge</v>
      </c>
      <c r="B21" s="28" t="str">
        <f>Rates!B61</f>
        <v>$/kWh</v>
      </c>
      <c r="C21" s="31">
        <f>Rates!D61</f>
        <v>0</v>
      </c>
      <c r="D21" s="32">
        <f>Rates!F61</f>
        <v>0</v>
      </c>
    </row>
    <row r="22" spans="1:10" ht="12.75" thickBot="1" x14ac:dyDescent="0.25">
      <c r="A22" s="12" t="str">
        <f>Rates!A62</f>
        <v>Standard Supply Service - Administarive Charge (if applicable)</v>
      </c>
      <c r="B22" s="17" t="str">
        <f>Rates!B62</f>
        <v>$</v>
      </c>
      <c r="C22" s="18">
        <f>Rates!D62</f>
        <v>0.25</v>
      </c>
      <c r="D22" s="13">
        <f>Rates!F62</f>
        <v>0.25</v>
      </c>
    </row>
    <row r="24" spans="1:10" ht="12.75" thickBot="1" x14ac:dyDescent="0.25"/>
    <row r="25" spans="1:10" ht="13.5" thickBot="1" x14ac:dyDescent="0.25">
      <c r="A25" s="33" t="s">
        <v>26</v>
      </c>
      <c r="B25" s="34">
        <v>287</v>
      </c>
      <c r="C25" s="35" t="s">
        <v>27</v>
      </c>
      <c r="D25" s="36"/>
      <c r="E25" s="35" t="s">
        <v>28</v>
      </c>
      <c r="G25" s="37" t="s">
        <v>23</v>
      </c>
      <c r="H25" s="53">
        <f>Rates!F89</f>
        <v>1.0864</v>
      </c>
    </row>
    <row r="26" spans="1:10" ht="13.5" thickBot="1" x14ac:dyDescent="0.25">
      <c r="A26" s="33" t="s">
        <v>29</v>
      </c>
      <c r="B26" s="34">
        <v>750</v>
      </c>
      <c r="C26" s="35" t="s">
        <v>27</v>
      </c>
      <c r="D26" s="37" t="s">
        <v>30</v>
      </c>
      <c r="E26" s="38" t="str">
        <f>IF(D25&gt;0,B25/(D25*24*30.4)," ")</f>
        <v xml:space="preserve"> </v>
      </c>
    </row>
    <row r="27" spans="1:10" ht="12.75" thickBot="1" x14ac:dyDescent="0.25"/>
    <row r="28" spans="1:10" ht="12.75" customHeight="1" x14ac:dyDescent="0.2">
      <c r="A28" s="149" t="str">
        <f>A3</f>
        <v>Seasonal</v>
      </c>
      <c r="B28" s="151" t="s">
        <v>31</v>
      </c>
      <c r="C28" s="142" t="s">
        <v>37</v>
      </c>
      <c r="D28" s="142" t="s">
        <v>38</v>
      </c>
      <c r="E28" s="151" t="s">
        <v>31</v>
      </c>
      <c r="F28" s="142" t="s">
        <v>37</v>
      </c>
      <c r="G28" s="142" t="s">
        <v>38</v>
      </c>
      <c r="H28" s="153" t="s">
        <v>44</v>
      </c>
      <c r="I28" s="153"/>
      <c r="J28" s="154"/>
    </row>
    <row r="29" spans="1:10" ht="12.75" thickBot="1" x14ac:dyDescent="0.25">
      <c r="A29" s="150"/>
      <c r="B29" s="152"/>
      <c r="C29" s="50" t="s">
        <v>15</v>
      </c>
      <c r="D29" s="50" t="s">
        <v>15</v>
      </c>
      <c r="E29" s="152"/>
      <c r="F29" s="50" t="s">
        <v>15</v>
      </c>
      <c r="G29" s="50" t="s">
        <v>15</v>
      </c>
      <c r="H29" s="50" t="s">
        <v>15</v>
      </c>
      <c r="I29" s="51" t="s">
        <v>22</v>
      </c>
      <c r="J29" s="52" t="s">
        <v>34</v>
      </c>
    </row>
    <row r="30" spans="1:10" x14ac:dyDescent="0.2">
      <c r="A30" s="54" t="s">
        <v>35</v>
      </c>
      <c r="B30" s="55">
        <f>IF(B25*Rates!D89&gt;B26,B26,B25*Rates!D89)</f>
        <v>311.79680000000002</v>
      </c>
      <c r="C30" s="56">
        <f>Rates!D84</f>
        <v>7.4999999999999997E-2</v>
      </c>
      <c r="D30" s="58">
        <f>B30*C30</f>
        <v>23.38476</v>
      </c>
      <c r="E30" s="55">
        <f>IF(B25*H25&gt;B26,B26,B25*H25)</f>
        <v>311.79680000000002</v>
      </c>
      <c r="F30" s="56">
        <f>Rates!F84</f>
        <v>7.4999999999999997E-2</v>
      </c>
      <c r="G30" s="58">
        <f>E30*F30</f>
        <v>23.38476</v>
      </c>
      <c r="H30" s="58">
        <f t="shared" ref="H30:H59" si="0">G30-D30</f>
        <v>0</v>
      </c>
      <c r="I30" s="59">
        <f>IF(ISERROR(H30/D30),1,H30/D30)</f>
        <v>0</v>
      </c>
      <c r="J30" s="60">
        <f t="shared" ref="J30:J59" si="1">IF(ISERROR(G30/G$59),0,G30/G$59)</f>
        <v>0.18751710291646631</v>
      </c>
    </row>
    <row r="31" spans="1:10" ht="12.75" thickBot="1" x14ac:dyDescent="0.25">
      <c r="A31" s="63" t="s">
        <v>36</v>
      </c>
      <c r="B31" s="64">
        <f>IF(B25*Rates!D89&gt;=B26,B25*Rates!D89-B26,0)</f>
        <v>0</v>
      </c>
      <c r="C31" s="65">
        <f>Rates!D85</f>
        <v>8.7999999999999995E-2</v>
      </c>
      <c r="D31" s="66">
        <f>B31*C31</f>
        <v>0</v>
      </c>
      <c r="E31" s="64">
        <f>IF(B25*H25&gt;=B26,B25*H25-B26,0)</f>
        <v>0</v>
      </c>
      <c r="F31" s="65">
        <f>Rates!F85</f>
        <v>8.7999999999999995E-2</v>
      </c>
      <c r="G31" s="66">
        <f>E31*F31</f>
        <v>0</v>
      </c>
      <c r="H31" s="66">
        <f t="shared" si="0"/>
        <v>0</v>
      </c>
      <c r="I31" s="67">
        <f>IF(ISERROR(H31/D31),0,H31/D31)</f>
        <v>0</v>
      </c>
      <c r="J31" s="68">
        <f t="shared" si="1"/>
        <v>0</v>
      </c>
    </row>
    <row r="32" spans="1:10" ht="12.75" thickBot="1" x14ac:dyDescent="0.25">
      <c r="A32" s="73" t="s">
        <v>39</v>
      </c>
      <c r="B32" s="74"/>
      <c r="C32" s="75"/>
      <c r="D32" s="76">
        <f>SUM(D30:D31)</f>
        <v>23.38476</v>
      </c>
      <c r="E32" s="75"/>
      <c r="F32" s="75"/>
      <c r="G32" s="76">
        <f>SUM(G30:G31)</f>
        <v>23.38476</v>
      </c>
      <c r="H32" s="76">
        <f t="shared" si="0"/>
        <v>0</v>
      </c>
      <c r="I32" s="77">
        <f>IF(ISERROR(H32/D32),0,H32/D32)</f>
        <v>0</v>
      </c>
      <c r="J32" s="78">
        <f t="shared" si="1"/>
        <v>0.18751710291646631</v>
      </c>
    </row>
    <row r="33" spans="1:10" x14ac:dyDescent="0.2">
      <c r="A33" s="69" t="str">
        <f t="shared" ref="A33:A38" si="2">A4</f>
        <v>Monthly Service Charge</v>
      </c>
      <c r="B33" s="70">
        <v>1</v>
      </c>
      <c r="C33" s="46">
        <f t="shared" ref="C33:C38" si="3">C4</f>
        <v>26.15</v>
      </c>
      <c r="D33" s="46">
        <f t="shared" ref="D33:D45" si="4">B33*C33</f>
        <v>26.15</v>
      </c>
      <c r="E33" s="71">
        <f>B33</f>
        <v>1</v>
      </c>
      <c r="F33" s="47">
        <f t="shared" ref="F33:F37" si="5">D4</f>
        <v>26.38</v>
      </c>
      <c r="G33" s="47">
        <f t="shared" ref="G33:G45" si="6">E33*F33</f>
        <v>26.38</v>
      </c>
      <c r="H33" s="47">
        <f t="shared" si="0"/>
        <v>0.23000000000000043</v>
      </c>
      <c r="I33" s="48">
        <f>IF(ISERROR(H33/D33),0,H33/D33)</f>
        <v>8.795411089866173E-3</v>
      </c>
      <c r="J33" s="72">
        <f t="shared" si="1"/>
        <v>0.21153525522333269</v>
      </c>
    </row>
    <row r="34" spans="1:10" x14ac:dyDescent="0.2">
      <c r="A34" s="61" t="str">
        <f t="shared" si="2"/>
        <v>Smart Meter Rate Adder</v>
      </c>
      <c r="B34" s="43">
        <f>B33</f>
        <v>1</v>
      </c>
      <c r="C34" s="41">
        <f t="shared" si="3"/>
        <v>1</v>
      </c>
      <c r="D34" s="41">
        <f t="shared" si="4"/>
        <v>1</v>
      </c>
      <c r="E34" s="43">
        <f>B34</f>
        <v>1</v>
      </c>
      <c r="F34" s="41">
        <f t="shared" si="5"/>
        <v>0</v>
      </c>
      <c r="G34" s="41">
        <f t="shared" si="6"/>
        <v>0</v>
      </c>
      <c r="H34" s="41">
        <f t="shared" si="0"/>
        <v>-1</v>
      </c>
      <c r="I34" s="42">
        <f>IF(ISERROR(H34/D34),1,H34/D34)</f>
        <v>-1</v>
      </c>
      <c r="J34" s="62">
        <f t="shared" si="1"/>
        <v>0</v>
      </c>
    </row>
    <row r="35" spans="1:10" x14ac:dyDescent="0.2">
      <c r="A35" s="61" t="str">
        <f t="shared" si="2"/>
        <v>Distribution Volumetric Rate</v>
      </c>
      <c r="B35" s="43">
        <f>B25</f>
        <v>287</v>
      </c>
      <c r="C35" s="40">
        <f t="shared" si="3"/>
        <v>0.10059999999999999</v>
      </c>
      <c r="D35" s="41">
        <f t="shared" si="4"/>
        <v>28.872199999999999</v>
      </c>
      <c r="E35" s="43">
        <f>B25</f>
        <v>287</v>
      </c>
      <c r="F35" s="40">
        <f t="shared" si="5"/>
        <v>0.10150000000000001</v>
      </c>
      <c r="G35" s="41">
        <f t="shared" si="6"/>
        <v>29.130500000000001</v>
      </c>
      <c r="H35" s="41">
        <f t="shared" si="0"/>
        <v>0.25830000000000197</v>
      </c>
      <c r="I35" s="42">
        <f t="shared" ref="I35:I59" si="7">IF(ISERROR(H35/D35),0,H35/D35)</f>
        <v>8.9463220675945025E-3</v>
      </c>
      <c r="J35" s="62">
        <f t="shared" si="1"/>
        <v>0.23359089280831288</v>
      </c>
    </row>
    <row r="36" spans="1:10" x14ac:dyDescent="0.2">
      <c r="A36" s="61" t="str">
        <f t="shared" si="2"/>
        <v>Rate Rider for Foregone Revenue Recovery - effective until December 31, 2012</v>
      </c>
      <c r="B36" s="43">
        <f>B25</f>
        <v>287</v>
      </c>
      <c r="C36" s="40">
        <f t="shared" si="3"/>
        <v>2.0000000000000001E-4</v>
      </c>
      <c r="D36" s="41">
        <f t="shared" si="4"/>
        <v>5.74E-2</v>
      </c>
      <c r="E36" s="43">
        <f>B25</f>
        <v>287</v>
      </c>
      <c r="F36" s="40">
        <f t="shared" si="5"/>
        <v>0</v>
      </c>
      <c r="G36" s="41">
        <f>E36*F36</f>
        <v>0</v>
      </c>
      <c r="H36" s="41">
        <f>G36-D36</f>
        <v>-5.74E-2</v>
      </c>
      <c r="I36" s="42">
        <f>IF(ISERROR(H36/D36),0,H36/D36)</f>
        <v>-1</v>
      </c>
      <c r="J36" s="62">
        <f t="shared" si="1"/>
        <v>0</v>
      </c>
    </row>
    <row r="37" spans="1:10" x14ac:dyDescent="0.2">
      <c r="A37" s="61" t="str">
        <f t="shared" si="2"/>
        <v>Rate Rider for Deferral/Variance Account Disposition - effective until May 31, 2013</v>
      </c>
      <c r="B37" s="43">
        <f>B25</f>
        <v>287</v>
      </c>
      <c r="C37" s="40">
        <f t="shared" si="3"/>
        <v>4.5999999999999999E-3</v>
      </c>
      <c r="D37" s="41">
        <f t="shared" si="4"/>
        <v>1.3202</v>
      </c>
      <c r="E37" s="43">
        <f>B25</f>
        <v>287</v>
      </c>
      <c r="F37" s="40">
        <f t="shared" si="5"/>
        <v>4.5999999999999999E-3</v>
      </c>
      <c r="G37" s="41">
        <f t="shared" si="6"/>
        <v>1.3202</v>
      </c>
      <c r="H37" s="41">
        <f t="shared" si="0"/>
        <v>0</v>
      </c>
      <c r="I37" s="42">
        <f t="shared" si="7"/>
        <v>0</v>
      </c>
      <c r="J37" s="62">
        <f t="shared" si="1"/>
        <v>1.0586385289834868E-2</v>
      </c>
    </row>
    <row r="38" spans="1:10" x14ac:dyDescent="0.2">
      <c r="A38" s="61" t="str">
        <f t="shared" si="2"/>
        <v>Rate Rider for Deferral/Variance Account Disposition - effective until May 31, 2013</v>
      </c>
      <c r="B38" s="43">
        <f>B25</f>
        <v>287</v>
      </c>
      <c r="C38" s="40">
        <f t="shared" si="3"/>
        <v>-6.1000000000000004E-3</v>
      </c>
      <c r="D38" s="41">
        <f t="shared" si="4"/>
        <v>-1.7507000000000001</v>
      </c>
      <c r="E38" s="43">
        <f>B25</f>
        <v>287</v>
      </c>
      <c r="F38" s="40">
        <f>D9</f>
        <v>-6.1000000000000004E-3</v>
      </c>
      <c r="G38" s="41">
        <f>E38*F38</f>
        <v>-1.7507000000000001</v>
      </c>
      <c r="H38" s="41">
        <f>G38-D38</f>
        <v>0</v>
      </c>
      <c r="I38" s="42">
        <f>IF(ISERROR(H38/D38),0,H38/D38)</f>
        <v>0</v>
      </c>
      <c r="J38" s="62">
        <f t="shared" si="1"/>
        <v>-1.4038467449563632E-2</v>
      </c>
    </row>
    <row r="39" spans="1:10" x14ac:dyDescent="0.2">
      <c r="A39" s="61" t="str">
        <f>A10</f>
        <v>Rate Rider for Deferral/Variance Account Disposition - effective until November 30, 2015</v>
      </c>
      <c r="B39" s="43">
        <f>B25</f>
        <v>287</v>
      </c>
      <c r="C39" s="40">
        <f>C10</f>
        <v>3.0700000000000002E-2</v>
      </c>
      <c r="D39" s="41">
        <f t="shared" si="4"/>
        <v>8.8109000000000002</v>
      </c>
      <c r="E39" s="43">
        <f>B25</f>
        <v>287</v>
      </c>
      <c r="F39" s="40">
        <f>D10</f>
        <v>3.0700000000000002E-2</v>
      </c>
      <c r="G39" s="41">
        <f>E39*F39</f>
        <v>8.8109000000000002</v>
      </c>
      <c r="H39" s="41">
        <f>G39-D39</f>
        <v>0</v>
      </c>
      <c r="I39" s="42">
        <f>IF(ISERROR(H39/D39),0,H39/D39)</f>
        <v>0</v>
      </c>
      <c r="J39" s="62">
        <f t="shared" si="1"/>
        <v>7.0652614869115324E-2</v>
      </c>
    </row>
    <row r="40" spans="1:10" x14ac:dyDescent="0.2">
      <c r="A40" s="61" t="str">
        <f>A11</f>
        <v>Rate Rider for Deferral/Variance Account Disposition (2012) - effective until December 31, 2013</v>
      </c>
      <c r="B40" s="43">
        <f>B25</f>
        <v>287</v>
      </c>
      <c r="C40" s="40">
        <f>C11</f>
        <v>0</v>
      </c>
      <c r="D40" s="41">
        <f t="shared" si="4"/>
        <v>0</v>
      </c>
      <c r="E40" s="43">
        <f>B25</f>
        <v>287</v>
      </c>
      <c r="F40" s="40">
        <f>D11</f>
        <v>-1.5E-3</v>
      </c>
      <c r="G40" s="41">
        <f>E40*F40</f>
        <v>-0.43049999999999999</v>
      </c>
      <c r="H40" s="41">
        <f>G40-D40</f>
        <v>-0.43049999999999999</v>
      </c>
      <c r="I40" s="42">
        <f>IF(ISERROR(H40/D40),0,H40/D40)</f>
        <v>0</v>
      </c>
      <c r="J40" s="62">
        <f t="shared" si="1"/>
        <v>-3.4520821597287614E-3</v>
      </c>
    </row>
    <row r="41" spans="1:10" x14ac:dyDescent="0.2">
      <c r="A41" s="61" t="str">
        <f>A12</f>
        <v>Rate Rider for Global Adjustment Sub-Account Disposition (2012) - effective until December 31, 2013</v>
      </c>
      <c r="B41" s="43">
        <f>B25</f>
        <v>287</v>
      </c>
      <c r="C41" s="40">
        <f>C12</f>
        <v>0</v>
      </c>
      <c r="D41" s="41">
        <f t="shared" si="4"/>
        <v>0</v>
      </c>
      <c r="E41" s="43">
        <f>B25</f>
        <v>287</v>
      </c>
      <c r="F41" s="40">
        <f>D12</f>
        <v>1.1000000000000001E-3</v>
      </c>
      <c r="G41" s="41">
        <f t="shared" si="6"/>
        <v>0.31570000000000004</v>
      </c>
      <c r="H41" s="41">
        <f t="shared" si="0"/>
        <v>0.31570000000000004</v>
      </c>
      <c r="I41" s="42">
        <f t="shared" si="7"/>
        <v>0</v>
      </c>
      <c r="J41" s="62">
        <f t="shared" si="1"/>
        <v>2.5315269171344254E-3</v>
      </c>
    </row>
    <row r="42" spans="1:10" x14ac:dyDescent="0.2">
      <c r="A42" s="61" t="str">
        <f t="shared" ref="A42:A44" si="8">A13</f>
        <v>Rate Rider for PILs - effective until December 31, 2013</v>
      </c>
      <c r="B42" s="43">
        <f>B25</f>
        <v>287</v>
      </c>
      <c r="C42" s="40">
        <f t="shared" ref="C42:C44" si="9">C13</f>
        <v>0</v>
      </c>
      <c r="D42" s="41">
        <f t="shared" si="4"/>
        <v>0</v>
      </c>
      <c r="E42" s="43">
        <f>B25</f>
        <v>287</v>
      </c>
      <c r="F42" s="40">
        <f t="shared" ref="F42:F44" si="10">D13</f>
        <v>0</v>
      </c>
      <c r="G42" s="41">
        <f t="shared" si="6"/>
        <v>0</v>
      </c>
      <c r="H42" s="41">
        <f t="shared" si="0"/>
        <v>0</v>
      </c>
      <c r="I42" s="42">
        <f t="shared" si="7"/>
        <v>0</v>
      </c>
      <c r="J42" s="62">
        <f t="shared" si="1"/>
        <v>0</v>
      </c>
    </row>
    <row r="43" spans="1:10" x14ac:dyDescent="0.2">
      <c r="A43" s="61" t="str">
        <f t="shared" si="8"/>
        <v>Smart Meter Cost Recovery Rate Rider - Net Deferred Revenue Requirement, effective until December 31, 2013</v>
      </c>
      <c r="B43" s="43">
        <f>B25</f>
        <v>287</v>
      </c>
      <c r="C43" s="40">
        <f t="shared" si="9"/>
        <v>0</v>
      </c>
      <c r="D43" s="41">
        <f t="shared" si="4"/>
        <v>0</v>
      </c>
      <c r="E43" s="43">
        <f>B25</f>
        <v>287</v>
      </c>
      <c r="F43" s="40">
        <f t="shared" si="10"/>
        <v>4.1099999999999998E-2</v>
      </c>
      <c r="G43" s="41">
        <f t="shared" si="6"/>
        <v>11.7957</v>
      </c>
      <c r="H43" s="41">
        <f t="shared" si="0"/>
        <v>11.7957</v>
      </c>
      <c r="I43" s="42">
        <f t="shared" si="7"/>
        <v>0</v>
      </c>
      <c r="J43" s="62">
        <f t="shared" si="1"/>
        <v>9.4587051176568071E-2</v>
      </c>
    </row>
    <row r="44" spans="1:10" x14ac:dyDescent="0.2">
      <c r="A44" s="61" t="str">
        <f t="shared" si="8"/>
        <v>Smart Meter Cost Recovery Rate Rider - Incremental Revenue Requirement, effective until December 31, 2013</v>
      </c>
      <c r="B44" s="43">
        <f>B25</f>
        <v>287</v>
      </c>
      <c r="C44" s="40">
        <f t="shared" si="9"/>
        <v>0</v>
      </c>
      <c r="D44" s="41">
        <f t="shared" si="4"/>
        <v>0</v>
      </c>
      <c r="E44" s="43">
        <f>B25</f>
        <v>287</v>
      </c>
      <c r="F44" s="40">
        <f t="shared" si="10"/>
        <v>1.7399999999999999E-2</v>
      </c>
      <c r="G44" s="41">
        <f t="shared" si="6"/>
        <v>4.9937999999999994</v>
      </c>
      <c r="H44" s="41">
        <f t="shared" si="0"/>
        <v>4.9937999999999994</v>
      </c>
      <c r="I44" s="42">
        <f t="shared" si="7"/>
        <v>0</v>
      </c>
      <c r="J44" s="62">
        <f t="shared" si="1"/>
        <v>4.004415305285363E-2</v>
      </c>
    </row>
    <row r="45" spans="1:10" ht="12.75" thickBot="1" x14ac:dyDescent="0.25">
      <c r="A45" s="61" t="str">
        <f>A16</f>
        <v>Rate Rider for Tax Changes - effective until December 31, 2012</v>
      </c>
      <c r="B45" s="43">
        <f>B25</f>
        <v>287</v>
      </c>
      <c r="C45" s="40">
        <f>C16</f>
        <v>-2.9999999999999997E-4</v>
      </c>
      <c r="D45" s="41">
        <f t="shared" si="4"/>
        <v>-8.6099999999999996E-2</v>
      </c>
      <c r="E45" s="43">
        <f>B25</f>
        <v>287</v>
      </c>
      <c r="F45" s="40">
        <f>D16</f>
        <v>-2.0000000000000001E-4</v>
      </c>
      <c r="G45" s="41">
        <f t="shared" si="6"/>
        <v>-5.74E-2</v>
      </c>
      <c r="H45" s="41">
        <f t="shared" si="0"/>
        <v>2.8699999999999996E-2</v>
      </c>
      <c r="I45" s="42">
        <f t="shared" si="7"/>
        <v>-0.33333333333333331</v>
      </c>
      <c r="J45" s="62">
        <f t="shared" si="1"/>
        <v>-4.6027762129716821E-4</v>
      </c>
    </row>
    <row r="46" spans="1:10" ht="12.75" thickBot="1" x14ac:dyDescent="0.25">
      <c r="A46" s="73" t="s">
        <v>40</v>
      </c>
      <c r="B46" s="74"/>
      <c r="C46" s="75"/>
      <c r="D46" s="76">
        <f>SUM(D33:D45)</f>
        <v>64.373899999999992</v>
      </c>
      <c r="E46" s="75"/>
      <c r="F46" s="75"/>
      <c r="G46" s="76">
        <f>SUM(G33:G45)</f>
        <v>80.508199999999988</v>
      </c>
      <c r="H46" s="76">
        <f t="shared" si="0"/>
        <v>16.134299999999996</v>
      </c>
      <c r="I46" s="77">
        <f t="shared" si="7"/>
        <v>0.25063418559385092</v>
      </c>
      <c r="J46" s="78">
        <f t="shared" si="1"/>
        <v>0.64557705210656224</v>
      </c>
    </row>
    <row r="47" spans="1:10" x14ac:dyDescent="0.2">
      <c r="A47" s="69" t="str">
        <f>A17</f>
        <v>Retail Transmission Rate - Network Service Rate</v>
      </c>
      <c r="B47" s="44">
        <f>B25*Rates!D89</f>
        <v>311.79680000000002</v>
      </c>
      <c r="C47" s="45">
        <f>C17</f>
        <v>7.1000000000000004E-3</v>
      </c>
      <c r="D47" s="47">
        <f>B47*C47</f>
        <v>2.2137572800000003</v>
      </c>
      <c r="E47" s="44">
        <f>B25*H25</f>
        <v>311.79680000000002</v>
      </c>
      <c r="F47" s="45">
        <f>D17</f>
        <v>6.7999999999999996E-3</v>
      </c>
      <c r="G47" s="47">
        <f>E47*F47</f>
        <v>2.1202182399999998</v>
      </c>
      <c r="H47" s="47">
        <f t="shared" si="0"/>
        <v>-9.3539040000000462E-2</v>
      </c>
      <c r="I47" s="48">
        <f t="shared" si="7"/>
        <v>-4.2253521126760764E-2</v>
      </c>
      <c r="J47" s="72">
        <f t="shared" si="1"/>
        <v>1.7001550664426279E-2</v>
      </c>
    </row>
    <row r="48" spans="1:10" ht="12.75" thickBot="1" x14ac:dyDescent="0.25">
      <c r="A48" s="63" t="str">
        <f>A18</f>
        <v>Retail Transmission Rate - Line and Transformation Connection Service Rate</v>
      </c>
      <c r="B48" s="64">
        <f>B25*Rates!D89</f>
        <v>311.79680000000002</v>
      </c>
      <c r="C48" s="65">
        <f>C18</f>
        <v>5.1000000000000004E-3</v>
      </c>
      <c r="D48" s="66">
        <f>B48*C48</f>
        <v>1.5901636800000003</v>
      </c>
      <c r="E48" s="64">
        <f>B25*H25</f>
        <v>311.79680000000002</v>
      </c>
      <c r="F48" s="65">
        <f>D18</f>
        <v>5.0000000000000001E-3</v>
      </c>
      <c r="G48" s="66">
        <f>E48*F48</f>
        <v>1.5589840000000001</v>
      </c>
      <c r="H48" s="66">
        <f t="shared" si="0"/>
        <v>-3.1179680000000154E-2</v>
      </c>
      <c r="I48" s="67">
        <f t="shared" si="7"/>
        <v>-1.9607843137254995E-2</v>
      </c>
      <c r="J48" s="68">
        <f t="shared" si="1"/>
        <v>1.250114019443109E-2</v>
      </c>
    </row>
    <row r="49" spans="1:10" ht="12.75" thickBot="1" x14ac:dyDescent="0.25">
      <c r="A49" s="73" t="s">
        <v>32</v>
      </c>
      <c r="B49" s="74"/>
      <c r="C49" s="75"/>
      <c r="D49" s="76">
        <f>SUM(D47:D48)</f>
        <v>3.8039209600000006</v>
      </c>
      <c r="E49" s="75"/>
      <c r="F49" s="75"/>
      <c r="G49" s="76">
        <f>SUM(G47:G48)</f>
        <v>3.67920224</v>
      </c>
      <c r="H49" s="76">
        <f t="shared" si="0"/>
        <v>-0.12471872000000062</v>
      </c>
      <c r="I49" s="77">
        <f t="shared" si="7"/>
        <v>-3.2786885245901794E-2</v>
      </c>
      <c r="J49" s="78">
        <f t="shared" si="1"/>
        <v>2.9502690858857369E-2</v>
      </c>
    </row>
    <row r="50" spans="1:10" ht="12.75" thickBot="1" x14ac:dyDescent="0.25">
      <c r="A50" s="81" t="s">
        <v>41</v>
      </c>
      <c r="B50" s="82"/>
      <c r="C50" s="83"/>
      <c r="D50" s="84">
        <f>D46+D49</f>
        <v>68.177820959999991</v>
      </c>
      <c r="E50" s="83"/>
      <c r="F50" s="83"/>
      <c r="G50" s="84">
        <f>G46+G49</f>
        <v>84.187402239999983</v>
      </c>
      <c r="H50" s="84">
        <f t="shared" si="0"/>
        <v>16.009581279999992</v>
      </c>
      <c r="I50" s="85">
        <f t="shared" si="7"/>
        <v>0.23482095870140574</v>
      </c>
      <c r="J50" s="86">
        <f t="shared" si="1"/>
        <v>0.6750797429654195</v>
      </c>
    </row>
    <row r="51" spans="1:10" x14ac:dyDescent="0.2">
      <c r="A51" s="69" t="str">
        <f>A19</f>
        <v>Wholesale Market Service Rate</v>
      </c>
      <c r="B51" s="44">
        <f>B25*Rates!D89</f>
        <v>311.79680000000002</v>
      </c>
      <c r="C51" s="45">
        <f>C19</f>
        <v>5.1999999999999998E-3</v>
      </c>
      <c r="D51" s="47">
        <f>B51*C51</f>
        <v>1.62134336</v>
      </c>
      <c r="E51" s="44">
        <f>B25*H25</f>
        <v>311.79680000000002</v>
      </c>
      <c r="F51" s="45">
        <f>D19</f>
        <v>5.1999999999999998E-3</v>
      </c>
      <c r="G51" s="47">
        <f>E51*F51</f>
        <v>1.62134336</v>
      </c>
      <c r="H51" s="47">
        <f t="shared" si="0"/>
        <v>0</v>
      </c>
      <c r="I51" s="48">
        <f t="shared" si="7"/>
        <v>0</v>
      </c>
      <c r="J51" s="72">
        <f t="shared" si="1"/>
        <v>1.3001185802208331E-2</v>
      </c>
    </row>
    <row r="52" spans="1:10" x14ac:dyDescent="0.2">
      <c r="A52" s="61" t="str">
        <f>A20</f>
        <v>Rural Rate Protection Charge</v>
      </c>
      <c r="B52" s="39">
        <f>B25*Rates!D89</f>
        <v>311.79680000000002</v>
      </c>
      <c r="C52" s="40">
        <f>C20</f>
        <v>1.1000000000000001E-3</v>
      </c>
      <c r="D52" s="41">
        <f>B52*C52</f>
        <v>0.34297648000000003</v>
      </c>
      <c r="E52" s="39">
        <f>B25*H25</f>
        <v>311.79680000000002</v>
      </c>
      <c r="F52" s="40">
        <f>D20</f>
        <v>1.1000000000000001E-3</v>
      </c>
      <c r="G52" s="41">
        <f>E52*F52</f>
        <v>0.34297648000000003</v>
      </c>
      <c r="H52" s="41">
        <f t="shared" si="0"/>
        <v>0</v>
      </c>
      <c r="I52" s="42">
        <f t="shared" si="7"/>
        <v>0</v>
      </c>
      <c r="J52" s="62">
        <f t="shared" si="1"/>
        <v>2.7502508427748396E-3</v>
      </c>
    </row>
    <row r="53" spans="1:10" x14ac:dyDescent="0.2">
      <c r="A53" s="63" t="s">
        <v>45</v>
      </c>
      <c r="B53" s="64">
        <f>B25*Rates!D89</f>
        <v>311.79680000000002</v>
      </c>
      <c r="C53" s="65">
        <f>Rates!D61</f>
        <v>0</v>
      </c>
      <c r="D53" s="66">
        <f>B53*C53</f>
        <v>0</v>
      </c>
      <c r="E53" s="64">
        <f>B25*Rates!F89</f>
        <v>311.79680000000002</v>
      </c>
      <c r="F53" s="65">
        <f>Rates!F61</f>
        <v>0</v>
      </c>
      <c r="G53" s="66">
        <f>E53*F53</f>
        <v>0</v>
      </c>
      <c r="H53" s="41">
        <f>G53-D53</f>
        <v>0</v>
      </c>
      <c r="I53" s="42">
        <f>IF(ISERROR(H53/D53),0,H53/D53)</f>
        <v>0</v>
      </c>
      <c r="J53" s="62">
        <f t="shared" si="1"/>
        <v>0</v>
      </c>
    </row>
    <row r="54" spans="1:10" ht="12.75" thickBot="1" x14ac:dyDescent="0.25">
      <c r="A54" s="63" t="str">
        <f>A22</f>
        <v>Standard Supply Service - Administarive Charge (if applicable)</v>
      </c>
      <c r="B54" s="79">
        <f>B33</f>
        <v>1</v>
      </c>
      <c r="C54" s="66">
        <f>C22</f>
        <v>0.25</v>
      </c>
      <c r="D54" s="66">
        <f>B54*C54</f>
        <v>0.25</v>
      </c>
      <c r="E54" s="64">
        <f>B33</f>
        <v>1</v>
      </c>
      <c r="F54" s="66">
        <f>D22</f>
        <v>0.25</v>
      </c>
      <c r="G54" s="66">
        <f>E54*F54</f>
        <v>0.25</v>
      </c>
      <c r="H54" s="66">
        <f t="shared" si="0"/>
        <v>0</v>
      </c>
      <c r="I54" s="67">
        <f t="shared" si="7"/>
        <v>0</v>
      </c>
      <c r="J54" s="68">
        <f t="shared" si="1"/>
        <v>2.0046934725486418E-3</v>
      </c>
    </row>
    <row r="55" spans="1:10" ht="12.75" thickBot="1" x14ac:dyDescent="0.25">
      <c r="A55" s="73" t="s">
        <v>42</v>
      </c>
      <c r="B55" s="74"/>
      <c r="C55" s="75"/>
      <c r="D55" s="76">
        <f>SUM(D51:D54)</f>
        <v>2.2143198399999999</v>
      </c>
      <c r="E55" s="75"/>
      <c r="F55" s="75"/>
      <c r="G55" s="76">
        <f>SUM(G51:G54)</f>
        <v>2.2143198399999999</v>
      </c>
      <c r="H55" s="76">
        <f t="shared" si="0"/>
        <v>0</v>
      </c>
      <c r="I55" s="77">
        <f t="shared" si="7"/>
        <v>0</v>
      </c>
      <c r="J55" s="78">
        <f t="shared" si="1"/>
        <v>1.7756130117531813E-2</v>
      </c>
    </row>
    <row r="56" spans="1:10" ht="12.75" thickBot="1" x14ac:dyDescent="0.25">
      <c r="A56" s="87" t="s">
        <v>19</v>
      </c>
      <c r="B56" s="88">
        <f>B25</f>
        <v>287</v>
      </c>
      <c r="C56" s="89">
        <f>Rates!D83</f>
        <v>2E-3</v>
      </c>
      <c r="D56" s="90">
        <f>B56*C56</f>
        <v>0.57400000000000007</v>
      </c>
      <c r="E56" s="88">
        <f>B25</f>
        <v>287</v>
      </c>
      <c r="F56" s="89">
        <f>Rates!F83</f>
        <v>2E-3</v>
      </c>
      <c r="G56" s="90">
        <f>E56*F56</f>
        <v>0.57400000000000007</v>
      </c>
      <c r="H56" s="90">
        <f t="shared" si="0"/>
        <v>0</v>
      </c>
      <c r="I56" s="91">
        <f t="shared" si="7"/>
        <v>0</v>
      </c>
      <c r="J56" s="92">
        <f t="shared" si="1"/>
        <v>4.6027762129716822E-3</v>
      </c>
    </row>
    <row r="57" spans="1:10" ht="12.75" thickBot="1" x14ac:dyDescent="0.25">
      <c r="A57" s="73" t="s">
        <v>43</v>
      </c>
      <c r="B57" s="74"/>
      <c r="C57" s="75"/>
      <c r="D57" s="76">
        <f>D32+D50+D55+D56</f>
        <v>94.350900799999991</v>
      </c>
      <c r="E57" s="75"/>
      <c r="F57" s="75"/>
      <c r="G57" s="76">
        <f>G32+G50+G55+G56</f>
        <v>110.36048207999998</v>
      </c>
      <c r="H57" s="76">
        <f t="shared" si="0"/>
        <v>16.009581279999992</v>
      </c>
      <c r="I57" s="77">
        <f t="shared" si="7"/>
        <v>0.16968127642931835</v>
      </c>
      <c r="J57" s="78">
        <f t="shared" si="1"/>
        <v>0.88495575221238931</v>
      </c>
    </row>
    <row r="58" spans="1:10" ht="12.75" thickBot="1" x14ac:dyDescent="0.25">
      <c r="A58" s="93" t="s">
        <v>46</v>
      </c>
      <c r="B58" s="94"/>
      <c r="C58" s="95">
        <f>Rates!D90</f>
        <v>0.13</v>
      </c>
      <c r="D58" s="90">
        <f>C58*D57</f>
        <v>12.265617103999999</v>
      </c>
      <c r="E58" s="96"/>
      <c r="F58" s="95">
        <f>Rates!F90</f>
        <v>0.13</v>
      </c>
      <c r="G58" s="90">
        <f>F58*G57</f>
        <v>14.346862670399998</v>
      </c>
      <c r="H58" s="90">
        <f t="shared" si="0"/>
        <v>2.0812455663999998</v>
      </c>
      <c r="I58" s="91">
        <f t="shared" si="7"/>
        <v>0.16968127642931841</v>
      </c>
      <c r="J58" s="92">
        <f t="shared" si="1"/>
        <v>0.11504424778761062</v>
      </c>
    </row>
    <row r="59" spans="1:10" ht="12.75" thickBot="1" x14ac:dyDescent="0.25">
      <c r="A59" s="81" t="s">
        <v>33</v>
      </c>
      <c r="B59" s="82"/>
      <c r="C59" s="83"/>
      <c r="D59" s="104">
        <f>D57+D58</f>
        <v>106.61651790399999</v>
      </c>
      <c r="E59" s="83"/>
      <c r="F59" s="83"/>
      <c r="G59" s="104">
        <f>G57+G58</f>
        <v>124.70734475039998</v>
      </c>
      <c r="H59" s="104">
        <f t="shared" si="0"/>
        <v>18.090826846399992</v>
      </c>
      <c r="I59" s="85">
        <f t="shared" si="7"/>
        <v>0.16968127642931835</v>
      </c>
      <c r="J59" s="86">
        <f t="shared" si="1"/>
        <v>1</v>
      </c>
    </row>
    <row r="60" spans="1:10" x14ac:dyDescent="0.2">
      <c r="A60" s="126"/>
      <c r="B60" s="127"/>
      <c r="C60" s="128"/>
      <c r="D60" s="128"/>
      <c r="E60" s="128"/>
      <c r="F60" s="128"/>
      <c r="G60" s="128"/>
      <c r="H60" s="128"/>
      <c r="I60" s="128"/>
      <c r="J60" s="129"/>
    </row>
    <row r="61" spans="1:10" x14ac:dyDescent="0.2">
      <c r="A61" s="130" t="s">
        <v>62</v>
      </c>
      <c r="B61" s="131"/>
      <c r="C61" s="132"/>
      <c r="D61" s="133">
        <f>D59*0.1</f>
        <v>10.661651790400001</v>
      </c>
      <c r="E61" s="132"/>
      <c r="F61" s="132"/>
      <c r="G61" s="133">
        <f>G59*0.1</f>
        <v>12.470734475039999</v>
      </c>
      <c r="H61" s="132"/>
      <c r="I61" s="132"/>
      <c r="J61" s="134"/>
    </row>
    <row r="62" spans="1:10" ht="12.75" thickBot="1" x14ac:dyDescent="0.25">
      <c r="A62" s="135" t="s">
        <v>63</v>
      </c>
      <c r="B62" s="136"/>
      <c r="C62" s="137"/>
      <c r="D62" s="138">
        <f>D59-D61</f>
        <v>95.954866113599991</v>
      </c>
      <c r="E62" s="137"/>
      <c r="F62" s="137"/>
      <c r="G62" s="138">
        <f>G59-G61</f>
        <v>112.23661027535998</v>
      </c>
      <c r="H62" s="140">
        <f>G62-D62</f>
        <v>16.281744161759988</v>
      </c>
      <c r="I62" s="141">
        <f>H62/D62</f>
        <v>0.16968127642931832</v>
      </c>
      <c r="J62" s="139"/>
    </row>
  </sheetData>
  <mergeCells count="4">
    <mergeCell ref="A28:A29"/>
    <mergeCell ref="B28:B29"/>
    <mergeCell ref="E28:E29"/>
    <mergeCell ref="H28:J28"/>
  </mergeCells>
  <pageMargins left="0.75" right="0.75" top="1" bottom="1" header="0.5" footer="0.5"/>
  <pageSetup scale="60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3"/>
  <sheetViews>
    <sheetView topLeftCell="A10" zoomScaleNormal="100" workbookViewId="0">
      <selection activeCell="H6" sqref="H6"/>
    </sheetView>
  </sheetViews>
  <sheetFormatPr defaultRowHeight="12" x14ac:dyDescent="0.2"/>
  <cols>
    <col min="1" max="1" width="83.7109375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1" width="3.85546875" style="8" customWidth="1"/>
    <col min="12" max="16384" width="9.140625" style="8"/>
  </cols>
  <sheetData>
    <row r="2" spans="1:4" ht="12.75" thickBot="1" x14ac:dyDescent="0.25"/>
    <row r="3" spans="1:4" ht="36.75" thickBot="1" x14ac:dyDescent="0.25">
      <c r="A3" s="14" t="str">
        <f>Rates!A64</f>
        <v>Street Lighting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Rates!A44</f>
        <v>Monthly Service Charge</v>
      </c>
      <c r="B4" s="24" t="str">
        <f>Rates!B65</f>
        <v>$</v>
      </c>
      <c r="C4" s="25">
        <f>Rates!D65</f>
        <v>0.96</v>
      </c>
      <c r="D4" s="26">
        <f>Rates!F65</f>
        <v>0.97</v>
      </c>
    </row>
    <row r="5" spans="1:4" x14ac:dyDescent="0.2">
      <c r="A5" s="27" t="str">
        <f>Rates!A45</f>
        <v>Smart Meter Rate Adder</v>
      </c>
      <c r="B5" s="28" t="str">
        <f>Rates!B66</f>
        <v>$</v>
      </c>
      <c r="C5" s="29">
        <f>Rates!D66</f>
        <v>0</v>
      </c>
      <c r="D5" s="30">
        <f>Rates!F66</f>
        <v>0</v>
      </c>
    </row>
    <row r="6" spans="1:4" x14ac:dyDescent="0.2">
      <c r="A6" s="27" t="str">
        <f>Rates!A46</f>
        <v>Distribution Volumetric Rate</v>
      </c>
      <c r="B6" s="28" t="str">
        <f>Rates!B67</f>
        <v>$/kWh</v>
      </c>
      <c r="C6" s="31">
        <f>Rates!D67</f>
        <v>0.15429999999999999</v>
      </c>
      <c r="D6" s="32">
        <f>Rates!F67</f>
        <v>0.15570000000000001</v>
      </c>
    </row>
    <row r="7" spans="1:4" x14ac:dyDescent="0.2">
      <c r="A7" s="27" t="str">
        <f>Rates!A68</f>
        <v>Rate Rider for Foregone Revenue Recovery - effective until December 31, 2012</v>
      </c>
      <c r="B7" s="28" t="str">
        <f>Rates!B68</f>
        <v>$/kWh</v>
      </c>
      <c r="C7" s="31">
        <f>Rates!D68</f>
        <v>1E-4</v>
      </c>
      <c r="D7" s="32">
        <f>Rates!F68</f>
        <v>0</v>
      </c>
    </row>
    <row r="8" spans="1:4" x14ac:dyDescent="0.2">
      <c r="A8" s="27" t="str">
        <f>Rates!A69</f>
        <v>Rate Rider for Deferral/Variance Account Disposition - effective until May 31, 2013</v>
      </c>
      <c r="B8" s="28" t="str">
        <f>Rates!B69</f>
        <v>$/kWh</v>
      </c>
      <c r="C8" s="31">
        <f>Rates!D69</f>
        <v>4.7999999999999996E-3</v>
      </c>
      <c r="D8" s="32">
        <f>Rates!F69</f>
        <v>4.7999999999999996E-3</v>
      </c>
    </row>
    <row r="9" spans="1:4" x14ac:dyDescent="0.2">
      <c r="A9" s="27" t="str">
        <f>Rates!A70</f>
        <v>Rate Rider for Deferral/Variance Account Disposition - effective until May 31, 2013</v>
      </c>
      <c r="B9" s="28" t="str">
        <f>Rates!B70</f>
        <v>$/kWh</v>
      </c>
      <c r="C9" s="31">
        <f>Rates!D70</f>
        <v>-6.1000000000000004E-3</v>
      </c>
      <c r="D9" s="32">
        <f>Rates!F70</f>
        <v>-6.1000000000000004E-3</v>
      </c>
    </row>
    <row r="10" spans="1:4" x14ac:dyDescent="0.2">
      <c r="A10" s="27" t="str">
        <f>Rates!A71</f>
        <v>Rate Rider for Deferral/Variance Account Disposition (2012) - effective until December 31, 2013</v>
      </c>
      <c r="B10" s="28" t="str">
        <f>Rates!B71</f>
        <v>$/kWh</v>
      </c>
      <c r="C10" s="31">
        <f>Rates!D71</f>
        <v>0</v>
      </c>
      <c r="D10" s="32">
        <f>Rates!F71</f>
        <v>-6.9999999999999999E-4</v>
      </c>
    </row>
    <row r="11" spans="1:4" x14ac:dyDescent="0.2">
      <c r="A11" s="27" t="str">
        <f>Rates!A72</f>
        <v>Rate Rider for Global Adjustment Sub-Account Disposition (2012) - effective until December 31, 2013</v>
      </c>
      <c r="B11" s="28" t="str">
        <f>Rates!B72</f>
        <v>$/kWh</v>
      </c>
      <c r="C11" s="31">
        <f>Rates!D72</f>
        <v>0</v>
      </c>
      <c r="D11" s="32"/>
    </row>
    <row r="12" spans="1:4" x14ac:dyDescent="0.2">
      <c r="A12" s="27" t="str">
        <f>Rates!A73</f>
        <v>Rate Rider for PILs - effective until December 31, 2013</v>
      </c>
      <c r="B12" s="28" t="str">
        <f>Rates!B73</f>
        <v>$/kWh</v>
      </c>
      <c r="C12" s="31">
        <f>Rates!D73</f>
        <v>0</v>
      </c>
      <c r="D12" s="32">
        <f>Rates!F73</f>
        <v>0</v>
      </c>
    </row>
    <row r="13" spans="1:4" x14ac:dyDescent="0.2">
      <c r="A13" s="27" t="str">
        <f>Rates!A74</f>
        <v>Rate Rider for Tax Changes - effective until December 31, 2012</v>
      </c>
      <c r="B13" s="28" t="str">
        <f>Rates!B74</f>
        <v>$/kWh</v>
      </c>
      <c r="C13" s="31">
        <f>Rates!D74</f>
        <v>-2.0000000000000001E-4</v>
      </c>
      <c r="D13" s="32">
        <f>Rates!F74</f>
        <v>-2.0000000000000001E-4</v>
      </c>
    </row>
    <row r="14" spans="1:4" x14ac:dyDescent="0.2">
      <c r="A14" s="27" t="str">
        <f>Rates!A75</f>
        <v>Retail Transmission Rate - Network Service Rate</v>
      </c>
      <c r="B14" s="28" t="str">
        <f>Rates!B75</f>
        <v>$/kW</v>
      </c>
      <c r="C14" s="31">
        <f>Rates!D75</f>
        <v>1.9906999999999999</v>
      </c>
      <c r="D14" s="32">
        <f>Rates!F75</f>
        <v>1.9012</v>
      </c>
    </row>
    <row r="15" spans="1:4" x14ac:dyDescent="0.2">
      <c r="A15" s="27" t="str">
        <f>Rates!A76</f>
        <v>Retail Transmission Rate - Line and Transformation Connection Service Rate</v>
      </c>
      <c r="B15" s="28" t="str">
        <f>Rates!B76</f>
        <v>$/kW</v>
      </c>
      <c r="C15" s="31">
        <f>Rates!D76</f>
        <v>1.3992</v>
      </c>
      <c r="D15" s="32">
        <f>Rates!F76</f>
        <v>1.3680000000000001</v>
      </c>
    </row>
    <row r="16" spans="1:4" x14ac:dyDescent="0.2">
      <c r="A16" s="27" t="str">
        <f>Rates!A77</f>
        <v>Wholesale Market Service Rate</v>
      </c>
      <c r="B16" s="28" t="str">
        <f>Rates!B77</f>
        <v>$/kWh</v>
      </c>
      <c r="C16" s="31">
        <f>Rates!D77</f>
        <v>5.1999999999999998E-3</v>
      </c>
      <c r="D16" s="32">
        <f>Rates!F77</f>
        <v>5.1999999999999998E-3</v>
      </c>
    </row>
    <row r="17" spans="1:10" x14ac:dyDescent="0.2">
      <c r="A17" s="27" t="str">
        <f>Rates!A78</f>
        <v>Rural Rate Protection Charge</v>
      </c>
      <c r="B17" s="28" t="str">
        <f>Rates!B78</f>
        <v>$/kWh</v>
      </c>
      <c r="C17" s="31">
        <f>Rates!D78</f>
        <v>1.1000000000000001E-3</v>
      </c>
      <c r="D17" s="32">
        <f>Rates!F78</f>
        <v>1.1000000000000001E-3</v>
      </c>
    </row>
    <row r="18" spans="1:10" x14ac:dyDescent="0.2">
      <c r="A18" s="27" t="str">
        <f>Rates!A79</f>
        <v>Special Purpose Charge</v>
      </c>
      <c r="B18" s="28" t="str">
        <f>Rates!B79</f>
        <v>$/kWh</v>
      </c>
      <c r="C18" s="31">
        <f>Rates!D79</f>
        <v>0</v>
      </c>
      <c r="D18" s="32">
        <f>Rates!F79</f>
        <v>0</v>
      </c>
    </row>
    <row r="19" spans="1:10" ht="12.75" thickBot="1" x14ac:dyDescent="0.25">
      <c r="A19" s="12" t="str">
        <f>Rates!A80</f>
        <v>Standard Supply Service - Administarive Charge (if applicable)</v>
      </c>
      <c r="B19" s="17" t="str">
        <f>Rates!B80</f>
        <v>$</v>
      </c>
      <c r="C19" s="18">
        <f>Rates!D80</f>
        <v>0.25</v>
      </c>
      <c r="D19" s="13">
        <f>Rates!F80</f>
        <v>0.25</v>
      </c>
    </row>
    <row r="21" spans="1:10" ht="12.75" thickBot="1" x14ac:dyDescent="0.25"/>
    <row r="22" spans="1:10" ht="13.5" thickBot="1" x14ac:dyDescent="0.25">
      <c r="A22" s="33" t="s">
        <v>26</v>
      </c>
      <c r="B22" s="34">
        <v>25000</v>
      </c>
      <c r="C22" s="35" t="s">
        <v>27</v>
      </c>
      <c r="D22" s="36">
        <v>71.459999999999994</v>
      </c>
      <c r="E22" s="35" t="s">
        <v>28</v>
      </c>
      <c r="G22" s="37" t="s">
        <v>23</v>
      </c>
      <c r="H22" s="53">
        <f>Rates!F89</f>
        <v>1.0864</v>
      </c>
    </row>
    <row r="23" spans="1:10" ht="13.5" thickBot="1" x14ac:dyDescent="0.25">
      <c r="A23" s="33" t="s">
        <v>29</v>
      </c>
      <c r="B23" s="34">
        <v>750</v>
      </c>
      <c r="C23" s="35" t="s">
        <v>27</v>
      </c>
      <c r="D23" s="37" t="s">
        <v>30</v>
      </c>
      <c r="E23" s="98">
        <f>IF(D22&gt;0,B22/(D22*24*30.4)," ")</f>
        <v>0.47950393055125928</v>
      </c>
    </row>
    <row r="24" spans="1:10" ht="12.75" thickBot="1" x14ac:dyDescent="0.25"/>
    <row r="25" spans="1:10" ht="12.75" customHeight="1" x14ac:dyDescent="0.2">
      <c r="A25" s="149" t="str">
        <f>A3</f>
        <v>Street Lighting</v>
      </c>
      <c r="B25" s="151" t="s">
        <v>31</v>
      </c>
      <c r="C25" s="49" t="s">
        <v>37</v>
      </c>
      <c r="D25" s="49" t="s">
        <v>38</v>
      </c>
      <c r="E25" s="151" t="s">
        <v>31</v>
      </c>
      <c r="F25" s="49" t="s">
        <v>37</v>
      </c>
      <c r="G25" s="49" t="s">
        <v>38</v>
      </c>
      <c r="H25" s="153" t="s">
        <v>44</v>
      </c>
      <c r="I25" s="153"/>
      <c r="J25" s="154"/>
    </row>
    <row r="26" spans="1:10" ht="12.75" thickBot="1" x14ac:dyDescent="0.25">
      <c r="A26" s="150"/>
      <c r="B26" s="152"/>
      <c r="C26" s="50" t="s">
        <v>15</v>
      </c>
      <c r="D26" s="50" t="s">
        <v>15</v>
      </c>
      <c r="E26" s="152"/>
      <c r="F26" s="50" t="s">
        <v>15</v>
      </c>
      <c r="G26" s="50" t="s">
        <v>15</v>
      </c>
      <c r="H26" s="50" t="s">
        <v>15</v>
      </c>
      <c r="I26" s="51" t="s">
        <v>22</v>
      </c>
      <c r="J26" s="52" t="s">
        <v>34</v>
      </c>
    </row>
    <row r="27" spans="1:10" x14ac:dyDescent="0.2">
      <c r="A27" s="54" t="s">
        <v>35</v>
      </c>
      <c r="B27" s="55">
        <f>IF(B22*Rates!D89&gt;B23,B23,B22*Rates!D89)</f>
        <v>750</v>
      </c>
      <c r="C27" s="56">
        <f>Rates!D84</f>
        <v>7.4999999999999997E-2</v>
      </c>
      <c r="D27" s="58">
        <f>B27*C27</f>
        <v>56.25</v>
      </c>
      <c r="E27" s="55">
        <f>IF(B22*H22&gt;B23,B23,B22*H22)</f>
        <v>750</v>
      </c>
      <c r="F27" s="56">
        <f>Rates!F84</f>
        <v>7.4999999999999997E-2</v>
      </c>
      <c r="G27" s="58">
        <f>E27*F27</f>
        <v>56.25</v>
      </c>
      <c r="H27" s="58">
        <f t="shared" ref="H27:H53" si="0">G27-D27</f>
        <v>0</v>
      </c>
      <c r="I27" s="59">
        <f>IF(ISERROR(H27/D27),1,H27/D27)</f>
        <v>0</v>
      </c>
      <c r="J27" s="60">
        <f t="shared" ref="J27:J53" si="1">IF(ISERROR(G27/G$53),0,G27/G$53)</f>
        <v>6.8994392453247903E-3</v>
      </c>
    </row>
    <row r="28" spans="1:10" ht="12.75" thickBot="1" x14ac:dyDescent="0.25">
      <c r="A28" s="63" t="s">
        <v>36</v>
      </c>
      <c r="B28" s="64">
        <f>IF(B22*Rates!D89&gt;=B23,B22*Rates!D89-B23,0)</f>
        <v>26410</v>
      </c>
      <c r="C28" s="65">
        <f>Rates!D85</f>
        <v>8.7999999999999995E-2</v>
      </c>
      <c r="D28" s="66">
        <f>B28*C28</f>
        <v>2324.08</v>
      </c>
      <c r="E28" s="64">
        <f>IF(B22*H22&gt;=B23,B22*H22-B23,0)</f>
        <v>26410</v>
      </c>
      <c r="F28" s="65">
        <f>Rates!F85</f>
        <v>8.7999999999999995E-2</v>
      </c>
      <c r="G28" s="66">
        <f>E28*F28</f>
        <v>2324.08</v>
      </c>
      <c r="H28" s="66">
        <f t="shared" si="0"/>
        <v>0</v>
      </c>
      <c r="I28" s="67">
        <f>IF(ISERROR(H28/D28),0,H28/D28)</f>
        <v>0</v>
      </c>
      <c r="J28" s="68">
        <f t="shared" si="1"/>
        <v>0.28506397797821226</v>
      </c>
    </row>
    <row r="29" spans="1:10" ht="12.75" thickBot="1" x14ac:dyDescent="0.25">
      <c r="A29" s="73" t="s">
        <v>39</v>
      </c>
      <c r="B29" s="74"/>
      <c r="C29" s="75"/>
      <c r="D29" s="76">
        <f>SUM(D27:D28)</f>
        <v>2380.33</v>
      </c>
      <c r="E29" s="75"/>
      <c r="F29" s="75"/>
      <c r="G29" s="76">
        <f>SUM(G27:G28)</f>
        <v>2380.33</v>
      </c>
      <c r="H29" s="76">
        <f t="shared" si="0"/>
        <v>0</v>
      </c>
      <c r="I29" s="77">
        <f>IF(ISERROR(H29/D29),0,H29/D29)</f>
        <v>0</v>
      </c>
      <c r="J29" s="78">
        <f t="shared" si="1"/>
        <v>0.29196341722353703</v>
      </c>
    </row>
    <row r="30" spans="1:10" x14ac:dyDescent="0.2">
      <c r="A30" s="69" t="str">
        <f t="shared" ref="A30:A35" si="2">A4</f>
        <v>Monthly Service Charge</v>
      </c>
      <c r="B30" s="70">
        <v>428</v>
      </c>
      <c r="C30" s="46">
        <f t="shared" ref="C30:C35" si="3">C4</f>
        <v>0.96</v>
      </c>
      <c r="D30" s="46">
        <f t="shared" ref="D30:D39" si="4">B30*C30</f>
        <v>410.88</v>
      </c>
      <c r="E30" s="71">
        <f>B30</f>
        <v>428</v>
      </c>
      <c r="F30" s="47">
        <f t="shared" ref="F30:F35" si="5">D4</f>
        <v>0.97</v>
      </c>
      <c r="G30" s="47">
        <f t="shared" ref="G30:G39" si="6">E30*F30</f>
        <v>415.15999999999997</v>
      </c>
      <c r="H30" s="47">
        <f t="shared" si="0"/>
        <v>4.2799999999999727</v>
      </c>
      <c r="I30" s="48">
        <f>IF(ISERROR(H30/D30),0,H30/D30)</f>
        <v>1.04166666666666E-2</v>
      </c>
      <c r="J30" s="72">
        <f t="shared" si="1"/>
        <v>5.0922154614916261E-2</v>
      </c>
    </row>
    <row r="31" spans="1:10" x14ac:dyDescent="0.2">
      <c r="A31" s="61" t="str">
        <f t="shared" si="2"/>
        <v>Smart Meter Rate Adder</v>
      </c>
      <c r="B31" s="43">
        <f>B30</f>
        <v>428</v>
      </c>
      <c r="C31" s="41">
        <f t="shared" si="3"/>
        <v>0</v>
      </c>
      <c r="D31" s="41">
        <f t="shared" si="4"/>
        <v>0</v>
      </c>
      <c r="E31" s="43">
        <f>B31</f>
        <v>428</v>
      </c>
      <c r="F31" s="41">
        <f t="shared" si="5"/>
        <v>0</v>
      </c>
      <c r="G31" s="41">
        <f t="shared" si="6"/>
        <v>0</v>
      </c>
      <c r="H31" s="41">
        <f t="shared" si="0"/>
        <v>0</v>
      </c>
      <c r="I31" s="42">
        <f>IF(ISERROR(H31/D31),0,H31/D31)</f>
        <v>0</v>
      </c>
      <c r="J31" s="62">
        <f t="shared" si="1"/>
        <v>0</v>
      </c>
    </row>
    <row r="32" spans="1:10" x14ac:dyDescent="0.2">
      <c r="A32" s="61" t="str">
        <f t="shared" si="2"/>
        <v>Distribution Volumetric Rate</v>
      </c>
      <c r="B32" s="43">
        <f>B22</f>
        <v>25000</v>
      </c>
      <c r="C32" s="40">
        <f t="shared" si="3"/>
        <v>0.15429999999999999</v>
      </c>
      <c r="D32" s="41">
        <f t="shared" si="4"/>
        <v>3857.5</v>
      </c>
      <c r="E32" s="43">
        <f>B22</f>
        <v>25000</v>
      </c>
      <c r="F32" s="40">
        <f t="shared" si="5"/>
        <v>0.15570000000000001</v>
      </c>
      <c r="G32" s="41">
        <f t="shared" si="6"/>
        <v>3892.5</v>
      </c>
      <c r="H32" s="41">
        <f t="shared" si="0"/>
        <v>35</v>
      </c>
      <c r="I32" s="42">
        <f t="shared" ref="I32:I53" si="7">IF(ISERROR(H32/D32),0,H32/D32)</f>
        <v>9.0732339598185354E-3</v>
      </c>
      <c r="J32" s="62">
        <f t="shared" si="1"/>
        <v>0.47744119577647554</v>
      </c>
    </row>
    <row r="33" spans="1:10" x14ac:dyDescent="0.2">
      <c r="A33" s="61" t="str">
        <f t="shared" si="2"/>
        <v>Rate Rider for Foregone Revenue Recovery - effective until December 31, 2012</v>
      </c>
      <c r="B33" s="43">
        <f>B22</f>
        <v>25000</v>
      </c>
      <c r="C33" s="40">
        <f t="shared" si="3"/>
        <v>1E-4</v>
      </c>
      <c r="D33" s="41">
        <f t="shared" si="4"/>
        <v>2.5</v>
      </c>
      <c r="E33" s="43">
        <f>B22</f>
        <v>25000</v>
      </c>
      <c r="F33" s="40">
        <f t="shared" si="5"/>
        <v>0</v>
      </c>
      <c r="G33" s="41">
        <f>E33*F33</f>
        <v>0</v>
      </c>
      <c r="H33" s="41">
        <f>G33-D33</f>
        <v>-2.5</v>
      </c>
      <c r="I33" s="42">
        <f>IF(ISERROR(H33/D33),0,H33/D33)</f>
        <v>-1</v>
      </c>
      <c r="J33" s="62">
        <f t="shared" si="1"/>
        <v>0</v>
      </c>
    </row>
    <row r="34" spans="1:10" x14ac:dyDescent="0.2">
      <c r="A34" s="61" t="str">
        <f t="shared" si="2"/>
        <v>Rate Rider for Deferral/Variance Account Disposition - effective until May 31, 2013</v>
      </c>
      <c r="B34" s="43">
        <f>B22</f>
        <v>25000</v>
      </c>
      <c r="C34" s="40">
        <f t="shared" si="3"/>
        <v>4.7999999999999996E-3</v>
      </c>
      <c r="D34" s="41">
        <f t="shared" si="4"/>
        <v>119.99999999999999</v>
      </c>
      <c r="E34" s="43">
        <f>B22</f>
        <v>25000</v>
      </c>
      <c r="F34" s="40">
        <f t="shared" si="5"/>
        <v>4.7999999999999996E-3</v>
      </c>
      <c r="G34" s="41">
        <f t="shared" si="6"/>
        <v>119.99999999999999</v>
      </c>
      <c r="H34" s="41">
        <f t="shared" si="0"/>
        <v>0</v>
      </c>
      <c r="I34" s="42">
        <f t="shared" si="7"/>
        <v>0</v>
      </c>
      <c r="J34" s="62">
        <f t="shared" si="1"/>
        <v>1.4718803723359552E-2</v>
      </c>
    </row>
    <row r="35" spans="1:10" x14ac:dyDescent="0.2">
      <c r="A35" s="61" t="str">
        <f t="shared" si="2"/>
        <v>Rate Rider for Deferral/Variance Account Disposition - effective until May 31, 2013</v>
      </c>
      <c r="B35" s="43">
        <f>B22</f>
        <v>25000</v>
      </c>
      <c r="C35" s="40">
        <f t="shared" si="3"/>
        <v>-6.1000000000000004E-3</v>
      </c>
      <c r="D35" s="41">
        <f t="shared" si="4"/>
        <v>-152.5</v>
      </c>
      <c r="E35" s="43">
        <f>B22</f>
        <v>25000</v>
      </c>
      <c r="F35" s="40">
        <f t="shared" si="5"/>
        <v>-6.1000000000000004E-3</v>
      </c>
      <c r="G35" s="41">
        <f>E35*F35</f>
        <v>-152.5</v>
      </c>
      <c r="H35" s="41">
        <f>G35-D35</f>
        <v>0</v>
      </c>
      <c r="I35" s="42">
        <f>IF(ISERROR(H35/D35),0,H35/D35)</f>
        <v>0</v>
      </c>
      <c r="J35" s="62">
        <f t="shared" si="1"/>
        <v>-1.8705146398436099E-2</v>
      </c>
    </row>
    <row r="36" spans="1:10" x14ac:dyDescent="0.2">
      <c r="A36" s="61" t="str">
        <f>A10</f>
        <v>Rate Rider for Deferral/Variance Account Disposition (2012) - effective until December 31, 2013</v>
      </c>
      <c r="B36" s="43">
        <f>B22</f>
        <v>25000</v>
      </c>
      <c r="C36" s="40">
        <f>C10</f>
        <v>0</v>
      </c>
      <c r="D36" s="41">
        <f t="shared" si="4"/>
        <v>0</v>
      </c>
      <c r="E36" s="43">
        <f>B22</f>
        <v>25000</v>
      </c>
      <c r="F36" s="40">
        <f>D10</f>
        <v>-6.9999999999999999E-4</v>
      </c>
      <c r="G36" s="41">
        <f>E36*F36</f>
        <v>-17.5</v>
      </c>
      <c r="H36" s="41">
        <f>G36-D36</f>
        <v>-17.5</v>
      </c>
      <c r="I36" s="42">
        <f>IF(ISERROR(H36/D36),0,H36/D36)</f>
        <v>0</v>
      </c>
      <c r="J36" s="62">
        <f t="shared" si="1"/>
        <v>-2.1464922096566014E-3</v>
      </c>
    </row>
    <row r="37" spans="1:10" x14ac:dyDescent="0.2">
      <c r="A37" s="61" t="str">
        <f>A11</f>
        <v>Rate Rider for Global Adjustment Sub-Account Disposition (2012) - effective until December 31, 2013</v>
      </c>
      <c r="B37" s="43">
        <f>B22</f>
        <v>25000</v>
      </c>
      <c r="C37" s="40">
        <f>C11</f>
        <v>0</v>
      </c>
      <c r="D37" s="41">
        <f t="shared" si="4"/>
        <v>0</v>
      </c>
      <c r="E37" s="43">
        <f>B22</f>
        <v>25000</v>
      </c>
      <c r="F37" s="40">
        <f>D11</f>
        <v>0</v>
      </c>
      <c r="G37" s="41">
        <f>E37*F37</f>
        <v>0</v>
      </c>
      <c r="H37" s="41">
        <f>G37-D37</f>
        <v>0</v>
      </c>
      <c r="I37" s="42">
        <f>IF(ISERROR(H37/D37),0,H37/D37)</f>
        <v>0</v>
      </c>
      <c r="J37" s="62">
        <f t="shared" si="1"/>
        <v>0</v>
      </c>
    </row>
    <row r="38" spans="1:10" x14ac:dyDescent="0.2">
      <c r="A38" s="61" t="str">
        <f>A12</f>
        <v>Rate Rider for PILs - effective until December 31, 2013</v>
      </c>
      <c r="B38" s="43">
        <f>B22</f>
        <v>25000</v>
      </c>
      <c r="C38" s="40">
        <f>C12</f>
        <v>0</v>
      </c>
      <c r="D38" s="41">
        <f t="shared" si="4"/>
        <v>0</v>
      </c>
      <c r="E38" s="43">
        <f>B22</f>
        <v>25000</v>
      </c>
      <c r="F38" s="40">
        <f>D12</f>
        <v>0</v>
      </c>
      <c r="G38" s="41">
        <f>E38*F38</f>
        <v>0</v>
      </c>
      <c r="H38" s="41">
        <f>G38-D38</f>
        <v>0</v>
      </c>
      <c r="I38" s="42">
        <f>IF(ISERROR(H38/D38),0,H38/D38)</f>
        <v>0</v>
      </c>
      <c r="J38" s="62">
        <f t="shared" si="1"/>
        <v>0</v>
      </c>
    </row>
    <row r="39" spans="1:10" ht="12.75" thickBot="1" x14ac:dyDescent="0.25">
      <c r="A39" s="61" t="str">
        <f t="shared" ref="A39" si="8">A13</f>
        <v>Rate Rider for Tax Changes - effective until December 31, 2012</v>
      </c>
      <c r="B39" s="43">
        <f>B22</f>
        <v>25000</v>
      </c>
      <c r="C39" s="40">
        <f t="shared" ref="C39" si="9">C13</f>
        <v>-2.0000000000000001E-4</v>
      </c>
      <c r="D39" s="41">
        <f t="shared" si="4"/>
        <v>-5</v>
      </c>
      <c r="E39" s="43">
        <f>B22</f>
        <v>25000</v>
      </c>
      <c r="F39" s="40">
        <f t="shared" ref="F39" si="10">D13</f>
        <v>-2.0000000000000001E-4</v>
      </c>
      <c r="G39" s="41">
        <f t="shared" si="6"/>
        <v>-5</v>
      </c>
      <c r="H39" s="41">
        <f t="shared" si="0"/>
        <v>0</v>
      </c>
      <c r="I39" s="42">
        <f t="shared" si="7"/>
        <v>0</v>
      </c>
      <c r="J39" s="62">
        <f t="shared" si="1"/>
        <v>-6.132834884733147E-4</v>
      </c>
    </row>
    <row r="40" spans="1:10" ht="12.75" thickBot="1" x14ac:dyDescent="0.25">
      <c r="A40" s="73" t="s">
        <v>40</v>
      </c>
      <c r="B40" s="74"/>
      <c r="C40" s="75"/>
      <c r="D40" s="76">
        <f>SUM(D30:D39)</f>
        <v>4233.38</v>
      </c>
      <c r="E40" s="75"/>
      <c r="F40" s="75"/>
      <c r="G40" s="76">
        <f>SUM(G30:G39)</f>
        <v>4252.66</v>
      </c>
      <c r="H40" s="76">
        <f t="shared" si="0"/>
        <v>19.279999999999745</v>
      </c>
      <c r="I40" s="77">
        <f t="shared" si="7"/>
        <v>4.5542805039943835E-3</v>
      </c>
      <c r="J40" s="78">
        <f t="shared" si="1"/>
        <v>0.52161723201818533</v>
      </c>
    </row>
    <row r="41" spans="1:10" x14ac:dyDescent="0.2">
      <c r="A41" s="69" t="str">
        <f>A14</f>
        <v>Retail Transmission Rate - Network Service Rate</v>
      </c>
      <c r="B41" s="99">
        <f>D22*Rates!D89</f>
        <v>77.634143999999992</v>
      </c>
      <c r="C41" s="45">
        <f>C14</f>
        <v>1.9906999999999999</v>
      </c>
      <c r="D41" s="47">
        <f>B41*C41</f>
        <v>154.54629046079998</v>
      </c>
      <c r="E41" s="99">
        <f>D22*H22</f>
        <v>77.634143999999992</v>
      </c>
      <c r="F41" s="45">
        <f>D14</f>
        <v>1.9012</v>
      </c>
      <c r="G41" s="47">
        <f>E41*F41</f>
        <v>147.59803457279997</v>
      </c>
      <c r="H41" s="47">
        <f t="shared" si="0"/>
        <v>-6.9482558880000056</v>
      </c>
      <c r="I41" s="48">
        <f t="shared" si="7"/>
        <v>-4.4959059627266831E-2</v>
      </c>
      <c r="J41" s="72">
        <f t="shared" si="1"/>
        <v>1.8103887506922337E-2</v>
      </c>
    </row>
    <row r="42" spans="1:10" ht="12.75" thickBot="1" x14ac:dyDescent="0.25">
      <c r="A42" s="63" t="str">
        <f>A15</f>
        <v>Retail Transmission Rate - Line and Transformation Connection Service Rate</v>
      </c>
      <c r="B42" s="100">
        <f>D22*Rates!D89</f>
        <v>77.634143999999992</v>
      </c>
      <c r="C42" s="65">
        <f>C15</f>
        <v>1.3992</v>
      </c>
      <c r="D42" s="66">
        <f>B42*C42</f>
        <v>108.62569428479999</v>
      </c>
      <c r="E42" s="100">
        <f>D22*H22</f>
        <v>77.634143999999992</v>
      </c>
      <c r="F42" s="65">
        <f>D15</f>
        <v>1.3680000000000001</v>
      </c>
      <c r="G42" s="66">
        <f>E42*F42</f>
        <v>106.203508992</v>
      </c>
      <c r="H42" s="66">
        <f t="shared" si="0"/>
        <v>-2.4221852927999947</v>
      </c>
      <c r="I42" s="67">
        <f t="shared" si="7"/>
        <v>-2.2298456260720367E-2</v>
      </c>
      <c r="J42" s="68">
        <f t="shared" si="1"/>
        <v>1.3026571696544162E-2</v>
      </c>
    </row>
    <row r="43" spans="1:10" ht="12.75" thickBot="1" x14ac:dyDescent="0.25">
      <c r="A43" s="73" t="s">
        <v>32</v>
      </c>
      <c r="B43" s="74"/>
      <c r="C43" s="75"/>
      <c r="D43" s="76">
        <f>SUM(D41:D42)</f>
        <v>263.17198474559996</v>
      </c>
      <c r="E43" s="75"/>
      <c r="F43" s="75"/>
      <c r="G43" s="76">
        <f>SUM(G41:G42)</f>
        <v>253.80154356479997</v>
      </c>
      <c r="H43" s="76">
        <f t="shared" si="0"/>
        <v>-9.3704411807999861</v>
      </c>
      <c r="I43" s="77">
        <f t="shared" si="7"/>
        <v>-3.5605770081713277E-2</v>
      </c>
      <c r="J43" s="78">
        <f t="shared" si="1"/>
        <v>3.1130459203466496E-2</v>
      </c>
    </row>
    <row r="44" spans="1:10" ht="12.75" thickBot="1" x14ac:dyDescent="0.25">
      <c r="A44" s="81" t="s">
        <v>41</v>
      </c>
      <c r="B44" s="82"/>
      <c r="C44" s="83"/>
      <c r="D44" s="84">
        <f>D40+D43</f>
        <v>4496.5519847455998</v>
      </c>
      <c r="E44" s="83"/>
      <c r="F44" s="83"/>
      <c r="G44" s="84">
        <f>G40+G43</f>
        <v>4506.4615435648002</v>
      </c>
      <c r="H44" s="84">
        <f t="shared" si="0"/>
        <v>9.9095588192003561</v>
      </c>
      <c r="I44" s="85">
        <f t="shared" si="7"/>
        <v>2.2038127998560229E-3</v>
      </c>
      <c r="J44" s="86">
        <f t="shared" si="1"/>
        <v>0.55274769122165179</v>
      </c>
    </row>
    <row r="45" spans="1:10" x14ac:dyDescent="0.2">
      <c r="A45" s="69" t="str">
        <f>A16</f>
        <v>Wholesale Market Service Rate</v>
      </c>
      <c r="B45" s="44">
        <f>B22*Rates!D89</f>
        <v>27160</v>
      </c>
      <c r="C45" s="45">
        <f>C16</f>
        <v>5.1999999999999998E-3</v>
      </c>
      <c r="D45" s="47">
        <f>B45*C45</f>
        <v>141.232</v>
      </c>
      <c r="E45" s="44">
        <f>B22*H22</f>
        <v>27160</v>
      </c>
      <c r="F45" s="45">
        <f>D16</f>
        <v>5.1999999999999998E-3</v>
      </c>
      <c r="G45" s="47">
        <f>E45*F45</f>
        <v>141.232</v>
      </c>
      <c r="H45" s="47">
        <f t="shared" si="0"/>
        <v>0</v>
      </c>
      <c r="I45" s="48">
        <f t="shared" si="7"/>
        <v>0</v>
      </c>
      <c r="J45" s="72">
        <f t="shared" si="1"/>
        <v>1.7323050728812638E-2</v>
      </c>
    </row>
    <row r="46" spans="1:10" x14ac:dyDescent="0.2">
      <c r="A46" s="61" t="str">
        <f>A17</f>
        <v>Rural Rate Protection Charge</v>
      </c>
      <c r="B46" s="39">
        <f>B22*Rates!D89</f>
        <v>27160</v>
      </c>
      <c r="C46" s="40">
        <f>C17</f>
        <v>1.1000000000000001E-3</v>
      </c>
      <c r="D46" s="41">
        <f>B46*C46</f>
        <v>29.876000000000001</v>
      </c>
      <c r="E46" s="39">
        <f>B22*H22</f>
        <v>27160</v>
      </c>
      <c r="F46" s="40">
        <f>D17</f>
        <v>1.1000000000000001E-3</v>
      </c>
      <c r="G46" s="41">
        <f>E46*F46</f>
        <v>29.876000000000001</v>
      </c>
      <c r="H46" s="41">
        <f t="shared" si="0"/>
        <v>0</v>
      </c>
      <c r="I46" s="42">
        <f t="shared" si="7"/>
        <v>0</v>
      </c>
      <c r="J46" s="62">
        <f t="shared" si="1"/>
        <v>3.6644915003257502E-3</v>
      </c>
    </row>
    <row r="47" spans="1:10" x14ac:dyDescent="0.2">
      <c r="A47" s="63" t="s">
        <v>45</v>
      </c>
      <c r="B47" s="64">
        <f>B22*Rates!D89</f>
        <v>27160</v>
      </c>
      <c r="C47" s="65">
        <f>Rates!D79</f>
        <v>0</v>
      </c>
      <c r="D47" s="66">
        <f>B47*C47</f>
        <v>0</v>
      </c>
      <c r="E47" s="64">
        <f>B22*Rates!F89</f>
        <v>27160</v>
      </c>
      <c r="F47" s="65">
        <f>Rates!F79</f>
        <v>0</v>
      </c>
      <c r="G47" s="66">
        <f>E47*F47</f>
        <v>0</v>
      </c>
      <c r="H47" s="41">
        <f>G47-D47</f>
        <v>0</v>
      </c>
      <c r="I47" s="42">
        <f>IF(ISERROR(H47/D47),0,H47/D47)</f>
        <v>0</v>
      </c>
      <c r="J47" s="62">
        <f t="shared" si="1"/>
        <v>0</v>
      </c>
    </row>
    <row r="48" spans="1:10" ht="12.75" thickBot="1" x14ac:dyDescent="0.25">
      <c r="A48" s="63" t="str">
        <f>A19</f>
        <v>Standard Supply Service - Administarive Charge (if applicable)</v>
      </c>
      <c r="B48" s="79">
        <f>B30</f>
        <v>428</v>
      </c>
      <c r="C48" s="66">
        <f>C19</f>
        <v>0.25</v>
      </c>
      <c r="D48" s="66">
        <f>B48*C48</f>
        <v>107</v>
      </c>
      <c r="E48" s="64">
        <f>B30</f>
        <v>428</v>
      </c>
      <c r="F48" s="66">
        <f>D19</f>
        <v>0.25</v>
      </c>
      <c r="G48" s="66">
        <f>E48*F48</f>
        <v>107</v>
      </c>
      <c r="H48" s="66">
        <f t="shared" si="0"/>
        <v>0</v>
      </c>
      <c r="I48" s="67">
        <f t="shared" si="7"/>
        <v>0</v>
      </c>
      <c r="J48" s="68">
        <f t="shared" si="1"/>
        <v>1.3124266653328935E-2</v>
      </c>
    </row>
    <row r="49" spans="1:10" ht="12.75" thickBot="1" x14ac:dyDescent="0.25">
      <c r="A49" s="73" t="s">
        <v>42</v>
      </c>
      <c r="B49" s="74"/>
      <c r="C49" s="75"/>
      <c r="D49" s="76">
        <f>SUM(D45:D48)</f>
        <v>278.108</v>
      </c>
      <c r="E49" s="75"/>
      <c r="F49" s="75"/>
      <c r="G49" s="76">
        <f>SUM(G45:G48)</f>
        <v>278.108</v>
      </c>
      <c r="H49" s="76">
        <f t="shared" si="0"/>
        <v>0</v>
      </c>
      <c r="I49" s="77">
        <f t="shared" si="7"/>
        <v>0</v>
      </c>
      <c r="J49" s="78">
        <f t="shared" si="1"/>
        <v>3.4111808882467322E-2</v>
      </c>
    </row>
    <row r="50" spans="1:10" ht="12.75" thickBot="1" x14ac:dyDescent="0.25">
      <c r="A50" s="87" t="s">
        <v>19</v>
      </c>
      <c r="B50" s="88">
        <f>B22</f>
        <v>25000</v>
      </c>
      <c r="C50" s="89">
        <f>Rates!D83</f>
        <v>2E-3</v>
      </c>
      <c r="D50" s="90">
        <f>B50*C50</f>
        <v>50</v>
      </c>
      <c r="E50" s="88">
        <f>B22</f>
        <v>25000</v>
      </c>
      <c r="F50" s="89">
        <f>Rates!F83</f>
        <v>2E-3</v>
      </c>
      <c r="G50" s="90">
        <f>E50*F50</f>
        <v>50</v>
      </c>
      <c r="H50" s="90">
        <f t="shared" si="0"/>
        <v>0</v>
      </c>
      <c r="I50" s="91">
        <f t="shared" si="7"/>
        <v>0</v>
      </c>
      <c r="J50" s="92">
        <f t="shared" si="1"/>
        <v>6.1328348847331472E-3</v>
      </c>
    </row>
    <row r="51" spans="1:10" ht="12.75" thickBot="1" x14ac:dyDescent="0.25">
      <c r="A51" s="73" t="s">
        <v>43</v>
      </c>
      <c r="B51" s="74"/>
      <c r="C51" s="75"/>
      <c r="D51" s="76">
        <f>D29+D44+D49+D50</f>
        <v>7204.9899847455999</v>
      </c>
      <c r="E51" s="75"/>
      <c r="F51" s="75"/>
      <c r="G51" s="76">
        <f>G29+G44+G49+G50</f>
        <v>7214.8995435648003</v>
      </c>
      <c r="H51" s="76">
        <f t="shared" si="0"/>
        <v>9.9095588192003561</v>
      </c>
      <c r="I51" s="77">
        <f t="shared" si="7"/>
        <v>1.3753744058188654E-3</v>
      </c>
      <c r="J51" s="78">
        <f t="shared" si="1"/>
        <v>0.88495575221238942</v>
      </c>
    </row>
    <row r="52" spans="1:10" ht="12.75" thickBot="1" x14ac:dyDescent="0.25">
      <c r="A52" s="93" t="s">
        <v>46</v>
      </c>
      <c r="B52" s="94"/>
      <c r="C52" s="95">
        <f>Rates!D90</f>
        <v>0.13</v>
      </c>
      <c r="D52" s="90">
        <f>C52*D51</f>
        <v>936.64869801692805</v>
      </c>
      <c r="E52" s="96"/>
      <c r="F52" s="95">
        <f>Rates!F90</f>
        <v>0.13</v>
      </c>
      <c r="G52" s="90">
        <f>F52*G51</f>
        <v>937.93694066342402</v>
      </c>
      <c r="H52" s="90">
        <f t="shared" si="0"/>
        <v>1.2882426464959735</v>
      </c>
      <c r="I52" s="91">
        <f t="shared" si="7"/>
        <v>1.3753744058187876E-3</v>
      </c>
      <c r="J52" s="92">
        <f t="shared" si="1"/>
        <v>0.11504424778761062</v>
      </c>
    </row>
    <row r="53" spans="1:10" ht="12.75" thickBot="1" x14ac:dyDescent="0.25">
      <c r="A53" s="81" t="s">
        <v>33</v>
      </c>
      <c r="B53" s="82"/>
      <c r="C53" s="83"/>
      <c r="D53" s="104">
        <f>D51+D52</f>
        <v>8141.6386827625283</v>
      </c>
      <c r="E53" s="83"/>
      <c r="F53" s="83"/>
      <c r="G53" s="104">
        <f>G51+G52</f>
        <v>8152.8364842282244</v>
      </c>
      <c r="H53" s="104">
        <f t="shared" si="0"/>
        <v>11.197801465696102</v>
      </c>
      <c r="I53" s="85">
        <f t="shared" si="7"/>
        <v>1.3753744058188286E-3</v>
      </c>
      <c r="J53" s="86">
        <f t="shared" si="1"/>
        <v>1</v>
      </c>
    </row>
  </sheetData>
  <mergeCells count="4">
    <mergeCell ref="A25:A26"/>
    <mergeCell ref="B25:B26"/>
    <mergeCell ref="E25:E26"/>
    <mergeCell ref="H25:J25"/>
  </mergeCells>
  <phoneticPr fontId="2" type="noConversion"/>
  <pageMargins left="0.75" right="0.75" top="1" bottom="1" header="0.5" footer="0.5"/>
  <pageSetup scale="69" orientation="landscape" verticalDpi="1200" r:id="rId1"/>
  <headerFooter alignWithMargins="0">
    <oddHeader>&amp;C&amp;"Arial,Bold"&amp;16Electricity Distribution Impacts
Rates Effective January 1, 2013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3"/>
  <sheetViews>
    <sheetView topLeftCell="A13" zoomScaleNormal="100" workbookViewId="0">
      <selection activeCell="A62" sqref="A62"/>
    </sheetView>
  </sheetViews>
  <sheetFormatPr defaultRowHeight="12" x14ac:dyDescent="0.2"/>
  <cols>
    <col min="1" max="1" width="83.7109375" style="8" bestFit="1" customWidth="1"/>
    <col min="2" max="2" width="9" style="11" bestFit="1" customWidth="1"/>
    <col min="3" max="3" width="9.85546875" style="8" bestFit="1" customWidth="1"/>
    <col min="4" max="4" width="10.28515625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1" width="3" style="8" customWidth="1"/>
    <col min="12" max="16384" width="9.140625" style="8"/>
  </cols>
  <sheetData>
    <row r="2" spans="1:4" ht="12.75" thickBot="1" x14ac:dyDescent="0.25"/>
    <row r="3" spans="1:4" ht="36.75" thickBot="1" x14ac:dyDescent="0.25">
      <c r="A3" s="14" t="str">
        <f>Rates!A64</f>
        <v>Street Lighting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Rates!A44</f>
        <v>Monthly Service Charge</v>
      </c>
      <c r="B4" s="24" t="str">
        <f>Rates!B65</f>
        <v>$</v>
      </c>
      <c r="C4" s="25">
        <f>Rates!D65</f>
        <v>0.96</v>
      </c>
      <c r="D4" s="26">
        <f>Rates!F65</f>
        <v>0.97</v>
      </c>
    </row>
    <row r="5" spans="1:4" x14ac:dyDescent="0.2">
      <c r="A5" s="27" t="str">
        <f>Rates!A45</f>
        <v>Smart Meter Rate Adder</v>
      </c>
      <c r="B5" s="28" t="str">
        <f>Rates!B66</f>
        <v>$</v>
      </c>
      <c r="C5" s="29">
        <f>Rates!D66</f>
        <v>0</v>
      </c>
      <c r="D5" s="30">
        <f>Rates!F66</f>
        <v>0</v>
      </c>
    </row>
    <row r="6" spans="1:4" x14ac:dyDescent="0.2">
      <c r="A6" s="27" t="str">
        <f>Rates!A46</f>
        <v>Distribution Volumetric Rate</v>
      </c>
      <c r="B6" s="28" t="str">
        <f>Rates!B67</f>
        <v>$/kWh</v>
      </c>
      <c r="C6" s="31">
        <f>Rates!D67</f>
        <v>0.15429999999999999</v>
      </c>
      <c r="D6" s="32">
        <f>Rates!F67</f>
        <v>0.15570000000000001</v>
      </c>
    </row>
    <row r="7" spans="1:4" x14ac:dyDescent="0.2">
      <c r="A7" s="27" t="str">
        <f>Rates!A68</f>
        <v>Rate Rider for Foregone Revenue Recovery - effective until December 31, 2012</v>
      </c>
      <c r="B7" s="28" t="str">
        <f>Rates!B68</f>
        <v>$/kWh</v>
      </c>
      <c r="C7" s="31">
        <f>Rates!D68</f>
        <v>1E-4</v>
      </c>
      <c r="D7" s="32">
        <f>Rates!F68</f>
        <v>0</v>
      </c>
    </row>
    <row r="8" spans="1:4" x14ac:dyDescent="0.2">
      <c r="A8" s="27" t="str">
        <f>Rates!A69</f>
        <v>Rate Rider for Deferral/Variance Account Disposition - effective until May 31, 2013</v>
      </c>
      <c r="B8" s="28" t="str">
        <f>Rates!B69</f>
        <v>$/kWh</v>
      </c>
      <c r="C8" s="31">
        <f>Rates!D69</f>
        <v>4.7999999999999996E-3</v>
      </c>
      <c r="D8" s="32">
        <f>Rates!F69</f>
        <v>4.7999999999999996E-3</v>
      </c>
    </row>
    <row r="9" spans="1:4" x14ac:dyDescent="0.2">
      <c r="A9" s="27" t="str">
        <f>Rates!A70</f>
        <v>Rate Rider for Deferral/Variance Account Disposition - effective until May 31, 2013</v>
      </c>
      <c r="B9" s="28" t="str">
        <f>Rates!B70</f>
        <v>$/kWh</v>
      </c>
      <c r="C9" s="31">
        <f>Rates!D70</f>
        <v>-6.1000000000000004E-3</v>
      </c>
      <c r="D9" s="32">
        <f>Rates!F70</f>
        <v>-6.1000000000000004E-3</v>
      </c>
    </row>
    <row r="10" spans="1:4" x14ac:dyDescent="0.2">
      <c r="A10" s="27" t="str">
        <f>Rates!A71</f>
        <v>Rate Rider for Deferral/Variance Account Disposition (2012) - effective until December 31, 2013</v>
      </c>
      <c r="B10" s="28" t="str">
        <f>Rates!B71</f>
        <v>$/kWh</v>
      </c>
      <c r="C10" s="31">
        <f>Rates!D71</f>
        <v>0</v>
      </c>
      <c r="D10" s="32">
        <f>Rates!F71</f>
        <v>-6.9999999999999999E-4</v>
      </c>
    </row>
    <row r="11" spans="1:4" x14ac:dyDescent="0.2">
      <c r="A11" s="27" t="str">
        <f>Rates!A72</f>
        <v>Rate Rider for Global Adjustment Sub-Account Disposition (2012) - effective until December 31, 2013</v>
      </c>
      <c r="B11" s="28" t="str">
        <f>Rates!B72</f>
        <v>$/kWh</v>
      </c>
      <c r="C11" s="31">
        <f>Rates!D72</f>
        <v>0</v>
      </c>
      <c r="D11" s="32">
        <f>Rates!F72</f>
        <v>1.1000000000000001E-3</v>
      </c>
    </row>
    <row r="12" spans="1:4" x14ac:dyDescent="0.2">
      <c r="A12" s="27" t="str">
        <f>Rates!A73</f>
        <v>Rate Rider for PILs - effective until December 31, 2013</v>
      </c>
      <c r="B12" s="28" t="str">
        <f>Rates!B73</f>
        <v>$/kWh</v>
      </c>
      <c r="C12" s="31">
        <f>Rates!D73</f>
        <v>0</v>
      </c>
      <c r="D12" s="32">
        <f>Rates!F73</f>
        <v>0</v>
      </c>
    </row>
    <row r="13" spans="1:4" x14ac:dyDescent="0.2">
      <c r="A13" s="27" t="str">
        <f>Rates!A74</f>
        <v>Rate Rider for Tax Changes - effective until December 31, 2012</v>
      </c>
      <c r="B13" s="28" t="str">
        <f>Rates!B74</f>
        <v>$/kWh</v>
      </c>
      <c r="C13" s="31">
        <f>Rates!D74</f>
        <v>-2.0000000000000001E-4</v>
      </c>
      <c r="D13" s="32">
        <f>Rates!F74</f>
        <v>-2.0000000000000001E-4</v>
      </c>
    </row>
    <row r="14" spans="1:4" x14ac:dyDescent="0.2">
      <c r="A14" s="27" t="str">
        <f>Rates!A75</f>
        <v>Retail Transmission Rate - Network Service Rate</v>
      </c>
      <c r="B14" s="28" t="str">
        <f>Rates!B75</f>
        <v>$/kW</v>
      </c>
      <c r="C14" s="31">
        <f>Rates!D75</f>
        <v>1.9906999999999999</v>
      </c>
      <c r="D14" s="32">
        <f>Rates!F75</f>
        <v>1.9012</v>
      </c>
    </row>
    <row r="15" spans="1:4" x14ac:dyDescent="0.2">
      <c r="A15" s="27" t="str">
        <f>Rates!A76</f>
        <v>Retail Transmission Rate - Line and Transformation Connection Service Rate</v>
      </c>
      <c r="B15" s="28" t="str">
        <f>Rates!B76</f>
        <v>$/kW</v>
      </c>
      <c r="C15" s="31">
        <f>Rates!D76</f>
        <v>1.3992</v>
      </c>
      <c r="D15" s="32">
        <f>Rates!F76</f>
        <v>1.3680000000000001</v>
      </c>
    </row>
    <row r="16" spans="1:4" x14ac:dyDescent="0.2">
      <c r="A16" s="27" t="str">
        <f>Rates!A77</f>
        <v>Wholesale Market Service Rate</v>
      </c>
      <c r="B16" s="28" t="str">
        <f>Rates!B77</f>
        <v>$/kWh</v>
      </c>
      <c r="C16" s="31">
        <f>Rates!D77</f>
        <v>5.1999999999999998E-3</v>
      </c>
      <c r="D16" s="32">
        <f>Rates!F77</f>
        <v>5.1999999999999998E-3</v>
      </c>
    </row>
    <row r="17" spans="1:10" x14ac:dyDescent="0.2">
      <c r="A17" s="27" t="str">
        <f>Rates!A78</f>
        <v>Rural Rate Protection Charge</v>
      </c>
      <c r="B17" s="28" t="str">
        <f>Rates!B78</f>
        <v>$/kWh</v>
      </c>
      <c r="C17" s="31">
        <f>Rates!D78</f>
        <v>1.1000000000000001E-3</v>
      </c>
      <c r="D17" s="32">
        <f>Rates!F78</f>
        <v>1.1000000000000001E-3</v>
      </c>
    </row>
    <row r="18" spans="1:10" x14ac:dyDescent="0.2">
      <c r="A18" s="27" t="str">
        <f>Rates!A79</f>
        <v>Special Purpose Charge</v>
      </c>
      <c r="B18" s="28" t="str">
        <f>Rates!B79</f>
        <v>$/kWh</v>
      </c>
      <c r="C18" s="31">
        <f>Rates!D79</f>
        <v>0</v>
      </c>
      <c r="D18" s="32">
        <f>Rates!F79</f>
        <v>0</v>
      </c>
    </row>
    <row r="19" spans="1:10" ht="12.75" thickBot="1" x14ac:dyDescent="0.25">
      <c r="A19" s="12" t="str">
        <f>Rates!A80</f>
        <v>Standard Supply Service - Administarive Charge (if applicable)</v>
      </c>
      <c r="B19" s="17" t="str">
        <f>Rates!B80</f>
        <v>$</v>
      </c>
      <c r="C19" s="18">
        <f>Rates!D80</f>
        <v>0.25</v>
      </c>
      <c r="D19" s="13">
        <f>Rates!F80</f>
        <v>0.25</v>
      </c>
    </row>
    <row r="21" spans="1:10" ht="12.75" thickBot="1" x14ac:dyDescent="0.25"/>
    <row r="22" spans="1:10" ht="13.5" thickBot="1" x14ac:dyDescent="0.25">
      <c r="A22" s="33" t="s">
        <v>26</v>
      </c>
      <c r="B22" s="34">
        <v>25000</v>
      </c>
      <c r="C22" s="35" t="s">
        <v>27</v>
      </c>
      <c r="D22" s="36">
        <v>71.459999999999994</v>
      </c>
      <c r="E22" s="35" t="s">
        <v>28</v>
      </c>
      <c r="G22" s="37" t="s">
        <v>23</v>
      </c>
      <c r="H22" s="53">
        <f>Rates!F89</f>
        <v>1.0864</v>
      </c>
    </row>
    <row r="23" spans="1:10" ht="13.5" thickBot="1" x14ac:dyDescent="0.25">
      <c r="A23" s="33" t="s">
        <v>29</v>
      </c>
      <c r="B23" s="34">
        <v>750</v>
      </c>
      <c r="C23" s="35" t="s">
        <v>27</v>
      </c>
      <c r="D23" s="37" t="s">
        <v>30</v>
      </c>
      <c r="E23" s="98">
        <f>IF(D22&gt;0,B22/(D22*24*30.4)," ")</f>
        <v>0.47950393055125928</v>
      </c>
    </row>
    <row r="24" spans="1:10" ht="12.75" thickBot="1" x14ac:dyDescent="0.25"/>
    <row r="25" spans="1:10" ht="12.75" customHeight="1" x14ac:dyDescent="0.2">
      <c r="A25" s="149" t="str">
        <f>A3</f>
        <v>Street Lighting</v>
      </c>
      <c r="B25" s="151" t="s">
        <v>31</v>
      </c>
      <c r="C25" s="142" t="s">
        <v>37</v>
      </c>
      <c r="D25" s="142" t="s">
        <v>38</v>
      </c>
      <c r="E25" s="151" t="s">
        <v>31</v>
      </c>
      <c r="F25" s="142" t="s">
        <v>37</v>
      </c>
      <c r="G25" s="142" t="s">
        <v>38</v>
      </c>
      <c r="H25" s="153" t="s">
        <v>44</v>
      </c>
      <c r="I25" s="153"/>
      <c r="J25" s="154"/>
    </row>
    <row r="26" spans="1:10" ht="12.75" thickBot="1" x14ac:dyDescent="0.25">
      <c r="A26" s="150"/>
      <c r="B26" s="152"/>
      <c r="C26" s="50" t="s">
        <v>15</v>
      </c>
      <c r="D26" s="50" t="s">
        <v>15</v>
      </c>
      <c r="E26" s="152"/>
      <c r="F26" s="50" t="s">
        <v>15</v>
      </c>
      <c r="G26" s="50" t="s">
        <v>15</v>
      </c>
      <c r="H26" s="50" t="s">
        <v>15</v>
      </c>
      <c r="I26" s="51" t="s">
        <v>22</v>
      </c>
      <c r="J26" s="52" t="s">
        <v>34</v>
      </c>
    </row>
    <row r="27" spans="1:10" x14ac:dyDescent="0.2">
      <c r="A27" s="54" t="s">
        <v>35</v>
      </c>
      <c r="B27" s="55">
        <f>IF(B22*Rates!D89&gt;B23,B23,B22*Rates!D89)</f>
        <v>750</v>
      </c>
      <c r="C27" s="56">
        <f>Rates!D84</f>
        <v>7.4999999999999997E-2</v>
      </c>
      <c r="D27" s="58">
        <f>B27*C27</f>
        <v>56.25</v>
      </c>
      <c r="E27" s="55">
        <f>IF(B22*H22&gt;B23,B23,B22*H22)</f>
        <v>750</v>
      </c>
      <c r="F27" s="56">
        <f>Rates!F84</f>
        <v>7.4999999999999997E-2</v>
      </c>
      <c r="G27" s="58">
        <f>E27*F27</f>
        <v>56.25</v>
      </c>
      <c r="H27" s="58">
        <f t="shared" ref="H27:H53" si="0">G27-D27</f>
        <v>0</v>
      </c>
      <c r="I27" s="59">
        <f>IF(ISERROR(H27/D27),1,H27/D27)</f>
        <v>0</v>
      </c>
      <c r="J27" s="60">
        <f t="shared" ref="J27:J53" si="1">IF(ISERROR(G27/G$53),0,G27/G$53)</f>
        <v>6.8732414944129372E-3</v>
      </c>
    </row>
    <row r="28" spans="1:10" ht="12.75" thickBot="1" x14ac:dyDescent="0.25">
      <c r="A28" s="63" t="s">
        <v>36</v>
      </c>
      <c r="B28" s="64">
        <f>IF(B22*Rates!D89&gt;=B23,B22*Rates!D89-B23,0)</f>
        <v>26410</v>
      </c>
      <c r="C28" s="65">
        <f>Rates!D85</f>
        <v>8.7999999999999995E-2</v>
      </c>
      <c r="D28" s="66">
        <f>B28*C28</f>
        <v>2324.08</v>
      </c>
      <c r="E28" s="64">
        <f>IF(B22*H22&gt;=B23,B22*H22-B23,0)</f>
        <v>26410</v>
      </c>
      <c r="F28" s="65">
        <f>Rates!F85</f>
        <v>8.7999999999999995E-2</v>
      </c>
      <c r="G28" s="66">
        <f>E28*F28</f>
        <v>2324.08</v>
      </c>
      <c r="H28" s="66">
        <f t="shared" si="0"/>
        <v>0</v>
      </c>
      <c r="I28" s="67">
        <f>IF(ISERROR(H28/D28),0,H28/D28)</f>
        <v>0</v>
      </c>
      <c r="J28" s="68">
        <f t="shared" si="1"/>
        <v>0.28398156608595942</v>
      </c>
    </row>
    <row r="29" spans="1:10" ht="12.75" thickBot="1" x14ac:dyDescent="0.25">
      <c r="A29" s="73" t="s">
        <v>39</v>
      </c>
      <c r="B29" s="74"/>
      <c r="C29" s="75"/>
      <c r="D29" s="76">
        <f>SUM(D27:D28)</f>
        <v>2380.33</v>
      </c>
      <c r="E29" s="75"/>
      <c r="F29" s="75"/>
      <c r="G29" s="76">
        <f>SUM(G27:G28)</f>
        <v>2380.33</v>
      </c>
      <c r="H29" s="76">
        <f t="shared" si="0"/>
        <v>0</v>
      </c>
      <c r="I29" s="77">
        <f>IF(ISERROR(H29/D29),0,H29/D29)</f>
        <v>0</v>
      </c>
      <c r="J29" s="78">
        <f t="shared" si="1"/>
        <v>0.29085480758037241</v>
      </c>
    </row>
    <row r="30" spans="1:10" x14ac:dyDescent="0.2">
      <c r="A30" s="69" t="str">
        <f t="shared" ref="A30:A35" si="2">A4</f>
        <v>Monthly Service Charge</v>
      </c>
      <c r="B30" s="70">
        <v>428</v>
      </c>
      <c r="C30" s="46">
        <f t="shared" ref="C30:C35" si="3">C4</f>
        <v>0.96</v>
      </c>
      <c r="D30" s="46">
        <f t="shared" ref="D30:D39" si="4">B30*C30</f>
        <v>410.88</v>
      </c>
      <c r="E30" s="71">
        <f>B30</f>
        <v>428</v>
      </c>
      <c r="F30" s="47">
        <f t="shared" ref="F30:F35" si="5">D4</f>
        <v>0.97</v>
      </c>
      <c r="G30" s="47">
        <f t="shared" ref="G30:G39" si="6">E30*F30</f>
        <v>415.15999999999997</v>
      </c>
      <c r="H30" s="47">
        <f t="shared" si="0"/>
        <v>4.2799999999999727</v>
      </c>
      <c r="I30" s="48">
        <f>IF(ISERROR(H30/D30),0,H30/D30)</f>
        <v>1.04166666666666E-2</v>
      </c>
      <c r="J30" s="72">
        <f t="shared" si="1"/>
        <v>5.0728798912363995E-2</v>
      </c>
    </row>
    <row r="31" spans="1:10" x14ac:dyDescent="0.2">
      <c r="A31" s="61" t="str">
        <f t="shared" si="2"/>
        <v>Smart Meter Rate Adder</v>
      </c>
      <c r="B31" s="43">
        <f>B30</f>
        <v>428</v>
      </c>
      <c r="C31" s="41">
        <f t="shared" si="3"/>
        <v>0</v>
      </c>
      <c r="D31" s="41">
        <f t="shared" si="4"/>
        <v>0</v>
      </c>
      <c r="E31" s="43">
        <f>B31</f>
        <v>428</v>
      </c>
      <c r="F31" s="41">
        <f t="shared" si="5"/>
        <v>0</v>
      </c>
      <c r="G31" s="41">
        <f t="shared" si="6"/>
        <v>0</v>
      </c>
      <c r="H31" s="41">
        <f t="shared" si="0"/>
        <v>0</v>
      </c>
      <c r="I31" s="42">
        <f>IF(ISERROR(H31/D31),0,H31/D31)</f>
        <v>0</v>
      </c>
      <c r="J31" s="62">
        <f t="shared" si="1"/>
        <v>0</v>
      </c>
    </row>
    <row r="32" spans="1:10" x14ac:dyDescent="0.2">
      <c r="A32" s="61" t="str">
        <f t="shared" si="2"/>
        <v>Distribution Volumetric Rate</v>
      </c>
      <c r="B32" s="43">
        <f>B22</f>
        <v>25000</v>
      </c>
      <c r="C32" s="40">
        <f t="shared" si="3"/>
        <v>0.15429999999999999</v>
      </c>
      <c r="D32" s="41">
        <f t="shared" si="4"/>
        <v>3857.5</v>
      </c>
      <c r="E32" s="43">
        <f>B22</f>
        <v>25000</v>
      </c>
      <c r="F32" s="40">
        <f t="shared" si="5"/>
        <v>0.15570000000000001</v>
      </c>
      <c r="G32" s="41">
        <f t="shared" si="6"/>
        <v>3892.5</v>
      </c>
      <c r="H32" s="41">
        <f t="shared" si="0"/>
        <v>35</v>
      </c>
      <c r="I32" s="42">
        <f t="shared" ref="I32:I53" si="7">IF(ISERROR(H32/D32),0,H32/D32)</f>
        <v>9.0732339598185354E-3</v>
      </c>
      <c r="J32" s="62">
        <f t="shared" si="1"/>
        <v>0.47562831141337525</v>
      </c>
    </row>
    <row r="33" spans="1:10" x14ac:dyDescent="0.2">
      <c r="A33" s="61" t="str">
        <f t="shared" si="2"/>
        <v>Rate Rider for Foregone Revenue Recovery - effective until December 31, 2012</v>
      </c>
      <c r="B33" s="43">
        <f>B22</f>
        <v>25000</v>
      </c>
      <c r="C33" s="40">
        <f t="shared" si="3"/>
        <v>1E-4</v>
      </c>
      <c r="D33" s="41">
        <f t="shared" si="4"/>
        <v>2.5</v>
      </c>
      <c r="E33" s="43">
        <f>B22</f>
        <v>25000</v>
      </c>
      <c r="F33" s="40">
        <f t="shared" si="5"/>
        <v>0</v>
      </c>
      <c r="G33" s="41">
        <f>E33*F33</f>
        <v>0</v>
      </c>
      <c r="H33" s="41">
        <f>G33-D33</f>
        <v>-2.5</v>
      </c>
      <c r="I33" s="42">
        <f>IF(ISERROR(H33/D33),0,H33/D33)</f>
        <v>-1</v>
      </c>
      <c r="J33" s="62">
        <f t="shared" si="1"/>
        <v>0</v>
      </c>
    </row>
    <row r="34" spans="1:10" x14ac:dyDescent="0.2">
      <c r="A34" s="61" t="str">
        <f t="shared" si="2"/>
        <v>Rate Rider for Deferral/Variance Account Disposition - effective until May 31, 2013</v>
      </c>
      <c r="B34" s="43">
        <f>B22</f>
        <v>25000</v>
      </c>
      <c r="C34" s="40">
        <f t="shared" si="3"/>
        <v>4.7999999999999996E-3</v>
      </c>
      <c r="D34" s="41">
        <f t="shared" si="4"/>
        <v>119.99999999999999</v>
      </c>
      <c r="E34" s="43">
        <f>B22</f>
        <v>25000</v>
      </c>
      <c r="F34" s="40">
        <f t="shared" si="5"/>
        <v>4.7999999999999996E-3</v>
      </c>
      <c r="G34" s="41">
        <f t="shared" si="6"/>
        <v>119.99999999999999</v>
      </c>
      <c r="H34" s="41">
        <f t="shared" si="0"/>
        <v>0</v>
      </c>
      <c r="I34" s="42">
        <f t="shared" si="7"/>
        <v>0</v>
      </c>
      <c r="J34" s="62">
        <f t="shared" si="1"/>
        <v>1.4662915188080931E-2</v>
      </c>
    </row>
    <row r="35" spans="1:10" x14ac:dyDescent="0.2">
      <c r="A35" s="61" t="str">
        <f t="shared" si="2"/>
        <v>Rate Rider for Deferral/Variance Account Disposition - effective until May 31, 2013</v>
      </c>
      <c r="B35" s="43">
        <f>B22</f>
        <v>25000</v>
      </c>
      <c r="C35" s="40">
        <f t="shared" si="3"/>
        <v>-6.1000000000000004E-3</v>
      </c>
      <c r="D35" s="41">
        <f t="shared" si="4"/>
        <v>-152.5</v>
      </c>
      <c r="E35" s="43">
        <f>B22</f>
        <v>25000</v>
      </c>
      <c r="F35" s="40">
        <f t="shared" si="5"/>
        <v>-6.1000000000000004E-3</v>
      </c>
      <c r="G35" s="41">
        <f>E35*F35</f>
        <v>-152.5</v>
      </c>
      <c r="H35" s="41">
        <f>G35-D35</f>
        <v>0</v>
      </c>
      <c r="I35" s="42">
        <f>IF(ISERROR(H35/D35),0,H35/D35)</f>
        <v>0</v>
      </c>
      <c r="J35" s="62">
        <f t="shared" si="1"/>
        <v>-1.8634121384852851E-2</v>
      </c>
    </row>
    <row r="36" spans="1:10" x14ac:dyDescent="0.2">
      <c r="A36" s="61" t="str">
        <f>A10</f>
        <v>Rate Rider for Deferral/Variance Account Disposition (2012) - effective until December 31, 2013</v>
      </c>
      <c r="B36" s="43">
        <f>B22</f>
        <v>25000</v>
      </c>
      <c r="C36" s="40">
        <f>C10</f>
        <v>0</v>
      </c>
      <c r="D36" s="41">
        <f t="shared" si="4"/>
        <v>0</v>
      </c>
      <c r="E36" s="43">
        <f>B22</f>
        <v>25000</v>
      </c>
      <c r="F36" s="40">
        <f>D10</f>
        <v>-6.9999999999999999E-4</v>
      </c>
      <c r="G36" s="41">
        <f>E36*F36</f>
        <v>-17.5</v>
      </c>
      <c r="H36" s="41">
        <f>G36-D36</f>
        <v>-17.5</v>
      </c>
      <c r="I36" s="42">
        <f>IF(ISERROR(H36/D36),0,H36/D36)</f>
        <v>0</v>
      </c>
      <c r="J36" s="62">
        <f t="shared" si="1"/>
        <v>-2.1383417982618028E-3</v>
      </c>
    </row>
    <row r="37" spans="1:10" x14ac:dyDescent="0.2">
      <c r="A37" s="61" t="str">
        <f>A11</f>
        <v>Rate Rider for Global Adjustment Sub-Account Disposition (2012) - effective until December 31, 2013</v>
      </c>
      <c r="B37" s="43">
        <f>B22</f>
        <v>25000</v>
      </c>
      <c r="C37" s="40">
        <f>C11</f>
        <v>0</v>
      </c>
      <c r="D37" s="41">
        <f t="shared" si="4"/>
        <v>0</v>
      </c>
      <c r="E37" s="43">
        <f>B22</f>
        <v>25000</v>
      </c>
      <c r="F37" s="40">
        <f>D11</f>
        <v>1.1000000000000001E-3</v>
      </c>
      <c r="G37" s="41">
        <f>E37*F37</f>
        <v>27.5</v>
      </c>
      <c r="H37" s="41">
        <f>G37-D37</f>
        <v>27.5</v>
      </c>
      <c r="I37" s="42">
        <f>IF(ISERROR(H37/D37),0,H37/D37)</f>
        <v>0</v>
      </c>
      <c r="J37" s="62">
        <f t="shared" si="1"/>
        <v>3.3602513972685473E-3</v>
      </c>
    </row>
    <row r="38" spans="1:10" x14ac:dyDescent="0.2">
      <c r="A38" s="61" t="str">
        <f>A12</f>
        <v>Rate Rider for PILs - effective until December 31, 2013</v>
      </c>
      <c r="B38" s="43">
        <f>B22</f>
        <v>25000</v>
      </c>
      <c r="C38" s="40">
        <f>C12</f>
        <v>0</v>
      </c>
      <c r="D38" s="41">
        <f t="shared" si="4"/>
        <v>0</v>
      </c>
      <c r="E38" s="43">
        <f>B22</f>
        <v>25000</v>
      </c>
      <c r="F38" s="40">
        <f>D12</f>
        <v>0</v>
      </c>
      <c r="G38" s="41">
        <f>E38*F38</f>
        <v>0</v>
      </c>
      <c r="H38" s="41">
        <f>G38-D38</f>
        <v>0</v>
      </c>
      <c r="I38" s="42">
        <f>IF(ISERROR(H38/D38),0,H38/D38)</f>
        <v>0</v>
      </c>
      <c r="J38" s="62">
        <f t="shared" si="1"/>
        <v>0</v>
      </c>
    </row>
    <row r="39" spans="1:10" ht="12.75" thickBot="1" x14ac:dyDescent="0.25">
      <c r="A39" s="61" t="str">
        <f t="shared" ref="A39" si="8">A13</f>
        <v>Rate Rider for Tax Changes - effective until December 31, 2012</v>
      </c>
      <c r="B39" s="43">
        <f>B22</f>
        <v>25000</v>
      </c>
      <c r="C39" s="40">
        <f t="shared" ref="C39" si="9">C13</f>
        <v>-2.0000000000000001E-4</v>
      </c>
      <c r="D39" s="41">
        <f t="shared" si="4"/>
        <v>-5</v>
      </c>
      <c r="E39" s="43">
        <f>B22</f>
        <v>25000</v>
      </c>
      <c r="F39" s="40">
        <f t="shared" ref="F39" si="10">D13</f>
        <v>-2.0000000000000001E-4</v>
      </c>
      <c r="G39" s="41">
        <f t="shared" si="6"/>
        <v>-5</v>
      </c>
      <c r="H39" s="41">
        <f t="shared" si="0"/>
        <v>0</v>
      </c>
      <c r="I39" s="42">
        <f t="shared" si="7"/>
        <v>0</v>
      </c>
      <c r="J39" s="62">
        <f t="shared" si="1"/>
        <v>-6.1095479950337218E-4</v>
      </c>
    </row>
    <row r="40" spans="1:10" ht="12.75" thickBot="1" x14ac:dyDescent="0.25">
      <c r="A40" s="73" t="s">
        <v>40</v>
      </c>
      <c r="B40" s="74"/>
      <c r="C40" s="75"/>
      <c r="D40" s="76">
        <f>SUM(D30:D39)</f>
        <v>4233.38</v>
      </c>
      <c r="E40" s="75"/>
      <c r="F40" s="75"/>
      <c r="G40" s="76">
        <f>SUM(G30:G39)</f>
        <v>4280.16</v>
      </c>
      <c r="H40" s="76">
        <f t="shared" si="0"/>
        <v>46.779999999999745</v>
      </c>
      <c r="I40" s="77">
        <f t="shared" si="7"/>
        <v>1.1050271886766543E-2</v>
      </c>
      <c r="J40" s="78">
        <f t="shared" si="1"/>
        <v>0.5229968589284707</v>
      </c>
    </row>
    <row r="41" spans="1:10" x14ac:dyDescent="0.2">
      <c r="A41" s="69" t="str">
        <f>A14</f>
        <v>Retail Transmission Rate - Network Service Rate</v>
      </c>
      <c r="B41" s="99">
        <f>D22*Rates!D89</f>
        <v>77.634143999999992</v>
      </c>
      <c r="C41" s="45">
        <f>C14</f>
        <v>1.9906999999999999</v>
      </c>
      <c r="D41" s="47">
        <f>B41*C41</f>
        <v>154.54629046079998</v>
      </c>
      <c r="E41" s="99">
        <f>D22*H22</f>
        <v>77.634143999999992</v>
      </c>
      <c r="F41" s="45">
        <f>D14</f>
        <v>1.9012</v>
      </c>
      <c r="G41" s="47">
        <f>E41*F41</f>
        <v>147.59803457279997</v>
      </c>
      <c r="H41" s="47">
        <f t="shared" si="0"/>
        <v>-6.9482558880000056</v>
      </c>
      <c r="I41" s="48">
        <f t="shared" si="7"/>
        <v>-4.4959059627266831E-2</v>
      </c>
      <c r="J41" s="72">
        <f t="shared" si="1"/>
        <v>1.8035145523903361E-2</v>
      </c>
    </row>
    <row r="42" spans="1:10" ht="12.75" thickBot="1" x14ac:dyDescent="0.25">
      <c r="A42" s="63" t="str">
        <f>A15</f>
        <v>Retail Transmission Rate - Line and Transformation Connection Service Rate</v>
      </c>
      <c r="B42" s="100">
        <f>D22*Rates!D89</f>
        <v>77.634143999999992</v>
      </c>
      <c r="C42" s="65">
        <f>C15</f>
        <v>1.3992</v>
      </c>
      <c r="D42" s="66">
        <f>B42*C42</f>
        <v>108.62569428479999</v>
      </c>
      <c r="E42" s="100">
        <f>D22*H22</f>
        <v>77.634143999999992</v>
      </c>
      <c r="F42" s="65">
        <f>D15</f>
        <v>1.3680000000000001</v>
      </c>
      <c r="G42" s="66">
        <f>E42*F42</f>
        <v>106.203508992</v>
      </c>
      <c r="H42" s="66">
        <f t="shared" si="0"/>
        <v>-2.4221852927999947</v>
      </c>
      <c r="I42" s="67">
        <f t="shared" si="7"/>
        <v>-2.2298456260720367E-2</v>
      </c>
      <c r="J42" s="68">
        <f t="shared" si="1"/>
        <v>1.297710870855239E-2</v>
      </c>
    </row>
    <row r="43" spans="1:10" ht="12.75" thickBot="1" x14ac:dyDescent="0.25">
      <c r="A43" s="73" t="s">
        <v>32</v>
      </c>
      <c r="B43" s="74"/>
      <c r="C43" s="75"/>
      <c r="D43" s="76">
        <f>SUM(D41:D42)</f>
        <v>263.17198474559996</v>
      </c>
      <c r="E43" s="75"/>
      <c r="F43" s="75"/>
      <c r="G43" s="76">
        <f>SUM(G41:G42)</f>
        <v>253.80154356479997</v>
      </c>
      <c r="H43" s="76">
        <f t="shared" si="0"/>
        <v>-9.3704411807999861</v>
      </c>
      <c r="I43" s="77">
        <f t="shared" si="7"/>
        <v>-3.5605770081713277E-2</v>
      </c>
      <c r="J43" s="78">
        <f t="shared" si="1"/>
        <v>3.1012254232455752E-2</v>
      </c>
    </row>
    <row r="44" spans="1:10" ht="12.75" thickBot="1" x14ac:dyDescent="0.25">
      <c r="A44" s="81" t="s">
        <v>41</v>
      </c>
      <c r="B44" s="82"/>
      <c r="C44" s="83"/>
      <c r="D44" s="84">
        <f>D40+D43</f>
        <v>4496.5519847455998</v>
      </c>
      <c r="E44" s="83"/>
      <c r="F44" s="83"/>
      <c r="G44" s="84">
        <f>G40+G43</f>
        <v>4533.9615435648002</v>
      </c>
      <c r="H44" s="84">
        <f t="shared" si="0"/>
        <v>37.409558819200356</v>
      </c>
      <c r="I44" s="85">
        <f t="shared" si="7"/>
        <v>8.319609991413646E-3</v>
      </c>
      <c r="J44" s="86">
        <f t="shared" si="1"/>
        <v>0.55400911316092649</v>
      </c>
    </row>
    <row r="45" spans="1:10" x14ac:dyDescent="0.2">
      <c r="A45" s="69" t="str">
        <f>A16</f>
        <v>Wholesale Market Service Rate</v>
      </c>
      <c r="B45" s="44">
        <f>B22*Rates!D89</f>
        <v>27160</v>
      </c>
      <c r="C45" s="45">
        <f>C16</f>
        <v>5.1999999999999998E-3</v>
      </c>
      <c r="D45" s="47">
        <f>B45*C45</f>
        <v>141.232</v>
      </c>
      <c r="E45" s="44">
        <f>B22*H22</f>
        <v>27160</v>
      </c>
      <c r="F45" s="45">
        <f>D16</f>
        <v>5.1999999999999998E-3</v>
      </c>
      <c r="G45" s="47">
        <f>E45*F45</f>
        <v>141.232</v>
      </c>
      <c r="H45" s="47">
        <f t="shared" si="0"/>
        <v>0</v>
      </c>
      <c r="I45" s="48">
        <f t="shared" si="7"/>
        <v>0</v>
      </c>
      <c r="J45" s="72">
        <f t="shared" si="1"/>
        <v>1.7257273648692052E-2</v>
      </c>
    </row>
    <row r="46" spans="1:10" x14ac:dyDescent="0.2">
      <c r="A46" s="61" t="str">
        <f>A17</f>
        <v>Rural Rate Protection Charge</v>
      </c>
      <c r="B46" s="39">
        <f>B22*Rates!D89</f>
        <v>27160</v>
      </c>
      <c r="C46" s="40">
        <f>C17</f>
        <v>1.1000000000000001E-3</v>
      </c>
      <c r="D46" s="41">
        <f>B46*C46</f>
        <v>29.876000000000001</v>
      </c>
      <c r="E46" s="39">
        <f>B22*H22</f>
        <v>27160</v>
      </c>
      <c r="F46" s="40">
        <f>D17</f>
        <v>1.1000000000000001E-3</v>
      </c>
      <c r="G46" s="41">
        <f>E46*F46</f>
        <v>29.876000000000001</v>
      </c>
      <c r="H46" s="41">
        <f t="shared" si="0"/>
        <v>0</v>
      </c>
      <c r="I46" s="42">
        <f t="shared" si="7"/>
        <v>0</v>
      </c>
      <c r="J46" s="62">
        <f t="shared" si="1"/>
        <v>3.6505771179925497E-3</v>
      </c>
    </row>
    <row r="47" spans="1:10" x14ac:dyDescent="0.2">
      <c r="A47" s="63" t="s">
        <v>45</v>
      </c>
      <c r="B47" s="64">
        <f>B22*Rates!D89</f>
        <v>27160</v>
      </c>
      <c r="C47" s="65">
        <f>Rates!D79</f>
        <v>0</v>
      </c>
      <c r="D47" s="66">
        <f>B47*C47</f>
        <v>0</v>
      </c>
      <c r="E47" s="64">
        <f>B22*Rates!F89</f>
        <v>27160</v>
      </c>
      <c r="F47" s="65">
        <f>Rates!F79</f>
        <v>0</v>
      </c>
      <c r="G47" s="66">
        <f>E47*F47</f>
        <v>0</v>
      </c>
      <c r="H47" s="41">
        <f>G47-D47</f>
        <v>0</v>
      </c>
      <c r="I47" s="42">
        <f>IF(ISERROR(H47/D47),0,H47/D47)</f>
        <v>0</v>
      </c>
      <c r="J47" s="62">
        <f t="shared" si="1"/>
        <v>0</v>
      </c>
    </row>
    <row r="48" spans="1:10" ht="12.75" thickBot="1" x14ac:dyDescent="0.25">
      <c r="A48" s="63" t="str">
        <f>A19</f>
        <v>Standard Supply Service - Administarive Charge (if applicable)</v>
      </c>
      <c r="B48" s="79">
        <f>B30</f>
        <v>428</v>
      </c>
      <c r="C48" s="66">
        <f>C19</f>
        <v>0.25</v>
      </c>
      <c r="D48" s="66">
        <f>B48*C48</f>
        <v>107</v>
      </c>
      <c r="E48" s="64">
        <f>B30</f>
        <v>428</v>
      </c>
      <c r="F48" s="66">
        <f>D19</f>
        <v>0.25</v>
      </c>
      <c r="G48" s="66">
        <f>E48*F48</f>
        <v>107</v>
      </c>
      <c r="H48" s="66">
        <f t="shared" si="0"/>
        <v>0</v>
      </c>
      <c r="I48" s="67">
        <f t="shared" si="7"/>
        <v>0</v>
      </c>
      <c r="J48" s="68">
        <f t="shared" si="1"/>
        <v>1.3074432709372166E-2</v>
      </c>
    </row>
    <row r="49" spans="1:10" ht="12.75" thickBot="1" x14ac:dyDescent="0.25">
      <c r="A49" s="73" t="s">
        <v>42</v>
      </c>
      <c r="B49" s="74"/>
      <c r="C49" s="75"/>
      <c r="D49" s="76">
        <f>SUM(D45:D48)</f>
        <v>278.108</v>
      </c>
      <c r="E49" s="75"/>
      <c r="F49" s="75"/>
      <c r="G49" s="76">
        <f>SUM(G45:G48)</f>
        <v>278.108</v>
      </c>
      <c r="H49" s="76">
        <f t="shared" si="0"/>
        <v>0</v>
      </c>
      <c r="I49" s="77">
        <f t="shared" si="7"/>
        <v>0</v>
      </c>
      <c r="J49" s="78">
        <f t="shared" si="1"/>
        <v>3.3982283476056765E-2</v>
      </c>
    </row>
    <row r="50" spans="1:10" ht="12.75" thickBot="1" x14ac:dyDescent="0.25">
      <c r="A50" s="87" t="s">
        <v>19</v>
      </c>
      <c r="B50" s="88">
        <f>B22</f>
        <v>25000</v>
      </c>
      <c r="C50" s="89">
        <f>Rates!D83</f>
        <v>2E-3</v>
      </c>
      <c r="D50" s="90">
        <f>B50*C50</f>
        <v>50</v>
      </c>
      <c r="E50" s="88">
        <f>B22</f>
        <v>25000</v>
      </c>
      <c r="F50" s="89">
        <f>Rates!F83</f>
        <v>2E-3</v>
      </c>
      <c r="G50" s="90">
        <f>E50*F50</f>
        <v>50</v>
      </c>
      <c r="H50" s="90">
        <f t="shared" si="0"/>
        <v>0</v>
      </c>
      <c r="I50" s="91">
        <f t="shared" si="7"/>
        <v>0</v>
      </c>
      <c r="J50" s="92">
        <f t="shared" si="1"/>
        <v>6.109547995033722E-3</v>
      </c>
    </row>
    <row r="51" spans="1:10" ht="12.75" thickBot="1" x14ac:dyDescent="0.25">
      <c r="A51" s="73" t="s">
        <v>43</v>
      </c>
      <c r="B51" s="74"/>
      <c r="C51" s="75"/>
      <c r="D51" s="76">
        <f>D29+D44+D49+D50</f>
        <v>7204.9899847455999</v>
      </c>
      <c r="E51" s="75"/>
      <c r="F51" s="75"/>
      <c r="G51" s="76">
        <f>G29+G44+G49+G50</f>
        <v>7242.3995435648003</v>
      </c>
      <c r="H51" s="76">
        <f t="shared" si="0"/>
        <v>37.409558819200356</v>
      </c>
      <c r="I51" s="77">
        <f t="shared" si="7"/>
        <v>5.1921736044607762E-3</v>
      </c>
      <c r="J51" s="78">
        <f t="shared" si="1"/>
        <v>0.88495575221238942</v>
      </c>
    </row>
    <row r="52" spans="1:10" ht="12.75" thickBot="1" x14ac:dyDescent="0.25">
      <c r="A52" s="93" t="s">
        <v>46</v>
      </c>
      <c r="B52" s="94"/>
      <c r="C52" s="95">
        <f>Rates!D90</f>
        <v>0.13</v>
      </c>
      <c r="D52" s="90">
        <f>C52*D51</f>
        <v>936.64869801692805</v>
      </c>
      <c r="E52" s="96"/>
      <c r="F52" s="95">
        <f>Rates!F90</f>
        <v>0.13</v>
      </c>
      <c r="G52" s="90">
        <f>F52*G51</f>
        <v>941.51194066342407</v>
      </c>
      <c r="H52" s="90">
        <f t="shared" si="0"/>
        <v>4.863242646496019</v>
      </c>
      <c r="I52" s="91">
        <f t="shared" si="7"/>
        <v>5.1921736044607467E-3</v>
      </c>
      <c r="J52" s="92">
        <f t="shared" si="1"/>
        <v>0.11504424778761062</v>
      </c>
    </row>
    <row r="53" spans="1:10" ht="12.75" thickBot="1" x14ac:dyDescent="0.25">
      <c r="A53" s="81" t="s">
        <v>33</v>
      </c>
      <c r="B53" s="82"/>
      <c r="C53" s="83"/>
      <c r="D53" s="104">
        <f>D51+D52</f>
        <v>8141.6386827625283</v>
      </c>
      <c r="E53" s="83"/>
      <c r="F53" s="83"/>
      <c r="G53" s="104">
        <f>G51+G52</f>
        <v>8183.9114842282243</v>
      </c>
      <c r="H53" s="104">
        <f t="shared" si="0"/>
        <v>42.27280146569592</v>
      </c>
      <c r="I53" s="85">
        <f t="shared" si="7"/>
        <v>5.1921736044607172E-3</v>
      </c>
      <c r="J53" s="86">
        <f t="shared" si="1"/>
        <v>1</v>
      </c>
    </row>
  </sheetData>
  <mergeCells count="4">
    <mergeCell ref="A25:A26"/>
    <mergeCell ref="B25:B26"/>
    <mergeCell ref="E25:E26"/>
    <mergeCell ref="H25:J25"/>
  </mergeCells>
  <pageMargins left="0.75" right="0.75" top="1" bottom="1" header="0.5" footer="0.5"/>
  <pageSetup scale="69" orientation="landscape" verticalDpi="1200" r:id="rId1"/>
  <headerFooter alignWithMargins="0">
    <oddHeader>&amp;C&amp;"Arial,Bold"&amp;16Electricity Distribution Impacts
Rates Effective January 1, 2013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0"/>
  <sheetViews>
    <sheetView zoomScaleNormal="100" workbookViewId="0">
      <selection activeCell="L18" sqref="L18"/>
    </sheetView>
  </sheetViews>
  <sheetFormatPr defaultRowHeight="12.75" x14ac:dyDescent="0.2"/>
  <cols>
    <col min="2" max="2" width="14.42578125" bestFit="1" customWidth="1"/>
    <col min="5" max="5" width="1.5703125" customWidth="1"/>
    <col min="6" max="7" width="9.28515625" bestFit="1" customWidth="1"/>
    <col min="9" max="9" width="1.5703125" customWidth="1"/>
    <col min="10" max="11" width="10.28515625" bestFit="1" customWidth="1"/>
  </cols>
  <sheetData>
    <row r="2" spans="2:12" ht="13.5" thickBot="1" x14ac:dyDescent="0.25"/>
    <row r="3" spans="2:12" ht="13.5" thickBot="1" x14ac:dyDescent="0.25">
      <c r="B3" s="157" t="s">
        <v>70</v>
      </c>
      <c r="C3" s="158"/>
      <c r="D3" s="158"/>
      <c r="E3" s="158"/>
      <c r="F3" s="158"/>
      <c r="G3" s="158"/>
      <c r="H3" s="158"/>
      <c r="I3" s="158"/>
      <c r="J3" s="158"/>
      <c r="K3" s="158"/>
      <c r="L3" s="159"/>
    </row>
    <row r="4" spans="2:12" x14ac:dyDescent="0.2">
      <c r="B4" s="119" t="s">
        <v>53</v>
      </c>
      <c r="C4" s="155" t="s">
        <v>54</v>
      </c>
      <c r="D4" s="155"/>
      <c r="E4" s="120"/>
      <c r="F4" s="155" t="s">
        <v>55</v>
      </c>
      <c r="G4" s="155"/>
      <c r="H4" s="155"/>
      <c r="I4" s="120"/>
      <c r="J4" s="155" t="s">
        <v>33</v>
      </c>
      <c r="K4" s="155"/>
      <c r="L4" s="156"/>
    </row>
    <row r="5" spans="2:12" x14ac:dyDescent="0.2">
      <c r="B5" s="113"/>
      <c r="C5" s="110" t="s">
        <v>27</v>
      </c>
      <c r="D5" s="110" t="s">
        <v>28</v>
      </c>
      <c r="E5" s="121"/>
      <c r="F5" s="110" t="s">
        <v>56</v>
      </c>
      <c r="G5" s="110" t="s">
        <v>57</v>
      </c>
      <c r="H5" s="110" t="s">
        <v>58</v>
      </c>
      <c r="I5" s="121"/>
      <c r="J5" s="110" t="s">
        <v>56</v>
      </c>
      <c r="K5" s="110" t="s">
        <v>57</v>
      </c>
      <c r="L5" s="114" t="s">
        <v>58</v>
      </c>
    </row>
    <row r="6" spans="2:12" x14ac:dyDescent="0.2">
      <c r="B6" s="115" t="s">
        <v>59</v>
      </c>
      <c r="C6" s="111">
        <v>800</v>
      </c>
      <c r="D6" s="111">
        <v>0</v>
      </c>
      <c r="E6" s="122"/>
      <c r="F6" s="112">
        <f>'Residential R1 Impact'!D48</f>
        <v>56.153264000000007</v>
      </c>
      <c r="G6" s="112">
        <f>'Residential R1 Impact'!G48</f>
        <v>58.765615999999994</v>
      </c>
      <c r="H6" s="143">
        <f>(G6-F6)/F6</f>
        <v>4.6521819283737213E-2</v>
      </c>
      <c r="I6" s="124"/>
      <c r="J6" s="112">
        <f>'Residential R1 Impact'!D60</f>
        <v>132.42487176000003</v>
      </c>
      <c r="K6" s="112">
        <f>'Residential R1 Impact'!G60</f>
        <v>135.08163374399999</v>
      </c>
      <c r="L6" s="145">
        <f>(K6-J6)/J6</f>
        <v>2.0062409339651349E-2</v>
      </c>
    </row>
    <row r="7" spans="2:12" x14ac:dyDescent="0.2">
      <c r="B7" s="115" t="s">
        <v>59</v>
      </c>
      <c r="C7" s="111">
        <v>2000</v>
      </c>
      <c r="D7" s="111">
        <v>0</v>
      </c>
      <c r="E7" s="122"/>
      <c r="F7" s="112">
        <f>'Residential R1 Impact (2)'!D48</f>
        <v>106.61816</v>
      </c>
      <c r="G7" s="112">
        <f>'Residential R1 Impact (2)'!G48</f>
        <v>113.74903999999998</v>
      </c>
      <c r="H7" s="143">
        <f>(G7-F7)/F7</f>
        <v>6.6882414778120125E-2</v>
      </c>
      <c r="I7" s="124"/>
      <c r="J7" s="112">
        <f>'Residential R1 Impact (2)'!D60</f>
        <v>311.21542440000007</v>
      </c>
      <c r="K7" s="112">
        <f>'Residential R1 Impact (2)'!G60</f>
        <v>318.46752935999996</v>
      </c>
      <c r="L7" s="145">
        <f>(K7-J7)/J7</f>
        <v>2.3302524204837843E-2</v>
      </c>
    </row>
    <row r="8" spans="2:12" x14ac:dyDescent="0.2">
      <c r="B8" s="115" t="s">
        <v>60</v>
      </c>
      <c r="C8" s="111">
        <v>90000</v>
      </c>
      <c r="D8" s="111">
        <v>225</v>
      </c>
      <c r="E8" s="122"/>
      <c r="F8" s="112">
        <f>'Residential R2 Impact'!D46</f>
        <v>2169.1807800000001</v>
      </c>
      <c r="G8" s="112">
        <f>'Residential R2 Impact'!G46</f>
        <v>2180.9073200000003</v>
      </c>
      <c r="H8" s="143">
        <f>(G8-F8)/F8</f>
        <v>5.405976352049419E-3</v>
      </c>
      <c r="I8" s="124"/>
      <c r="J8" s="112">
        <f>'Residential R2 Impact'!D55</f>
        <v>13062.752065399998</v>
      </c>
      <c r="K8" s="112">
        <f>'Residential R2 Impact'!G55</f>
        <v>13076.003055599998</v>
      </c>
      <c r="L8" s="145">
        <f>(K8-J8)/J8</f>
        <v>1.0144102968239564E-3</v>
      </c>
    </row>
    <row r="9" spans="2:12" x14ac:dyDescent="0.2">
      <c r="B9" s="115" t="s">
        <v>13</v>
      </c>
      <c r="C9" s="111">
        <v>287</v>
      </c>
      <c r="D9" s="111">
        <v>0</v>
      </c>
      <c r="E9" s="122"/>
      <c r="F9" s="112">
        <f>'Seasonal Impact'!D50*0.9</f>
        <v>61.360038863999996</v>
      </c>
      <c r="G9" s="112">
        <f>'Seasonal Impact'!G50*0.9</f>
        <v>75.484532015999989</v>
      </c>
      <c r="H9" s="143">
        <f>(G9-F9)/F9</f>
        <v>0.23019042056518071</v>
      </c>
      <c r="I9" s="124"/>
      <c r="J9" s="112">
        <f>'Seasonal Impact'!D62</f>
        <v>95.954866113599991</v>
      </c>
      <c r="K9" s="112">
        <f>'Seasonal Impact'!G62</f>
        <v>111.91554337535999</v>
      </c>
      <c r="L9" s="145">
        <f>(K9-J9)/J9</f>
        <v>0.16633525644092206</v>
      </c>
    </row>
    <row r="10" spans="2:12" ht="13.5" thickBot="1" x14ac:dyDescent="0.25">
      <c r="B10" s="116" t="s">
        <v>14</v>
      </c>
      <c r="C10" s="117">
        <v>25000</v>
      </c>
      <c r="D10" s="117">
        <v>71.459999999999994</v>
      </c>
      <c r="E10" s="123"/>
      <c r="F10" s="118">
        <f>'Street Light Impact'!D44</f>
        <v>4496.5519847455998</v>
      </c>
      <c r="G10" s="118">
        <f>'Street Light Impact'!G44</f>
        <v>4506.4615435648002</v>
      </c>
      <c r="H10" s="144">
        <f>(G10-F10)/F10</f>
        <v>2.2038127998560229E-3</v>
      </c>
      <c r="I10" s="125"/>
      <c r="J10" s="118">
        <f>'Street Light Impact'!D53</f>
        <v>8141.6386827625283</v>
      </c>
      <c r="K10" s="118">
        <f>'Street Light Impact'!G53</f>
        <v>8152.8364842282244</v>
      </c>
      <c r="L10" s="146">
        <f>(K10-J10)/J10</f>
        <v>1.3753744058188286E-3</v>
      </c>
    </row>
  </sheetData>
  <mergeCells count="4">
    <mergeCell ref="C4:D4"/>
    <mergeCell ref="F4:H4"/>
    <mergeCell ref="J4:L4"/>
    <mergeCell ref="B3:L3"/>
  </mergeCells>
  <pageMargins left="0.75" right="0.75" top="1" bottom="1" header="0.5" footer="0.5"/>
  <pageSetup scale="75" orientation="portrait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90"/>
  <sheetViews>
    <sheetView zoomScaleNormal="100" workbookViewId="0">
      <selection activeCell="F14" sqref="F14"/>
    </sheetView>
  </sheetViews>
  <sheetFormatPr defaultRowHeight="12.75" x14ac:dyDescent="0.2"/>
  <cols>
    <col min="1" max="1" width="95" bestFit="1" customWidth="1"/>
    <col min="2" max="2" width="6.7109375" style="2" customWidth="1"/>
    <col min="3" max="3" width="2.85546875" style="2" customWidth="1"/>
    <col min="4" max="4" width="11.28515625" bestFit="1" customWidth="1"/>
    <col min="5" max="5" width="2.85546875" customWidth="1"/>
    <col min="6" max="6" width="10.85546875" customWidth="1"/>
  </cols>
  <sheetData>
    <row r="3" spans="1:6" ht="38.25" x14ac:dyDescent="0.2">
      <c r="A3" s="1" t="s">
        <v>0</v>
      </c>
      <c r="B3" s="9" t="s">
        <v>25</v>
      </c>
      <c r="C3" s="9"/>
      <c r="D3" s="10" t="s">
        <v>49</v>
      </c>
      <c r="E3" s="9"/>
      <c r="F3" s="10" t="s">
        <v>66</v>
      </c>
    </row>
    <row r="4" spans="1:6" x14ac:dyDescent="0.2">
      <c r="A4" s="1" t="s">
        <v>1</v>
      </c>
    </row>
    <row r="5" spans="1:6" x14ac:dyDescent="0.2">
      <c r="A5" t="s">
        <v>3</v>
      </c>
      <c r="B5" s="2" t="s">
        <v>15</v>
      </c>
      <c r="D5" s="3">
        <v>21.51</v>
      </c>
      <c r="E5" s="101"/>
      <c r="F5" s="3">
        <v>22.11</v>
      </c>
    </row>
    <row r="6" spans="1:6" x14ac:dyDescent="0.2">
      <c r="A6" t="s">
        <v>2</v>
      </c>
      <c r="B6" s="2" t="s">
        <v>15</v>
      </c>
      <c r="D6" s="6">
        <v>1</v>
      </c>
      <c r="E6" s="3"/>
      <c r="F6" s="6">
        <v>0</v>
      </c>
    </row>
    <row r="7" spans="1:6" x14ac:dyDescent="0.2">
      <c r="A7" t="s">
        <v>4</v>
      </c>
      <c r="B7" s="2" t="s">
        <v>16</v>
      </c>
      <c r="D7" s="4">
        <v>3.0200000000000001E-2</v>
      </c>
      <c r="E7" s="101"/>
      <c r="F7" s="4">
        <v>3.1E-2</v>
      </c>
    </row>
    <row r="8" spans="1:6" x14ac:dyDescent="0.2">
      <c r="A8" t="s">
        <v>64</v>
      </c>
      <c r="B8" s="2" t="s">
        <v>16</v>
      </c>
      <c r="D8" s="4">
        <v>2.9999999999999997E-4</v>
      </c>
      <c r="E8" s="101"/>
      <c r="F8" s="4">
        <v>0</v>
      </c>
    </row>
    <row r="9" spans="1:6" x14ac:dyDescent="0.2">
      <c r="A9" s="109" t="s">
        <v>50</v>
      </c>
      <c r="B9" s="2" t="s">
        <v>16</v>
      </c>
      <c r="D9" s="108">
        <v>4.5999999999999999E-3</v>
      </c>
      <c r="F9" s="108">
        <v>4.5999999999999999E-3</v>
      </c>
    </row>
    <row r="10" spans="1:6" x14ac:dyDescent="0.2">
      <c r="A10" s="109" t="s">
        <v>50</v>
      </c>
      <c r="B10" s="2" t="s">
        <v>16</v>
      </c>
      <c r="D10" s="108">
        <v>-6.1000000000000004E-3</v>
      </c>
      <c r="F10" s="108">
        <v>-6.1000000000000004E-3</v>
      </c>
    </row>
    <row r="11" spans="1:6" x14ac:dyDescent="0.2">
      <c r="A11" s="109" t="s">
        <v>67</v>
      </c>
      <c r="B11" s="2" t="s">
        <v>16</v>
      </c>
      <c r="D11" s="108"/>
      <c r="F11" s="108">
        <v>-1.1999999999999999E-3</v>
      </c>
    </row>
    <row r="12" spans="1:6" x14ac:dyDescent="0.2">
      <c r="A12" s="109" t="s">
        <v>68</v>
      </c>
      <c r="B12" s="2" t="s">
        <v>16</v>
      </c>
      <c r="D12" s="108"/>
      <c r="F12" s="108">
        <v>1.1000000000000001E-3</v>
      </c>
    </row>
    <row r="13" spans="1:6" x14ac:dyDescent="0.2">
      <c r="A13" s="109" t="s">
        <v>71</v>
      </c>
      <c r="B13" s="2" t="s">
        <v>16</v>
      </c>
      <c r="D13" s="108"/>
      <c r="F13" s="108">
        <v>0</v>
      </c>
    </row>
    <row r="14" spans="1:6" x14ac:dyDescent="0.2">
      <c r="A14" s="109" t="s">
        <v>72</v>
      </c>
      <c r="B14" s="2" t="s">
        <v>16</v>
      </c>
      <c r="D14" s="108"/>
      <c r="F14" s="108">
        <v>4.7999999999999996E-3</v>
      </c>
    </row>
    <row r="15" spans="1:6" x14ac:dyDescent="0.2">
      <c r="A15" s="109" t="s">
        <v>52</v>
      </c>
      <c r="B15" s="2" t="s">
        <v>16</v>
      </c>
      <c r="D15" s="4">
        <v>-2.0000000000000001E-4</v>
      </c>
      <c r="E15" s="3"/>
      <c r="F15" s="4">
        <v>-1E-4</v>
      </c>
    </row>
    <row r="16" spans="1:6" x14ac:dyDescent="0.2">
      <c r="A16" t="s">
        <v>5</v>
      </c>
      <c r="B16" s="2" t="s">
        <v>16</v>
      </c>
      <c r="D16" s="4">
        <v>7.1000000000000004E-3</v>
      </c>
      <c r="E16" s="5"/>
      <c r="F16" s="4">
        <v>6.7999999999999996E-3</v>
      </c>
    </row>
    <row r="17" spans="1:6" x14ac:dyDescent="0.2">
      <c r="A17" t="s">
        <v>6</v>
      </c>
      <c r="B17" s="2" t="s">
        <v>16</v>
      </c>
      <c r="D17" s="4">
        <v>5.1000000000000004E-3</v>
      </c>
      <c r="E17" s="7"/>
      <c r="F17" s="4">
        <v>5.0000000000000001E-3</v>
      </c>
    </row>
    <row r="18" spans="1:6" x14ac:dyDescent="0.2">
      <c r="A18" t="s">
        <v>7</v>
      </c>
      <c r="B18" s="2" t="s">
        <v>16</v>
      </c>
      <c r="D18" s="4">
        <v>5.1999999999999998E-3</v>
      </c>
      <c r="E18" s="3"/>
      <c r="F18" s="4">
        <v>5.1999999999999998E-3</v>
      </c>
    </row>
    <row r="19" spans="1:6" x14ac:dyDescent="0.2">
      <c r="A19" t="s">
        <v>8</v>
      </c>
      <c r="B19" s="2" t="s">
        <v>16</v>
      </c>
      <c r="D19" s="4">
        <v>1.1000000000000001E-3</v>
      </c>
      <c r="E19" s="4"/>
      <c r="F19" s="4">
        <v>1.1000000000000001E-3</v>
      </c>
    </row>
    <row r="20" spans="1:6" x14ac:dyDescent="0.2">
      <c r="A20" t="s">
        <v>45</v>
      </c>
      <c r="B20" s="2" t="s">
        <v>16</v>
      </c>
      <c r="D20" s="103"/>
      <c r="E20" s="4"/>
      <c r="F20" s="103"/>
    </row>
    <row r="21" spans="1:6" x14ac:dyDescent="0.2">
      <c r="A21" t="s">
        <v>9</v>
      </c>
      <c r="B21" s="2" t="s">
        <v>15</v>
      </c>
      <c r="D21" s="3">
        <v>0.25</v>
      </c>
      <c r="E21" s="3"/>
      <c r="F21" s="3">
        <v>0.25</v>
      </c>
    </row>
    <row r="23" spans="1:6" x14ac:dyDescent="0.2">
      <c r="A23" s="1" t="s">
        <v>10</v>
      </c>
    </row>
    <row r="24" spans="1:6" x14ac:dyDescent="0.2">
      <c r="A24" t="s">
        <v>3</v>
      </c>
      <c r="B24" s="2" t="s">
        <v>15</v>
      </c>
      <c r="D24" s="3">
        <v>596.12</v>
      </c>
      <c r="E24" s="101"/>
      <c r="F24" s="3">
        <v>596.12</v>
      </c>
    </row>
    <row r="25" spans="1:6" x14ac:dyDescent="0.2">
      <c r="A25" t="s">
        <v>2</v>
      </c>
      <c r="B25" s="2" t="s">
        <v>15</v>
      </c>
      <c r="D25" s="6">
        <v>1</v>
      </c>
      <c r="E25" s="3"/>
      <c r="F25" s="6">
        <v>0</v>
      </c>
    </row>
    <row r="26" spans="1:6" x14ac:dyDescent="0.2">
      <c r="A26" t="s">
        <v>4</v>
      </c>
      <c r="B26" s="2" t="s">
        <v>17</v>
      </c>
      <c r="D26" s="4">
        <v>2.7086000000000001</v>
      </c>
      <c r="E26" s="101"/>
      <c r="F26" s="4">
        <v>2.8481999999999998</v>
      </c>
    </row>
    <row r="27" spans="1:6" x14ac:dyDescent="0.2">
      <c r="A27" t="s">
        <v>64</v>
      </c>
      <c r="B27" s="2" t="s">
        <v>17</v>
      </c>
      <c r="D27" s="4">
        <v>2.7199999999999998E-2</v>
      </c>
      <c r="E27" s="101"/>
      <c r="F27" s="4">
        <v>0</v>
      </c>
    </row>
    <row r="28" spans="1:6" x14ac:dyDescent="0.2">
      <c r="A28" s="109" t="s">
        <v>50</v>
      </c>
      <c r="B28" s="2" t="s">
        <v>17</v>
      </c>
      <c r="D28" s="108">
        <v>2.2664</v>
      </c>
      <c r="F28" s="108">
        <v>2.2664</v>
      </c>
    </row>
    <row r="29" spans="1:6" x14ac:dyDescent="0.2">
      <c r="A29" s="109" t="s">
        <v>50</v>
      </c>
      <c r="B29" s="2" t="s">
        <v>17</v>
      </c>
      <c r="D29" s="108">
        <v>-2.8218999999999999</v>
      </c>
      <c r="F29" s="108">
        <v>-2.8218999999999999</v>
      </c>
    </row>
    <row r="30" spans="1:6" x14ac:dyDescent="0.2">
      <c r="A30" s="109" t="s">
        <v>67</v>
      </c>
      <c r="B30" s="2" t="s">
        <v>17</v>
      </c>
      <c r="D30" s="108"/>
      <c r="F30" s="108">
        <v>0.1096</v>
      </c>
    </row>
    <row r="31" spans="1:6" x14ac:dyDescent="0.2">
      <c r="A31" s="109" t="s">
        <v>68</v>
      </c>
      <c r="B31" s="2" t="s">
        <v>17</v>
      </c>
      <c r="D31" s="108"/>
      <c r="F31" s="108">
        <v>0.46450000000000002</v>
      </c>
    </row>
    <row r="32" spans="1:6" x14ac:dyDescent="0.2">
      <c r="A32" s="109" t="s">
        <v>69</v>
      </c>
      <c r="B32" s="2" t="s">
        <v>17</v>
      </c>
      <c r="D32" s="108"/>
      <c r="F32" s="108"/>
    </row>
    <row r="33" spans="1:6" x14ac:dyDescent="0.2">
      <c r="A33" s="109" t="s">
        <v>52</v>
      </c>
      <c r="B33" s="2" t="s">
        <v>17</v>
      </c>
      <c r="D33" s="4">
        <v>-2.7300000000000001E-2</v>
      </c>
      <c r="E33" s="3"/>
      <c r="F33" s="4">
        <v>-0.02</v>
      </c>
    </row>
    <row r="34" spans="1:6" x14ac:dyDescent="0.2">
      <c r="A34" t="s">
        <v>5</v>
      </c>
      <c r="B34" s="2" t="s">
        <v>17</v>
      </c>
      <c r="D34" s="4">
        <v>2.6396000000000002</v>
      </c>
      <c r="E34" s="5"/>
      <c r="F34" s="4">
        <v>2.5209000000000001</v>
      </c>
    </row>
    <row r="35" spans="1:6" x14ac:dyDescent="0.2">
      <c r="A35" t="s">
        <v>6</v>
      </c>
      <c r="B35" s="2" t="s">
        <v>17</v>
      </c>
      <c r="D35" s="4">
        <v>1.8099000000000001</v>
      </c>
      <c r="E35" s="7"/>
      <c r="F35" s="4">
        <v>1.7696000000000001</v>
      </c>
    </row>
    <row r="36" spans="1:6" x14ac:dyDescent="0.2">
      <c r="A36" t="s">
        <v>11</v>
      </c>
      <c r="B36" s="2" t="s">
        <v>17</v>
      </c>
      <c r="D36" s="4">
        <v>2.8001</v>
      </c>
      <c r="E36" s="5"/>
      <c r="F36" s="4">
        <v>2.6741999999999999</v>
      </c>
    </row>
    <row r="37" spans="1:6" x14ac:dyDescent="0.2">
      <c r="A37" t="s">
        <v>12</v>
      </c>
      <c r="B37" s="2" t="s">
        <v>17</v>
      </c>
      <c r="D37" s="4">
        <v>2.0003000000000002</v>
      </c>
      <c r="E37" s="7"/>
      <c r="F37" s="4">
        <v>1.9558</v>
      </c>
    </row>
    <row r="38" spans="1:6" x14ac:dyDescent="0.2">
      <c r="A38" t="s">
        <v>7</v>
      </c>
      <c r="B38" s="2" t="s">
        <v>16</v>
      </c>
      <c r="D38" s="4">
        <v>5.1999999999999998E-3</v>
      </c>
      <c r="E38" s="3"/>
      <c r="F38" s="4">
        <v>5.1999999999999998E-3</v>
      </c>
    </row>
    <row r="39" spans="1:6" x14ac:dyDescent="0.2">
      <c r="A39" t="s">
        <v>8</v>
      </c>
      <c r="B39" s="2" t="s">
        <v>16</v>
      </c>
      <c r="D39" s="4">
        <v>1.1000000000000001E-3</v>
      </c>
      <c r="E39" s="4"/>
      <c r="F39" s="4">
        <v>1.1000000000000001E-3</v>
      </c>
    </row>
    <row r="40" spans="1:6" x14ac:dyDescent="0.2">
      <c r="A40" t="s">
        <v>45</v>
      </c>
      <c r="B40" s="2" t="s">
        <v>16</v>
      </c>
      <c r="D40" s="103"/>
      <c r="E40" s="4"/>
      <c r="F40" s="103"/>
    </row>
    <row r="41" spans="1:6" x14ac:dyDescent="0.2">
      <c r="A41" t="s">
        <v>9</v>
      </c>
      <c r="B41" s="2" t="s">
        <v>15</v>
      </c>
      <c r="D41" s="3">
        <v>0.25</v>
      </c>
      <c r="E41" s="3"/>
      <c r="F41" s="3">
        <v>0.25</v>
      </c>
    </row>
    <row r="43" spans="1:6" x14ac:dyDescent="0.2">
      <c r="A43" s="1" t="s">
        <v>13</v>
      </c>
    </row>
    <row r="44" spans="1:6" x14ac:dyDescent="0.2">
      <c r="A44" t="s">
        <v>3</v>
      </c>
      <c r="B44" s="2" t="s">
        <v>15</v>
      </c>
      <c r="D44" s="3">
        <v>26.15</v>
      </c>
      <c r="E44" s="101"/>
      <c r="F44" s="3">
        <v>26.38</v>
      </c>
    </row>
    <row r="45" spans="1:6" x14ac:dyDescent="0.2">
      <c r="A45" t="s">
        <v>2</v>
      </c>
      <c r="B45" s="2" t="s">
        <v>15</v>
      </c>
      <c r="D45" s="6">
        <v>1</v>
      </c>
      <c r="E45" s="3"/>
      <c r="F45" s="6">
        <v>0</v>
      </c>
    </row>
    <row r="46" spans="1:6" x14ac:dyDescent="0.2">
      <c r="A46" t="s">
        <v>4</v>
      </c>
      <c r="B46" s="2" t="s">
        <v>16</v>
      </c>
      <c r="D46" s="4">
        <v>0.10059999999999999</v>
      </c>
      <c r="E46" s="101"/>
      <c r="F46" s="4">
        <v>0.10150000000000001</v>
      </c>
    </row>
    <row r="47" spans="1:6" x14ac:dyDescent="0.2">
      <c r="A47" t="s">
        <v>64</v>
      </c>
      <c r="B47" s="2" t="s">
        <v>16</v>
      </c>
      <c r="D47" s="4">
        <v>2.0000000000000001E-4</v>
      </c>
      <c r="E47" s="101"/>
      <c r="F47" s="4">
        <v>0</v>
      </c>
    </row>
    <row r="48" spans="1:6" x14ac:dyDescent="0.2">
      <c r="A48" s="109" t="s">
        <v>50</v>
      </c>
      <c r="B48" s="2" t="s">
        <v>16</v>
      </c>
      <c r="D48" s="108">
        <v>4.5999999999999999E-3</v>
      </c>
      <c r="F48" s="108">
        <v>4.5999999999999999E-3</v>
      </c>
    </row>
    <row r="49" spans="1:6" x14ac:dyDescent="0.2">
      <c r="A49" s="109" t="s">
        <v>50</v>
      </c>
      <c r="B49" s="2" t="s">
        <v>16</v>
      </c>
      <c r="D49" s="108">
        <v>-6.1000000000000004E-3</v>
      </c>
      <c r="F49" s="108">
        <v>-6.1000000000000004E-3</v>
      </c>
    </row>
    <row r="50" spans="1:6" x14ac:dyDescent="0.2">
      <c r="A50" s="109" t="s">
        <v>51</v>
      </c>
      <c r="B50" s="2" t="s">
        <v>16</v>
      </c>
      <c r="D50" s="108">
        <v>3.0700000000000002E-2</v>
      </c>
      <c r="F50" s="108">
        <v>3.0700000000000002E-2</v>
      </c>
    </row>
    <row r="51" spans="1:6" x14ac:dyDescent="0.2">
      <c r="A51" s="109" t="s">
        <v>67</v>
      </c>
      <c r="B51" s="2" t="s">
        <v>16</v>
      </c>
      <c r="D51" s="108"/>
      <c r="F51" s="108">
        <v>-1.5E-3</v>
      </c>
    </row>
    <row r="52" spans="1:6" x14ac:dyDescent="0.2">
      <c r="A52" s="109" t="s">
        <v>68</v>
      </c>
      <c r="B52" s="2" t="s">
        <v>16</v>
      </c>
      <c r="D52" s="108"/>
      <c r="F52" s="108">
        <v>1.1000000000000001E-3</v>
      </c>
    </row>
    <row r="53" spans="1:6" x14ac:dyDescent="0.2">
      <c r="A53" s="109" t="s">
        <v>69</v>
      </c>
      <c r="B53" s="2" t="s">
        <v>16</v>
      </c>
      <c r="D53" s="108"/>
      <c r="F53" s="108"/>
    </row>
    <row r="54" spans="1:6" x14ac:dyDescent="0.2">
      <c r="A54" s="109" t="s">
        <v>71</v>
      </c>
      <c r="B54" s="2" t="s">
        <v>16</v>
      </c>
      <c r="D54" s="108"/>
      <c r="F54" s="108">
        <v>4.1099999999999998E-2</v>
      </c>
    </row>
    <row r="55" spans="1:6" x14ac:dyDescent="0.2">
      <c r="A55" s="109" t="s">
        <v>72</v>
      </c>
      <c r="B55" s="2" t="s">
        <v>16</v>
      </c>
      <c r="D55" s="108"/>
      <c r="F55" s="108">
        <v>1.7399999999999999E-2</v>
      </c>
    </row>
    <row r="56" spans="1:6" x14ac:dyDescent="0.2">
      <c r="A56" s="109" t="s">
        <v>52</v>
      </c>
      <c r="B56" s="2" t="s">
        <v>16</v>
      </c>
      <c r="D56" s="4">
        <v>-2.9999999999999997E-4</v>
      </c>
      <c r="E56" s="3"/>
      <c r="F56" s="4">
        <v>-2.0000000000000001E-4</v>
      </c>
    </row>
    <row r="57" spans="1:6" x14ac:dyDescent="0.2">
      <c r="A57" t="s">
        <v>5</v>
      </c>
      <c r="B57" s="2" t="s">
        <v>16</v>
      </c>
      <c r="D57" s="4">
        <v>7.1000000000000004E-3</v>
      </c>
      <c r="E57" s="5"/>
      <c r="F57" s="4">
        <v>6.7999999999999996E-3</v>
      </c>
    </row>
    <row r="58" spans="1:6" x14ac:dyDescent="0.2">
      <c r="A58" t="s">
        <v>6</v>
      </c>
      <c r="B58" s="2" t="s">
        <v>16</v>
      </c>
      <c r="D58" s="4">
        <v>5.1000000000000004E-3</v>
      </c>
      <c r="E58" s="7"/>
      <c r="F58" s="4">
        <v>5.0000000000000001E-3</v>
      </c>
    </row>
    <row r="59" spans="1:6" x14ac:dyDescent="0.2">
      <c r="A59" t="s">
        <v>7</v>
      </c>
      <c r="B59" s="2" t="s">
        <v>16</v>
      </c>
      <c r="D59" s="4">
        <v>5.1999999999999998E-3</v>
      </c>
      <c r="E59" s="3"/>
      <c r="F59" s="4">
        <v>5.1999999999999998E-3</v>
      </c>
    </row>
    <row r="60" spans="1:6" x14ac:dyDescent="0.2">
      <c r="A60" t="s">
        <v>8</v>
      </c>
      <c r="B60" s="2" t="s">
        <v>16</v>
      </c>
      <c r="D60" s="4">
        <v>1.1000000000000001E-3</v>
      </c>
      <c r="E60" s="4"/>
      <c r="F60" s="4">
        <v>1.1000000000000001E-3</v>
      </c>
    </row>
    <row r="61" spans="1:6" x14ac:dyDescent="0.2">
      <c r="A61" t="s">
        <v>45</v>
      </c>
      <c r="B61" s="2" t="s">
        <v>16</v>
      </c>
      <c r="D61" s="103"/>
      <c r="E61" s="4"/>
      <c r="F61" s="103"/>
    </row>
    <row r="62" spans="1:6" x14ac:dyDescent="0.2">
      <c r="A62" t="s">
        <v>9</v>
      </c>
      <c r="B62" s="2" t="s">
        <v>15</v>
      </c>
      <c r="D62" s="3">
        <v>0.25</v>
      </c>
      <c r="E62" s="3"/>
      <c r="F62" s="3">
        <v>0.25</v>
      </c>
    </row>
    <row r="64" spans="1:6" x14ac:dyDescent="0.2">
      <c r="A64" s="1" t="s">
        <v>14</v>
      </c>
    </row>
    <row r="65" spans="1:6" x14ac:dyDescent="0.2">
      <c r="A65" t="s">
        <v>3</v>
      </c>
      <c r="B65" s="2" t="s">
        <v>15</v>
      </c>
      <c r="D65" s="3">
        <v>0.96</v>
      </c>
      <c r="E65" s="101"/>
      <c r="F65" s="3">
        <v>0.97</v>
      </c>
    </row>
    <row r="66" spans="1:6" x14ac:dyDescent="0.2">
      <c r="A66" t="s">
        <v>2</v>
      </c>
      <c r="B66" s="2" t="s">
        <v>15</v>
      </c>
      <c r="D66" s="6">
        <v>0</v>
      </c>
      <c r="E66" s="3"/>
      <c r="F66" s="6">
        <v>0</v>
      </c>
    </row>
    <row r="67" spans="1:6" x14ac:dyDescent="0.2">
      <c r="A67" t="s">
        <v>4</v>
      </c>
      <c r="B67" s="2" t="s">
        <v>16</v>
      </c>
      <c r="D67" s="4">
        <v>0.15429999999999999</v>
      </c>
      <c r="E67" s="101"/>
      <c r="F67" s="4">
        <v>0.15570000000000001</v>
      </c>
    </row>
    <row r="68" spans="1:6" x14ac:dyDescent="0.2">
      <c r="A68" t="s">
        <v>64</v>
      </c>
      <c r="B68" s="2" t="s">
        <v>16</v>
      </c>
      <c r="D68" s="4">
        <v>1E-4</v>
      </c>
      <c r="E68" s="101"/>
      <c r="F68" s="4">
        <v>0</v>
      </c>
    </row>
    <row r="69" spans="1:6" x14ac:dyDescent="0.2">
      <c r="A69" s="109" t="s">
        <v>50</v>
      </c>
      <c r="B69" s="2" t="s">
        <v>16</v>
      </c>
      <c r="D69" s="108">
        <v>4.7999999999999996E-3</v>
      </c>
      <c r="F69" s="108">
        <v>4.7999999999999996E-3</v>
      </c>
    </row>
    <row r="70" spans="1:6" x14ac:dyDescent="0.2">
      <c r="A70" s="109" t="s">
        <v>50</v>
      </c>
      <c r="B70" s="2" t="s">
        <v>16</v>
      </c>
      <c r="D70" s="108">
        <v>-6.1000000000000004E-3</v>
      </c>
      <c r="F70" s="108">
        <v>-6.1000000000000004E-3</v>
      </c>
    </row>
    <row r="71" spans="1:6" x14ac:dyDescent="0.2">
      <c r="A71" s="109" t="s">
        <v>67</v>
      </c>
      <c r="B71" s="2" t="s">
        <v>16</v>
      </c>
      <c r="D71" s="108"/>
      <c r="F71" s="108">
        <v>-6.9999999999999999E-4</v>
      </c>
    </row>
    <row r="72" spans="1:6" x14ac:dyDescent="0.2">
      <c r="A72" s="109" t="s">
        <v>68</v>
      </c>
      <c r="B72" s="2" t="s">
        <v>16</v>
      </c>
      <c r="D72" s="108"/>
      <c r="F72" s="108">
        <v>1.1000000000000001E-3</v>
      </c>
    </row>
    <row r="73" spans="1:6" x14ac:dyDescent="0.2">
      <c r="A73" s="109" t="s">
        <v>69</v>
      </c>
      <c r="B73" s="2" t="s">
        <v>16</v>
      </c>
      <c r="D73" s="108"/>
      <c r="F73" s="108"/>
    </row>
    <row r="74" spans="1:6" x14ac:dyDescent="0.2">
      <c r="A74" s="109" t="s">
        <v>52</v>
      </c>
      <c r="B74" s="2" t="s">
        <v>16</v>
      </c>
      <c r="D74" s="4">
        <v>-2.0000000000000001E-4</v>
      </c>
      <c r="E74" s="3"/>
      <c r="F74" s="4">
        <v>-2.0000000000000001E-4</v>
      </c>
    </row>
    <row r="75" spans="1:6" x14ac:dyDescent="0.2">
      <c r="A75" t="s">
        <v>5</v>
      </c>
      <c r="B75" s="2" t="s">
        <v>17</v>
      </c>
      <c r="D75" s="4">
        <v>1.9906999999999999</v>
      </c>
      <c r="E75" s="5"/>
      <c r="F75" s="4">
        <v>1.9012</v>
      </c>
    </row>
    <row r="76" spans="1:6" x14ac:dyDescent="0.2">
      <c r="A76" t="s">
        <v>6</v>
      </c>
      <c r="B76" s="2" t="s">
        <v>17</v>
      </c>
      <c r="D76" s="4">
        <v>1.3992</v>
      </c>
      <c r="E76" s="7"/>
      <c r="F76" s="4">
        <v>1.3680000000000001</v>
      </c>
    </row>
    <row r="77" spans="1:6" x14ac:dyDescent="0.2">
      <c r="A77" t="s">
        <v>7</v>
      </c>
      <c r="B77" s="2" t="s">
        <v>16</v>
      </c>
      <c r="D77" s="4">
        <v>5.1999999999999998E-3</v>
      </c>
      <c r="E77" s="3"/>
      <c r="F77" s="4">
        <v>5.1999999999999998E-3</v>
      </c>
    </row>
    <row r="78" spans="1:6" x14ac:dyDescent="0.2">
      <c r="A78" t="s">
        <v>8</v>
      </c>
      <c r="B78" s="2" t="s">
        <v>16</v>
      </c>
      <c r="D78" s="4">
        <v>1.1000000000000001E-3</v>
      </c>
      <c r="E78" s="4"/>
      <c r="F78" s="4">
        <v>1.1000000000000001E-3</v>
      </c>
    </row>
    <row r="79" spans="1:6" x14ac:dyDescent="0.2">
      <c r="A79" t="s">
        <v>45</v>
      </c>
      <c r="B79" s="2" t="s">
        <v>16</v>
      </c>
      <c r="D79" s="103"/>
      <c r="E79" s="4"/>
      <c r="F79" s="103"/>
    </row>
    <row r="80" spans="1:6" x14ac:dyDescent="0.2">
      <c r="A80" t="s">
        <v>9</v>
      </c>
      <c r="B80" s="2" t="s">
        <v>15</v>
      </c>
      <c r="D80" s="3">
        <v>0.25</v>
      </c>
      <c r="E80" s="3"/>
      <c r="F80" s="3">
        <v>0.25</v>
      </c>
    </row>
    <row r="82" spans="1:6" x14ac:dyDescent="0.2">
      <c r="A82" s="1" t="s">
        <v>18</v>
      </c>
    </row>
    <row r="83" spans="1:6" x14ac:dyDescent="0.2">
      <c r="A83" t="s">
        <v>19</v>
      </c>
      <c r="B83" s="2" t="s">
        <v>16</v>
      </c>
      <c r="D83" s="4">
        <v>2E-3</v>
      </c>
      <c r="F83" s="4">
        <v>2E-3</v>
      </c>
    </row>
    <row r="84" spans="1:6" x14ac:dyDescent="0.2">
      <c r="A84" t="s">
        <v>20</v>
      </c>
      <c r="B84" s="2" t="s">
        <v>16</v>
      </c>
      <c r="D84" s="4">
        <v>7.4999999999999997E-2</v>
      </c>
      <c r="F84" s="4">
        <v>7.4999999999999997E-2</v>
      </c>
    </row>
    <row r="85" spans="1:6" x14ac:dyDescent="0.2">
      <c r="A85" t="s">
        <v>21</v>
      </c>
      <c r="B85" s="2" t="s">
        <v>16</v>
      </c>
      <c r="D85" s="4">
        <v>8.7999999999999995E-2</v>
      </c>
      <c r="F85" s="4">
        <v>8.7999999999999995E-2</v>
      </c>
    </row>
    <row r="88" spans="1:6" x14ac:dyDescent="0.2">
      <c r="A88" s="1" t="s">
        <v>23</v>
      </c>
      <c r="E88" s="3"/>
    </row>
    <row r="89" spans="1:6" x14ac:dyDescent="0.2">
      <c r="A89" t="s">
        <v>24</v>
      </c>
      <c r="D89" s="4">
        <v>1.0864</v>
      </c>
      <c r="F89" s="4">
        <v>1.0864</v>
      </c>
    </row>
    <row r="90" spans="1:6" x14ac:dyDescent="0.2">
      <c r="A90" t="s">
        <v>46</v>
      </c>
      <c r="D90" s="105">
        <v>0.13</v>
      </c>
      <c r="F90" s="105">
        <v>0.13</v>
      </c>
    </row>
  </sheetData>
  <phoneticPr fontId="2" type="noConversion"/>
  <pageMargins left="0.74803149606299213" right="0.74803149606299213" top="0.98425196850393704" bottom="0.98425196850393704" header="0.51181102362204722" footer="0.51181102362204722"/>
  <pageSetup scale="56" orientation="portrait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0"/>
  <sheetViews>
    <sheetView topLeftCell="A16" zoomScaleNormal="100" workbookViewId="0">
      <selection activeCell="F41" sqref="F41"/>
    </sheetView>
  </sheetViews>
  <sheetFormatPr defaultRowHeight="12" x14ac:dyDescent="0.2"/>
  <cols>
    <col min="1" max="1" width="90.14062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 x14ac:dyDescent="0.25"/>
    <row r="3" spans="1:4" ht="36.75" thickBot="1" x14ac:dyDescent="0.25">
      <c r="A3" s="14" t="str">
        <f>Rates!A4</f>
        <v>Residential - R1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Rates!A5</f>
        <v>Monthly Service Charge</v>
      </c>
      <c r="B4" s="24" t="str">
        <f>Rates!B5</f>
        <v>$</v>
      </c>
      <c r="C4" s="25">
        <f>Rates!D5</f>
        <v>21.51</v>
      </c>
      <c r="D4" s="26">
        <f>Rates!F5</f>
        <v>22.11</v>
      </c>
    </row>
    <row r="5" spans="1:4" x14ac:dyDescent="0.2">
      <c r="A5" s="27" t="str">
        <f>Rates!A6</f>
        <v>Smart Meter Rate Adder</v>
      </c>
      <c r="B5" s="28" t="str">
        <f>Rates!B6</f>
        <v>$</v>
      </c>
      <c r="C5" s="29">
        <f>Rates!D6</f>
        <v>1</v>
      </c>
      <c r="D5" s="30">
        <f>Rates!F6</f>
        <v>0</v>
      </c>
    </row>
    <row r="6" spans="1:4" x14ac:dyDescent="0.2">
      <c r="A6" s="27" t="str">
        <f>Rates!A7</f>
        <v>Distribution Volumetric Rate</v>
      </c>
      <c r="B6" s="28" t="str">
        <f>Rates!B7</f>
        <v>$/kWh</v>
      </c>
      <c r="C6" s="31">
        <f>Rates!D7</f>
        <v>3.0200000000000001E-2</v>
      </c>
      <c r="D6" s="32">
        <f>Rates!F7</f>
        <v>3.1E-2</v>
      </c>
    </row>
    <row r="7" spans="1:4" x14ac:dyDescent="0.2">
      <c r="A7" s="27" t="str">
        <f>Rates!A8</f>
        <v>Rate Rider for Foregone Revenue Recovery - effective until December 31, 2012</v>
      </c>
      <c r="B7" s="28" t="str">
        <f>Rates!B8</f>
        <v>$/kWh</v>
      </c>
      <c r="C7" s="31">
        <f>Rates!D8</f>
        <v>2.9999999999999997E-4</v>
      </c>
      <c r="D7" s="32">
        <f>Rates!F8</f>
        <v>0</v>
      </c>
    </row>
    <row r="8" spans="1:4" x14ac:dyDescent="0.2">
      <c r="A8" s="27" t="str">
        <f>Rates!A9</f>
        <v>Rate Rider for Deferral/Variance Account Disposition - effective until May 31, 2013</v>
      </c>
      <c r="B8" s="28" t="str">
        <f>Rates!B9</f>
        <v>$/kWh</v>
      </c>
      <c r="C8" s="31">
        <f>Rates!D9</f>
        <v>4.5999999999999999E-3</v>
      </c>
      <c r="D8" s="32">
        <f>Rates!F9</f>
        <v>4.5999999999999999E-3</v>
      </c>
    </row>
    <row r="9" spans="1:4" x14ac:dyDescent="0.2">
      <c r="A9" s="27" t="str">
        <f>Rates!A10</f>
        <v>Rate Rider for Deferral/Variance Account Disposition - effective until May 31, 2013</v>
      </c>
      <c r="B9" s="28" t="str">
        <f>Rates!B10</f>
        <v>$/kWh</v>
      </c>
      <c r="C9" s="31">
        <f>Rates!D10</f>
        <v>-6.1000000000000004E-3</v>
      </c>
      <c r="D9" s="32">
        <f>Rates!F10</f>
        <v>-6.1000000000000004E-3</v>
      </c>
    </row>
    <row r="10" spans="1:4" x14ac:dyDescent="0.2">
      <c r="A10" s="27" t="str">
        <f>Rates!A11</f>
        <v>Rate Rider for Deferral/Variance Account Disposition (2012) - effective until December 31, 2013</v>
      </c>
      <c r="B10" s="28" t="str">
        <f>Rates!B11</f>
        <v>$/kWh</v>
      </c>
      <c r="C10" s="31">
        <f>Rates!D11</f>
        <v>0</v>
      </c>
      <c r="D10" s="32">
        <f>Rates!F11</f>
        <v>-1.1999999999999999E-3</v>
      </c>
    </row>
    <row r="11" spans="1:4" x14ac:dyDescent="0.2">
      <c r="A11" s="27" t="str">
        <f>Rates!A12</f>
        <v>Rate Rider for Global Adjustment Sub-Account Disposition (2012) - effective until December 31, 2013</v>
      </c>
      <c r="B11" s="28" t="str">
        <f>Rates!B12</f>
        <v>$/kWh</v>
      </c>
      <c r="C11" s="31">
        <f>Rates!D12</f>
        <v>0</v>
      </c>
      <c r="D11" s="32"/>
    </row>
    <row r="12" spans="1:4" x14ac:dyDescent="0.2">
      <c r="A12" s="27" t="str">
        <f>Rates!A13</f>
        <v>Smart Meter Cost Recovery Rate Rider - Net Deferred Revenue Requirement, effective until December 31, 2013</v>
      </c>
      <c r="B12" s="28" t="str">
        <f>Rates!B13</f>
        <v>$/kWh</v>
      </c>
      <c r="C12" s="31"/>
      <c r="D12" s="32">
        <f>Rates!F13</f>
        <v>0</v>
      </c>
    </row>
    <row r="13" spans="1:4" x14ac:dyDescent="0.2">
      <c r="A13" s="27" t="str">
        <f>Rates!A14</f>
        <v>Smart Meter Cost Recovery Rate Rider - Incremental Revenue Requirement, effective until December 31, 2013</v>
      </c>
      <c r="B13" s="28" t="str">
        <f>Rates!B14</f>
        <v>$/kWh</v>
      </c>
      <c r="C13" s="31"/>
      <c r="D13" s="32">
        <f>Rates!F14</f>
        <v>4.7999999999999996E-3</v>
      </c>
    </row>
    <row r="14" spans="1:4" x14ac:dyDescent="0.2">
      <c r="A14" s="27"/>
      <c r="B14" s="28"/>
      <c r="C14" s="31"/>
      <c r="D14" s="32"/>
    </row>
    <row r="15" spans="1:4" x14ac:dyDescent="0.2">
      <c r="A15" s="27" t="str">
        <f>Rates!A15</f>
        <v>Rate Rider for Tax Changes - effective until December 31, 2012</v>
      </c>
      <c r="B15" s="28" t="str">
        <f>Rates!B15</f>
        <v>$/kWh</v>
      </c>
      <c r="C15" s="31">
        <f>Rates!D15</f>
        <v>-2.0000000000000001E-4</v>
      </c>
      <c r="D15" s="32">
        <f>Rates!F15</f>
        <v>-1E-4</v>
      </c>
    </row>
    <row r="16" spans="1:4" x14ac:dyDescent="0.2">
      <c r="A16" s="27" t="str">
        <f>Rates!A16</f>
        <v>Retail Transmission Rate - Network Service Rate</v>
      </c>
      <c r="B16" s="28" t="str">
        <f>Rates!B16</f>
        <v>$/kWh</v>
      </c>
      <c r="C16" s="31">
        <f>Rates!D16</f>
        <v>7.1000000000000004E-3</v>
      </c>
      <c r="D16" s="32">
        <f>Rates!F16</f>
        <v>6.7999999999999996E-3</v>
      </c>
    </row>
    <row r="17" spans="1:10" x14ac:dyDescent="0.2">
      <c r="A17" s="27" t="str">
        <f>Rates!A17</f>
        <v>Retail Transmission Rate - Line and Transformation Connection Service Rate</v>
      </c>
      <c r="B17" s="28" t="str">
        <f>Rates!B17</f>
        <v>$/kWh</v>
      </c>
      <c r="C17" s="31">
        <f>Rates!D17</f>
        <v>5.1000000000000004E-3</v>
      </c>
      <c r="D17" s="32">
        <f>Rates!F17</f>
        <v>5.0000000000000001E-3</v>
      </c>
    </row>
    <row r="18" spans="1:10" x14ac:dyDescent="0.2">
      <c r="A18" s="19" t="str">
        <f>Rates!A18</f>
        <v>Wholesale Market Service Rate</v>
      </c>
      <c r="B18" s="20" t="str">
        <f>Rates!B18</f>
        <v>$/kWh</v>
      </c>
      <c r="C18" s="21">
        <f>Rates!D18</f>
        <v>5.1999999999999998E-3</v>
      </c>
      <c r="D18" s="22">
        <f>Rates!F18</f>
        <v>5.1999999999999998E-3</v>
      </c>
    </row>
    <row r="19" spans="1:10" x14ac:dyDescent="0.2">
      <c r="A19" s="27" t="str">
        <f>Rates!A19</f>
        <v>Rural Rate Protection Charge</v>
      </c>
      <c r="B19" s="28" t="str">
        <f>Rates!B19</f>
        <v>$/kWh</v>
      </c>
      <c r="C19" s="31">
        <f>Rates!D19</f>
        <v>1.1000000000000001E-3</v>
      </c>
      <c r="D19" s="32">
        <f>Rates!F19</f>
        <v>1.1000000000000001E-3</v>
      </c>
    </row>
    <row r="20" spans="1:10" x14ac:dyDescent="0.2">
      <c r="A20" s="106" t="str">
        <f>Rates!A20</f>
        <v>Special Purpose Charge</v>
      </c>
      <c r="B20" s="28" t="str">
        <f>Rates!B20</f>
        <v>$/kWh</v>
      </c>
      <c r="C20" s="31">
        <f>Rates!D20</f>
        <v>0</v>
      </c>
      <c r="D20" s="32">
        <f>Rates!F20</f>
        <v>0</v>
      </c>
    </row>
    <row r="21" spans="1:10" ht="12.75" thickBot="1" x14ac:dyDescent="0.25">
      <c r="A21" s="12" t="str">
        <f>Rates!A21</f>
        <v>Standard Supply Service - Administarive Charge (if applicable)</v>
      </c>
      <c r="B21" s="17" t="str">
        <f>Rates!B21</f>
        <v>$</v>
      </c>
      <c r="C21" s="18">
        <f>Rates!D21</f>
        <v>0.25</v>
      </c>
      <c r="D21" s="13">
        <f>Rates!F21</f>
        <v>0.25</v>
      </c>
    </row>
    <row r="23" spans="1:10" ht="12.75" thickBot="1" x14ac:dyDescent="0.25"/>
    <row r="24" spans="1:10" ht="13.5" thickBot="1" x14ac:dyDescent="0.25">
      <c r="A24" s="33" t="s">
        <v>26</v>
      </c>
      <c r="B24" s="34">
        <v>800</v>
      </c>
      <c r="C24" s="35" t="s">
        <v>27</v>
      </c>
      <c r="D24" s="36"/>
      <c r="E24" s="35" t="s">
        <v>28</v>
      </c>
      <c r="G24" s="102" t="s">
        <v>23</v>
      </c>
      <c r="H24" s="53">
        <f>Rates!F89</f>
        <v>1.0864</v>
      </c>
    </row>
    <row r="25" spans="1:10" ht="13.5" thickBot="1" x14ac:dyDescent="0.25">
      <c r="A25" s="33" t="s">
        <v>29</v>
      </c>
      <c r="B25" s="34">
        <v>750</v>
      </c>
      <c r="C25" s="35" t="s">
        <v>27</v>
      </c>
      <c r="D25" s="37" t="s">
        <v>30</v>
      </c>
      <c r="E25" s="38" t="str">
        <f>IF(D24&gt;0,B24/(D24*24*30.4)," ")</f>
        <v xml:space="preserve"> </v>
      </c>
    </row>
    <row r="26" spans="1:10" ht="12.75" thickBot="1" x14ac:dyDescent="0.25"/>
    <row r="27" spans="1:10" ht="12.75" customHeight="1" x14ac:dyDescent="0.2">
      <c r="A27" s="149" t="str">
        <f>A3</f>
        <v>Residential - R1</v>
      </c>
      <c r="B27" s="151" t="s">
        <v>31</v>
      </c>
      <c r="C27" s="49" t="s">
        <v>37</v>
      </c>
      <c r="D27" s="49" t="s">
        <v>38</v>
      </c>
      <c r="E27" s="151" t="s">
        <v>31</v>
      </c>
      <c r="F27" s="49" t="s">
        <v>37</v>
      </c>
      <c r="G27" s="49" t="s">
        <v>38</v>
      </c>
      <c r="H27" s="153" t="s">
        <v>44</v>
      </c>
      <c r="I27" s="153"/>
      <c r="J27" s="154"/>
    </row>
    <row r="28" spans="1:10" ht="12.75" thickBot="1" x14ac:dyDescent="0.25">
      <c r="A28" s="150"/>
      <c r="B28" s="152"/>
      <c r="C28" s="50" t="s">
        <v>15</v>
      </c>
      <c r="D28" s="50" t="s">
        <v>15</v>
      </c>
      <c r="E28" s="152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 x14ac:dyDescent="0.2">
      <c r="A29" s="54" t="s">
        <v>35</v>
      </c>
      <c r="B29" s="55">
        <f>IF(B24*Rates!D89&gt;B25,B25,B24*Rates!D89)</f>
        <v>750</v>
      </c>
      <c r="C29" s="56">
        <f>Rates!D84</f>
        <v>7.4999999999999997E-2</v>
      </c>
      <c r="D29" s="57">
        <f>B29*C29</f>
        <v>56.25</v>
      </c>
      <c r="E29" s="55">
        <f>IF(B24*H24&gt;B25,B25,B24*H24)</f>
        <v>750</v>
      </c>
      <c r="F29" s="56">
        <f>Rates!F84</f>
        <v>7.4999999999999997E-2</v>
      </c>
      <c r="G29" s="57">
        <f>E29*F29</f>
        <v>56.25</v>
      </c>
      <c r="H29" s="58">
        <f>G29-D29</f>
        <v>0</v>
      </c>
      <c r="I29" s="59">
        <f>IF(ISERROR(H29/D29),1,H29/D29)</f>
        <v>0</v>
      </c>
      <c r="J29" s="60">
        <f t="shared" ref="J29:J39" si="0">IF(ISERROR(G29/G$57),0,G29/G$57)</f>
        <v>0.37477337663787796</v>
      </c>
    </row>
    <row r="30" spans="1:10" ht="12.75" thickBot="1" x14ac:dyDescent="0.25">
      <c r="A30" s="63" t="s">
        <v>36</v>
      </c>
      <c r="B30" s="64">
        <f>IF(B24*Rates!D89&gt;=B25,B24*Rates!D89-B25,0)</f>
        <v>119.12</v>
      </c>
      <c r="C30" s="65">
        <f>Rates!D85</f>
        <v>8.7999999999999995E-2</v>
      </c>
      <c r="D30" s="66">
        <f>B30*C30</f>
        <v>10.482559999999999</v>
      </c>
      <c r="E30" s="64">
        <f>IF(B24*H24&gt;=B25,B24*H24-B25,0)</f>
        <v>119.12</v>
      </c>
      <c r="F30" s="65">
        <f>Rates!F85</f>
        <v>8.7999999999999995E-2</v>
      </c>
      <c r="G30" s="66">
        <f>E30*F30</f>
        <v>10.482559999999999</v>
      </c>
      <c r="H30" s="66">
        <f t="shared" ref="H30:H57" si="1">G30-D30</f>
        <v>0</v>
      </c>
      <c r="I30" s="67">
        <f t="shared" ref="I30:I57" si="2">IF(ISERROR(H30/D30),0,H30/D30)</f>
        <v>0</v>
      </c>
      <c r="J30" s="68">
        <f t="shared" si="0"/>
        <v>6.9841500569051626E-2</v>
      </c>
    </row>
    <row r="31" spans="1:10" ht="12.75" thickBot="1" x14ac:dyDescent="0.25">
      <c r="A31" s="73" t="s">
        <v>39</v>
      </c>
      <c r="B31" s="74"/>
      <c r="C31" s="75"/>
      <c r="D31" s="76">
        <f>SUM(D29:D30)</f>
        <v>66.732560000000007</v>
      </c>
      <c r="E31" s="75"/>
      <c r="F31" s="75"/>
      <c r="G31" s="76">
        <f>SUM(G29:G30)</f>
        <v>66.732560000000007</v>
      </c>
      <c r="H31" s="76">
        <f t="shared" si="1"/>
        <v>0</v>
      </c>
      <c r="I31" s="77">
        <f t="shared" si="2"/>
        <v>0</v>
      </c>
      <c r="J31" s="78">
        <f t="shared" si="0"/>
        <v>0.44461487720692966</v>
      </c>
    </row>
    <row r="32" spans="1:10" x14ac:dyDescent="0.2">
      <c r="A32" s="69" t="str">
        <f t="shared" ref="A32:A37" si="3">A4</f>
        <v>Monthly Service Charge</v>
      </c>
      <c r="B32" s="70">
        <v>1</v>
      </c>
      <c r="C32" s="46">
        <f t="shared" ref="C32:C37" si="4">C4</f>
        <v>21.51</v>
      </c>
      <c r="D32" s="46">
        <f>B32*C32</f>
        <v>21.51</v>
      </c>
      <c r="E32" s="71">
        <f>B32</f>
        <v>1</v>
      </c>
      <c r="F32" s="47">
        <f t="shared" ref="F32:F37" si="5">D4</f>
        <v>22.11</v>
      </c>
      <c r="G32" s="47">
        <f>E32*F32</f>
        <v>22.11</v>
      </c>
      <c r="H32" s="47">
        <f t="shared" si="1"/>
        <v>0.59999999999999787</v>
      </c>
      <c r="I32" s="48">
        <f t="shared" si="2"/>
        <v>2.7894002789400178E-2</v>
      </c>
      <c r="J32" s="72">
        <f t="shared" si="0"/>
        <v>0.14731092191046191</v>
      </c>
    </row>
    <row r="33" spans="1:10" x14ac:dyDescent="0.2">
      <c r="A33" s="61" t="str">
        <f t="shared" si="3"/>
        <v>Smart Meter Rate Adder</v>
      </c>
      <c r="B33" s="43">
        <f>B32</f>
        <v>1</v>
      </c>
      <c r="C33" s="41">
        <f t="shared" si="4"/>
        <v>1</v>
      </c>
      <c r="D33" s="41">
        <f t="shared" ref="D33:D43" si="6">B33*C33</f>
        <v>1</v>
      </c>
      <c r="E33" s="43">
        <f>B33</f>
        <v>1</v>
      </c>
      <c r="F33" s="41">
        <f t="shared" si="5"/>
        <v>0</v>
      </c>
      <c r="G33" s="41">
        <f t="shared" ref="G33:G43" si="7">E33*F33</f>
        <v>0</v>
      </c>
      <c r="H33" s="41">
        <f t="shared" si="1"/>
        <v>-1</v>
      </c>
      <c r="I33" s="42">
        <f>IF(ISERROR(H33/D33),1,H33/D33)</f>
        <v>-1</v>
      </c>
      <c r="J33" s="62">
        <f t="shared" si="0"/>
        <v>0</v>
      </c>
    </row>
    <row r="34" spans="1:10" x14ac:dyDescent="0.2">
      <c r="A34" s="61" t="str">
        <f t="shared" si="3"/>
        <v>Distribution Volumetric Rate</v>
      </c>
      <c r="B34" s="43">
        <f>B24</f>
        <v>800</v>
      </c>
      <c r="C34" s="40">
        <f t="shared" si="4"/>
        <v>3.0200000000000001E-2</v>
      </c>
      <c r="D34" s="41">
        <f t="shared" si="6"/>
        <v>24.16</v>
      </c>
      <c r="E34" s="43">
        <f>B24</f>
        <v>800</v>
      </c>
      <c r="F34" s="40">
        <f t="shared" si="5"/>
        <v>3.1E-2</v>
      </c>
      <c r="G34" s="41">
        <f t="shared" si="7"/>
        <v>24.8</v>
      </c>
      <c r="H34" s="41">
        <f t="shared" si="1"/>
        <v>0.64000000000000057</v>
      </c>
      <c r="I34" s="42">
        <f t="shared" si="2"/>
        <v>2.6490066225165587E-2</v>
      </c>
      <c r="J34" s="62">
        <f t="shared" si="0"/>
        <v>0.1652334176110111</v>
      </c>
    </row>
    <row r="35" spans="1:10" x14ac:dyDescent="0.2">
      <c r="A35" s="61" t="str">
        <f t="shared" si="3"/>
        <v>Rate Rider for Foregone Revenue Recovery - effective until December 31, 2012</v>
      </c>
      <c r="B35" s="43">
        <f>B24</f>
        <v>800</v>
      </c>
      <c r="C35" s="40">
        <f t="shared" si="4"/>
        <v>2.9999999999999997E-4</v>
      </c>
      <c r="D35" s="41">
        <f t="shared" si="6"/>
        <v>0.24</v>
      </c>
      <c r="E35" s="43">
        <f>B24</f>
        <v>800</v>
      </c>
      <c r="F35" s="40">
        <f t="shared" si="5"/>
        <v>0</v>
      </c>
      <c r="G35" s="41">
        <f>E35*F35</f>
        <v>0</v>
      </c>
      <c r="H35" s="41">
        <f>G35-D35</f>
        <v>-0.24</v>
      </c>
      <c r="I35" s="42">
        <f>IF(ISERROR(H35/D35),0,H35/D35)</f>
        <v>-1</v>
      </c>
      <c r="J35" s="62">
        <f t="shared" si="0"/>
        <v>0</v>
      </c>
    </row>
    <row r="36" spans="1:10" x14ac:dyDescent="0.2">
      <c r="A36" s="61" t="str">
        <f t="shared" si="3"/>
        <v>Rate Rider for Deferral/Variance Account Disposition - effective until May 31, 2013</v>
      </c>
      <c r="B36" s="43">
        <f>B24</f>
        <v>800</v>
      </c>
      <c r="C36" s="40">
        <f t="shared" si="4"/>
        <v>4.5999999999999999E-3</v>
      </c>
      <c r="D36" s="41">
        <f t="shared" si="6"/>
        <v>3.6799999999999997</v>
      </c>
      <c r="E36" s="43">
        <f>B24</f>
        <v>800</v>
      </c>
      <c r="F36" s="40">
        <f t="shared" si="5"/>
        <v>4.5999999999999999E-3</v>
      </c>
      <c r="G36" s="41">
        <f t="shared" si="7"/>
        <v>3.6799999999999997</v>
      </c>
      <c r="H36" s="41">
        <f t="shared" si="1"/>
        <v>0</v>
      </c>
      <c r="I36" s="42">
        <f t="shared" si="2"/>
        <v>0</v>
      </c>
      <c r="J36" s="62">
        <f t="shared" si="0"/>
        <v>2.4518507129375838E-2</v>
      </c>
    </row>
    <row r="37" spans="1:10" x14ac:dyDescent="0.2">
      <c r="A37" s="61" t="str">
        <f t="shared" si="3"/>
        <v>Rate Rider for Deferral/Variance Account Disposition - effective until May 31, 2013</v>
      </c>
      <c r="B37" s="43">
        <f>B24</f>
        <v>800</v>
      </c>
      <c r="C37" s="40">
        <f t="shared" si="4"/>
        <v>-6.1000000000000004E-3</v>
      </c>
      <c r="D37" s="41">
        <f t="shared" si="6"/>
        <v>-4.88</v>
      </c>
      <c r="E37" s="43">
        <f>B24</f>
        <v>800</v>
      </c>
      <c r="F37" s="40">
        <f t="shared" si="5"/>
        <v>-6.1000000000000004E-3</v>
      </c>
      <c r="G37" s="41">
        <f t="shared" si="7"/>
        <v>-4.88</v>
      </c>
      <c r="H37" s="41">
        <f t="shared" si="1"/>
        <v>0</v>
      </c>
      <c r="I37" s="42">
        <f t="shared" si="2"/>
        <v>0</v>
      </c>
      <c r="J37" s="62">
        <f t="shared" si="0"/>
        <v>-3.2513672497650567E-2</v>
      </c>
    </row>
    <row r="38" spans="1:10" x14ac:dyDescent="0.2">
      <c r="A38" s="61" t="str">
        <f>A10</f>
        <v>Rate Rider for Deferral/Variance Account Disposition (2012) - effective until December 31, 2013</v>
      </c>
      <c r="B38" s="43">
        <f>B24</f>
        <v>800</v>
      </c>
      <c r="C38" s="40">
        <f>C10</f>
        <v>0</v>
      </c>
      <c r="D38" s="41">
        <f t="shared" si="6"/>
        <v>0</v>
      </c>
      <c r="E38" s="43">
        <f>B24</f>
        <v>800</v>
      </c>
      <c r="F38" s="40">
        <f>D10</f>
        <v>-1.1999999999999999E-3</v>
      </c>
      <c r="G38" s="41">
        <f t="shared" si="7"/>
        <v>-0.96</v>
      </c>
      <c r="H38" s="41">
        <f t="shared" si="1"/>
        <v>-0.96</v>
      </c>
      <c r="I38" s="42">
        <f t="shared" si="2"/>
        <v>0</v>
      </c>
      <c r="J38" s="62">
        <f t="shared" si="0"/>
        <v>-6.396132294619784E-3</v>
      </c>
    </row>
    <row r="39" spans="1:10" x14ac:dyDescent="0.2">
      <c r="A39" s="61" t="str">
        <f>A11</f>
        <v>Rate Rider for Global Adjustment Sub-Account Disposition (2012) - effective until December 31, 2013</v>
      </c>
      <c r="B39" s="43">
        <f>B24</f>
        <v>800</v>
      </c>
      <c r="C39" s="40">
        <f>C11</f>
        <v>0</v>
      </c>
      <c r="D39" s="41">
        <f t="shared" si="6"/>
        <v>0</v>
      </c>
      <c r="E39" s="43">
        <f>B24</f>
        <v>800</v>
      </c>
      <c r="F39" s="40">
        <f>D11</f>
        <v>0</v>
      </c>
      <c r="G39" s="41">
        <f t="shared" si="7"/>
        <v>0</v>
      </c>
      <c r="H39" s="41">
        <f t="shared" si="1"/>
        <v>0</v>
      </c>
      <c r="I39" s="42">
        <f t="shared" si="2"/>
        <v>0</v>
      </c>
      <c r="J39" s="62">
        <f t="shared" si="0"/>
        <v>0</v>
      </c>
    </row>
    <row r="40" spans="1:10" x14ac:dyDescent="0.2">
      <c r="A40" s="61" t="str">
        <f t="shared" ref="A40:A41" si="8">A12</f>
        <v>Smart Meter Cost Recovery Rate Rider - Net Deferred Revenue Requirement, effective until December 31, 2013</v>
      </c>
      <c r="B40" s="43">
        <f>B24</f>
        <v>800</v>
      </c>
      <c r="C40" s="40">
        <f t="shared" ref="C40:C42" si="9">C12</f>
        <v>0</v>
      </c>
      <c r="D40" s="41">
        <f t="shared" si="6"/>
        <v>0</v>
      </c>
      <c r="E40" s="43">
        <f>B24</f>
        <v>800</v>
      </c>
      <c r="F40" s="40">
        <f t="shared" ref="F40:F42" si="10">D12</f>
        <v>0</v>
      </c>
      <c r="G40" s="41">
        <f t="shared" ref="G40:G42" si="11">E40*F40</f>
        <v>0</v>
      </c>
      <c r="H40" s="41">
        <f t="shared" ref="H40:H42" si="12">G40-D40</f>
        <v>0</v>
      </c>
      <c r="I40" s="42">
        <f t="shared" ref="I40:I42" si="13">IF(ISERROR(H40/D40),0,H40/D40)</f>
        <v>0</v>
      </c>
      <c r="J40" s="62">
        <f t="shared" ref="J40:J42" si="14">IF(ISERROR(G40/G$57),0,G40/G$57)</f>
        <v>0</v>
      </c>
    </row>
    <row r="41" spans="1:10" x14ac:dyDescent="0.2">
      <c r="A41" s="61" t="str">
        <f t="shared" si="8"/>
        <v>Smart Meter Cost Recovery Rate Rider - Incremental Revenue Requirement, effective until December 31, 2013</v>
      </c>
      <c r="B41" s="43">
        <f>B24</f>
        <v>800</v>
      </c>
      <c r="C41" s="40">
        <f t="shared" si="9"/>
        <v>0</v>
      </c>
      <c r="D41" s="41">
        <f t="shared" si="6"/>
        <v>0</v>
      </c>
      <c r="E41" s="43">
        <f>B24</f>
        <v>800</v>
      </c>
      <c r="F41" s="40">
        <f t="shared" si="10"/>
        <v>4.7999999999999996E-3</v>
      </c>
      <c r="G41" s="41">
        <f t="shared" si="11"/>
        <v>3.84</v>
      </c>
      <c r="H41" s="41">
        <f t="shared" si="12"/>
        <v>3.84</v>
      </c>
      <c r="I41" s="42">
        <f t="shared" si="13"/>
        <v>0</v>
      </c>
      <c r="J41" s="62">
        <f t="shared" si="14"/>
        <v>2.5584529178479136E-2</v>
      </c>
    </row>
    <row r="42" spans="1:10" x14ac:dyDescent="0.2">
      <c r="A42" s="61"/>
      <c r="B42" s="43">
        <f>B24</f>
        <v>800</v>
      </c>
      <c r="C42" s="40">
        <f t="shared" si="9"/>
        <v>0</v>
      </c>
      <c r="D42" s="41">
        <f t="shared" si="6"/>
        <v>0</v>
      </c>
      <c r="E42" s="43">
        <f>B24</f>
        <v>800</v>
      </c>
      <c r="F42" s="40">
        <f t="shared" si="10"/>
        <v>0</v>
      </c>
      <c r="G42" s="41">
        <f t="shared" si="11"/>
        <v>0</v>
      </c>
      <c r="H42" s="41">
        <f t="shared" si="12"/>
        <v>0</v>
      </c>
      <c r="I42" s="42">
        <f t="shared" si="13"/>
        <v>0</v>
      </c>
      <c r="J42" s="62">
        <f t="shared" si="14"/>
        <v>0</v>
      </c>
    </row>
    <row r="43" spans="1:10" ht="12.75" thickBot="1" x14ac:dyDescent="0.25">
      <c r="A43" s="61" t="str">
        <f t="shared" ref="A43" si="15">A15</f>
        <v>Rate Rider for Tax Changes - effective until December 31, 2012</v>
      </c>
      <c r="B43" s="43">
        <f>B24</f>
        <v>800</v>
      </c>
      <c r="C43" s="40">
        <f t="shared" ref="C43" si="16">C15</f>
        <v>-2.0000000000000001E-4</v>
      </c>
      <c r="D43" s="41">
        <f t="shared" si="6"/>
        <v>-0.16</v>
      </c>
      <c r="E43" s="43">
        <f>B24</f>
        <v>800</v>
      </c>
      <c r="F43" s="40">
        <f t="shared" ref="F43" si="17">D15</f>
        <v>-1E-4</v>
      </c>
      <c r="G43" s="41">
        <f t="shared" si="7"/>
        <v>-0.08</v>
      </c>
      <c r="H43" s="41">
        <f t="shared" si="1"/>
        <v>0.08</v>
      </c>
      <c r="I43" s="42">
        <f t="shared" si="2"/>
        <v>-0.5</v>
      </c>
      <c r="J43" s="62">
        <f t="shared" ref="J43:J57" si="18">IF(ISERROR(G43/G$57),0,G43/G$57)</f>
        <v>-5.330110245516487E-4</v>
      </c>
    </row>
    <row r="44" spans="1:10" ht="12.75" thickBot="1" x14ac:dyDescent="0.25">
      <c r="A44" s="73" t="s">
        <v>40</v>
      </c>
      <c r="B44" s="74"/>
      <c r="C44" s="75"/>
      <c r="D44" s="80">
        <f>SUM(D32:D43)</f>
        <v>45.550000000000004</v>
      </c>
      <c r="E44" s="75"/>
      <c r="F44" s="75"/>
      <c r="G44" s="76">
        <f>SUM(G32:G43)</f>
        <v>48.509999999999991</v>
      </c>
      <c r="H44" s="76">
        <f t="shared" si="1"/>
        <v>2.9599999999999866</v>
      </c>
      <c r="I44" s="77">
        <f t="shared" si="2"/>
        <v>6.4983534577387189E-2</v>
      </c>
      <c r="J44" s="78">
        <f t="shared" si="18"/>
        <v>0.32320456001250591</v>
      </c>
    </row>
    <row r="45" spans="1:10" x14ac:dyDescent="0.2">
      <c r="A45" s="69" t="str">
        <f>A16</f>
        <v>Retail Transmission Rate - Network Service Rate</v>
      </c>
      <c r="B45" s="44">
        <f>B24*Rates!D89</f>
        <v>869.12</v>
      </c>
      <c r="C45" s="45">
        <f>C16</f>
        <v>7.1000000000000004E-3</v>
      </c>
      <c r="D45" s="47">
        <f>B45*C45</f>
        <v>6.1707520000000002</v>
      </c>
      <c r="E45" s="44">
        <f>B24*H24</f>
        <v>869.12</v>
      </c>
      <c r="F45" s="45">
        <f>D16</f>
        <v>6.7999999999999996E-3</v>
      </c>
      <c r="G45" s="47">
        <f>E45*F45</f>
        <v>5.9100159999999997</v>
      </c>
      <c r="H45" s="47">
        <f t="shared" si="1"/>
        <v>-0.26073600000000052</v>
      </c>
      <c r="I45" s="48">
        <f t="shared" si="2"/>
        <v>-4.2253521126760646E-2</v>
      </c>
      <c r="J45" s="72">
        <f t="shared" si="18"/>
        <v>3.9376296040957957E-2</v>
      </c>
    </row>
    <row r="46" spans="1:10" ht="12.75" thickBot="1" x14ac:dyDescent="0.25">
      <c r="A46" s="63" t="str">
        <f>A17</f>
        <v>Retail Transmission Rate - Line and Transformation Connection Service Rate</v>
      </c>
      <c r="B46" s="64">
        <f>B24*Rates!D89</f>
        <v>869.12</v>
      </c>
      <c r="C46" s="65">
        <f>C17</f>
        <v>5.1000000000000004E-3</v>
      </c>
      <c r="D46" s="66">
        <f>B46*C46</f>
        <v>4.432512</v>
      </c>
      <c r="E46" s="64">
        <f>B24*H24</f>
        <v>869.12</v>
      </c>
      <c r="F46" s="65">
        <f>D17</f>
        <v>5.0000000000000001E-3</v>
      </c>
      <c r="G46" s="66">
        <f>E46*F46</f>
        <v>4.3456000000000001</v>
      </c>
      <c r="H46" s="66">
        <f t="shared" si="1"/>
        <v>-8.6911999999999878E-2</v>
      </c>
      <c r="I46" s="67">
        <f t="shared" si="2"/>
        <v>-1.9607843137254874E-2</v>
      </c>
      <c r="J46" s="68">
        <f t="shared" si="18"/>
        <v>2.8953158853645557E-2</v>
      </c>
    </row>
    <row r="47" spans="1:10" ht="12.75" thickBot="1" x14ac:dyDescent="0.25">
      <c r="A47" s="73" t="s">
        <v>32</v>
      </c>
      <c r="B47" s="74"/>
      <c r="C47" s="75"/>
      <c r="D47" s="76">
        <f>SUM(D45:D46)</f>
        <v>10.603263999999999</v>
      </c>
      <c r="E47" s="75"/>
      <c r="F47" s="75"/>
      <c r="G47" s="76">
        <f>SUM(G45:G46)</f>
        <v>10.255616</v>
      </c>
      <c r="H47" s="76">
        <f t="shared" si="1"/>
        <v>-0.34764799999999951</v>
      </c>
      <c r="I47" s="77">
        <f t="shared" si="2"/>
        <v>-3.2786885245901592E-2</v>
      </c>
      <c r="J47" s="78">
        <f t="shared" si="18"/>
        <v>6.8329454894603514E-2</v>
      </c>
    </row>
    <row r="48" spans="1:10" ht="12.75" thickBot="1" x14ac:dyDescent="0.25">
      <c r="A48" s="81" t="s">
        <v>41</v>
      </c>
      <c r="B48" s="82"/>
      <c r="C48" s="83"/>
      <c r="D48" s="84">
        <f>D44+D47</f>
        <v>56.153264000000007</v>
      </c>
      <c r="E48" s="83"/>
      <c r="F48" s="83"/>
      <c r="G48" s="84">
        <f>G44+G47</f>
        <v>58.765615999999994</v>
      </c>
      <c r="H48" s="84">
        <f t="shared" si="1"/>
        <v>2.6123519999999871</v>
      </c>
      <c r="I48" s="85">
        <f t="shared" si="2"/>
        <v>4.6521819283737213E-2</v>
      </c>
      <c r="J48" s="86">
        <f t="shared" si="18"/>
        <v>0.39153401490710943</v>
      </c>
    </row>
    <row r="49" spans="1:10" x14ac:dyDescent="0.2">
      <c r="A49" s="69" t="str">
        <f>A18</f>
        <v>Wholesale Market Service Rate</v>
      </c>
      <c r="B49" s="44">
        <f>B24*Rates!D89</f>
        <v>869.12</v>
      </c>
      <c r="C49" s="45">
        <f>C18</f>
        <v>5.1999999999999998E-3</v>
      </c>
      <c r="D49" s="47">
        <f>B49*C49</f>
        <v>4.5194239999999999</v>
      </c>
      <c r="E49" s="44">
        <f>B24*H24</f>
        <v>869.12</v>
      </c>
      <c r="F49" s="45">
        <f>D18</f>
        <v>5.1999999999999998E-3</v>
      </c>
      <c r="G49" s="47">
        <f>E49*F49</f>
        <v>4.5194239999999999</v>
      </c>
      <c r="H49" s="47">
        <f t="shared" si="1"/>
        <v>0</v>
      </c>
      <c r="I49" s="48">
        <f t="shared" si="2"/>
        <v>0</v>
      </c>
      <c r="J49" s="72">
        <f t="shared" si="18"/>
        <v>3.0111285207791379E-2</v>
      </c>
    </row>
    <row r="50" spans="1:10" x14ac:dyDescent="0.2">
      <c r="A50" s="61" t="str">
        <f>A19</f>
        <v>Rural Rate Protection Charge</v>
      </c>
      <c r="B50" s="39">
        <f>B24*Rates!D89</f>
        <v>869.12</v>
      </c>
      <c r="C50" s="40">
        <f>C19</f>
        <v>1.1000000000000001E-3</v>
      </c>
      <c r="D50" s="41">
        <f>B50*C50</f>
        <v>0.9560320000000001</v>
      </c>
      <c r="E50" s="39">
        <f>B24*H24</f>
        <v>869.12</v>
      </c>
      <c r="F50" s="40">
        <f>D19</f>
        <v>1.1000000000000001E-3</v>
      </c>
      <c r="G50" s="41">
        <f>E50*F50</f>
        <v>0.9560320000000001</v>
      </c>
      <c r="H50" s="41">
        <f t="shared" si="1"/>
        <v>0</v>
      </c>
      <c r="I50" s="42">
        <f t="shared" si="2"/>
        <v>0</v>
      </c>
      <c r="J50" s="62">
        <f t="shared" si="18"/>
        <v>6.369694947802023E-3</v>
      </c>
    </row>
    <row r="51" spans="1:10" x14ac:dyDescent="0.2">
      <c r="A51" s="63" t="s">
        <v>45</v>
      </c>
      <c r="B51" s="64">
        <f>B24*Rates!D89</f>
        <v>869.12</v>
      </c>
      <c r="C51" s="65">
        <f>Rates!D20</f>
        <v>0</v>
      </c>
      <c r="D51" s="66">
        <f>B51*C51</f>
        <v>0</v>
      </c>
      <c r="E51" s="64">
        <f>B24*Rates!F89</f>
        <v>869.12</v>
      </c>
      <c r="F51" s="65">
        <f>Rates!F20</f>
        <v>0</v>
      </c>
      <c r="G51" s="66">
        <f>E51*F51</f>
        <v>0</v>
      </c>
      <c r="H51" s="41">
        <f>G51-D51</f>
        <v>0</v>
      </c>
      <c r="I51" s="42">
        <f>IF(ISERROR(H51/D51),0,H51/D51)</f>
        <v>0</v>
      </c>
      <c r="J51" s="62">
        <f t="shared" si="18"/>
        <v>0</v>
      </c>
    </row>
    <row r="52" spans="1:10" ht="12.75" thickBot="1" x14ac:dyDescent="0.25">
      <c r="A52" s="63" t="str">
        <f>A21</f>
        <v>Standard Supply Service - Administarive Charge (if applicable)</v>
      </c>
      <c r="B52" s="79">
        <f>B32</f>
        <v>1</v>
      </c>
      <c r="C52" s="66">
        <f>C21</f>
        <v>0.25</v>
      </c>
      <c r="D52" s="66">
        <f>B52*C52</f>
        <v>0.25</v>
      </c>
      <c r="E52" s="64">
        <f>B32</f>
        <v>1</v>
      </c>
      <c r="F52" s="66">
        <f>D21</f>
        <v>0.25</v>
      </c>
      <c r="G52" s="66">
        <f>E52*F52</f>
        <v>0.25</v>
      </c>
      <c r="H52" s="66">
        <f t="shared" si="1"/>
        <v>0</v>
      </c>
      <c r="I52" s="67">
        <f t="shared" si="2"/>
        <v>0</v>
      </c>
      <c r="J52" s="68">
        <f t="shared" si="18"/>
        <v>1.6656594517239021E-3</v>
      </c>
    </row>
    <row r="53" spans="1:10" ht="12.75" thickBot="1" x14ac:dyDescent="0.25">
      <c r="A53" s="73" t="s">
        <v>42</v>
      </c>
      <c r="B53" s="74"/>
      <c r="C53" s="75"/>
      <c r="D53" s="76">
        <f>SUM(D49:D52)</f>
        <v>5.7254560000000003</v>
      </c>
      <c r="E53" s="75"/>
      <c r="F53" s="75"/>
      <c r="G53" s="76">
        <f>SUM(G49:G52)</f>
        <v>5.7254560000000003</v>
      </c>
      <c r="H53" s="76">
        <f t="shared" si="1"/>
        <v>0</v>
      </c>
      <c r="I53" s="77">
        <f t="shared" si="2"/>
        <v>0</v>
      </c>
      <c r="J53" s="78">
        <f t="shared" si="18"/>
        <v>3.8146639607317304E-2</v>
      </c>
    </row>
    <row r="54" spans="1:10" ht="12.75" thickBot="1" x14ac:dyDescent="0.25">
      <c r="A54" s="87" t="s">
        <v>19</v>
      </c>
      <c r="B54" s="88">
        <f>B24</f>
        <v>800</v>
      </c>
      <c r="C54" s="89">
        <f>Rates!D83</f>
        <v>2E-3</v>
      </c>
      <c r="D54" s="90">
        <f>B54*C54</f>
        <v>1.6</v>
      </c>
      <c r="E54" s="88">
        <f>B24</f>
        <v>800</v>
      </c>
      <c r="F54" s="89">
        <f>Rates!F83</f>
        <v>2E-3</v>
      </c>
      <c r="G54" s="90">
        <f>E54*F54</f>
        <v>1.6</v>
      </c>
      <c r="H54" s="90">
        <f t="shared" si="1"/>
        <v>0</v>
      </c>
      <c r="I54" s="91">
        <f t="shared" si="2"/>
        <v>0</v>
      </c>
      <c r="J54" s="92">
        <f t="shared" si="18"/>
        <v>1.0660220491032974E-2</v>
      </c>
    </row>
    <row r="55" spans="1:10" ht="12.75" thickBot="1" x14ac:dyDescent="0.25">
      <c r="A55" s="73" t="s">
        <v>43</v>
      </c>
      <c r="B55" s="74"/>
      <c r="C55" s="75"/>
      <c r="D55" s="76">
        <f>D31+D48+D53+D54</f>
        <v>130.21128000000002</v>
      </c>
      <c r="E55" s="75"/>
      <c r="F55" s="75"/>
      <c r="G55" s="76">
        <f>G31+G48+G53+G54</f>
        <v>132.823632</v>
      </c>
      <c r="H55" s="76">
        <f t="shared" si="1"/>
        <v>2.6123519999999871</v>
      </c>
      <c r="I55" s="77">
        <f t="shared" si="2"/>
        <v>2.0062409339651577E-2</v>
      </c>
      <c r="J55" s="78">
        <f t="shared" si="18"/>
        <v>0.88495575221238942</v>
      </c>
    </row>
    <row r="56" spans="1:10" ht="12.75" thickBot="1" x14ac:dyDescent="0.25">
      <c r="A56" s="93" t="s">
        <v>46</v>
      </c>
      <c r="B56" s="94"/>
      <c r="C56" s="95">
        <f>Rates!D90</f>
        <v>0.13</v>
      </c>
      <c r="D56" s="90">
        <f>C56*D55</f>
        <v>16.927466400000004</v>
      </c>
      <c r="E56" s="96"/>
      <c r="F56" s="95">
        <f>Rates!F90</f>
        <v>0.13</v>
      </c>
      <c r="G56" s="90">
        <f>F56*G55</f>
        <v>17.267072160000001</v>
      </c>
      <c r="H56" s="90">
        <f t="shared" si="1"/>
        <v>0.33960575999999776</v>
      </c>
      <c r="I56" s="91">
        <f t="shared" si="2"/>
        <v>2.0062409339651543E-2</v>
      </c>
      <c r="J56" s="92">
        <f t="shared" si="18"/>
        <v>0.11504424778761063</v>
      </c>
    </row>
    <row r="57" spans="1:10" ht="12.75" thickBot="1" x14ac:dyDescent="0.25">
      <c r="A57" s="81" t="s">
        <v>33</v>
      </c>
      <c r="B57" s="82"/>
      <c r="C57" s="83"/>
      <c r="D57" s="104">
        <f>D55+D56</f>
        <v>147.13874640000003</v>
      </c>
      <c r="E57" s="83"/>
      <c r="F57" s="83"/>
      <c r="G57" s="104">
        <f>G55+G56</f>
        <v>150.09070416</v>
      </c>
      <c r="H57" s="104">
        <f t="shared" si="1"/>
        <v>2.9519577599999707</v>
      </c>
      <c r="I57" s="85">
        <f t="shared" si="2"/>
        <v>2.0062409339651477E-2</v>
      </c>
      <c r="J57" s="86">
        <f t="shared" si="18"/>
        <v>1</v>
      </c>
    </row>
    <row r="58" spans="1:10" x14ac:dyDescent="0.2">
      <c r="A58" s="126"/>
      <c r="B58" s="127"/>
      <c r="C58" s="128"/>
      <c r="D58" s="128"/>
      <c r="E58" s="128"/>
      <c r="F58" s="128"/>
      <c r="G58" s="128"/>
      <c r="H58" s="128"/>
      <c r="I58" s="128"/>
      <c r="J58" s="129"/>
    </row>
    <row r="59" spans="1:10" x14ac:dyDescent="0.2">
      <c r="A59" s="130" t="s">
        <v>62</v>
      </c>
      <c r="B59" s="131"/>
      <c r="C59" s="132"/>
      <c r="D59" s="133">
        <f>D57*0.1</f>
        <v>14.713874640000004</v>
      </c>
      <c r="E59" s="132"/>
      <c r="F59" s="132"/>
      <c r="G59" s="133">
        <f>G57*0.1</f>
        <v>15.009070416</v>
      </c>
      <c r="H59" s="132"/>
      <c r="I59" s="132"/>
      <c r="J59" s="134"/>
    </row>
    <row r="60" spans="1:10" ht="12.75" thickBot="1" x14ac:dyDescent="0.25">
      <c r="A60" s="135" t="s">
        <v>63</v>
      </c>
      <c r="B60" s="136"/>
      <c r="C60" s="137"/>
      <c r="D60" s="138">
        <f>D57-D59</f>
        <v>132.42487176000003</v>
      </c>
      <c r="E60" s="137"/>
      <c r="F60" s="137"/>
      <c r="G60" s="138">
        <f>G57-G59</f>
        <v>135.08163374399999</v>
      </c>
      <c r="H60" s="140">
        <f>G60-D60</f>
        <v>2.6567619839999566</v>
      </c>
      <c r="I60" s="141">
        <f>H60/D60</f>
        <v>2.0062409339651349E-2</v>
      </c>
      <c r="J60" s="139"/>
    </row>
  </sheetData>
  <mergeCells count="4">
    <mergeCell ref="A27:A28"/>
    <mergeCell ref="B27:B28"/>
    <mergeCell ref="E27:E28"/>
    <mergeCell ref="H27:J27"/>
  </mergeCells>
  <phoneticPr fontId="2" type="noConversion"/>
  <pageMargins left="0.75" right="0.75" top="1" bottom="1" header="0.5" footer="0.5"/>
  <pageSetup scale="63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0"/>
  <sheetViews>
    <sheetView topLeftCell="A13" zoomScaleNormal="100" workbookViewId="0">
      <selection activeCell="B11" sqref="B11:B13"/>
    </sheetView>
  </sheetViews>
  <sheetFormatPr defaultRowHeight="12" x14ac:dyDescent="0.2"/>
  <cols>
    <col min="1" max="1" width="90.14062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 x14ac:dyDescent="0.25"/>
    <row r="3" spans="1:4" ht="36.75" thickBot="1" x14ac:dyDescent="0.25">
      <c r="A3" s="14" t="str">
        <f>Rates!A4</f>
        <v>Residential - R1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Rates!A5</f>
        <v>Monthly Service Charge</v>
      </c>
      <c r="B4" s="24" t="str">
        <f>Rates!B5</f>
        <v>$</v>
      </c>
      <c r="C4" s="25">
        <f>Rates!D5</f>
        <v>21.51</v>
      </c>
      <c r="D4" s="26">
        <f>Rates!F5</f>
        <v>22.11</v>
      </c>
    </row>
    <row r="5" spans="1:4" x14ac:dyDescent="0.2">
      <c r="A5" s="27" t="str">
        <f>Rates!A6</f>
        <v>Smart Meter Rate Adder</v>
      </c>
      <c r="B5" s="28" t="str">
        <f>Rates!B6</f>
        <v>$</v>
      </c>
      <c r="C5" s="29">
        <f>Rates!D6</f>
        <v>1</v>
      </c>
      <c r="D5" s="30">
        <f>Rates!F6</f>
        <v>0</v>
      </c>
    </row>
    <row r="6" spans="1:4" x14ac:dyDescent="0.2">
      <c r="A6" s="27" t="str">
        <f>Rates!A7</f>
        <v>Distribution Volumetric Rate</v>
      </c>
      <c r="B6" s="28" t="str">
        <f>Rates!B7</f>
        <v>$/kWh</v>
      </c>
      <c r="C6" s="31">
        <f>Rates!D7</f>
        <v>3.0200000000000001E-2</v>
      </c>
      <c r="D6" s="32">
        <f>Rates!F7</f>
        <v>3.1E-2</v>
      </c>
    </row>
    <row r="7" spans="1:4" x14ac:dyDescent="0.2">
      <c r="A7" s="27" t="str">
        <f>Rates!A8</f>
        <v>Rate Rider for Foregone Revenue Recovery - effective until December 31, 2012</v>
      </c>
      <c r="B7" s="28" t="str">
        <f>Rates!B8</f>
        <v>$/kWh</v>
      </c>
      <c r="C7" s="31">
        <f>Rates!D8</f>
        <v>2.9999999999999997E-4</v>
      </c>
      <c r="D7" s="32">
        <f>Rates!F8</f>
        <v>0</v>
      </c>
    </row>
    <row r="8" spans="1:4" x14ac:dyDescent="0.2">
      <c r="A8" s="27" t="str">
        <f>Rates!A9</f>
        <v>Rate Rider for Deferral/Variance Account Disposition - effective until May 31, 2013</v>
      </c>
      <c r="B8" s="28" t="str">
        <f>Rates!B9</f>
        <v>$/kWh</v>
      </c>
      <c r="C8" s="31">
        <f>Rates!D9</f>
        <v>4.5999999999999999E-3</v>
      </c>
      <c r="D8" s="32">
        <f>Rates!F9</f>
        <v>4.5999999999999999E-3</v>
      </c>
    </row>
    <row r="9" spans="1:4" x14ac:dyDescent="0.2">
      <c r="A9" s="27" t="str">
        <f>Rates!A10</f>
        <v>Rate Rider for Deferral/Variance Account Disposition - effective until May 31, 2013</v>
      </c>
      <c r="B9" s="28" t="str">
        <f>Rates!B10</f>
        <v>$/kWh</v>
      </c>
      <c r="C9" s="31">
        <f>Rates!D10</f>
        <v>-6.1000000000000004E-3</v>
      </c>
      <c r="D9" s="32">
        <f>Rates!F10</f>
        <v>-6.1000000000000004E-3</v>
      </c>
    </row>
    <row r="10" spans="1:4" x14ac:dyDescent="0.2">
      <c r="A10" s="27" t="str">
        <f>Rates!A11</f>
        <v>Rate Rider for Deferral/Variance Account Disposition (2012) - effective until December 31, 2013</v>
      </c>
      <c r="B10" s="28" t="str">
        <f>Rates!B11</f>
        <v>$/kWh</v>
      </c>
      <c r="C10" s="31">
        <f>Rates!D11</f>
        <v>0</v>
      </c>
      <c r="D10" s="32">
        <f>Rates!F11</f>
        <v>-1.1999999999999999E-3</v>
      </c>
    </row>
    <row r="11" spans="1:4" x14ac:dyDescent="0.2">
      <c r="A11" s="27" t="str">
        <f>Rates!A12</f>
        <v>Rate Rider for Global Adjustment Sub-Account Disposition (2012) - effective until December 31, 2013</v>
      </c>
      <c r="B11" s="28" t="str">
        <f>Rates!B12</f>
        <v>$/kWh</v>
      </c>
      <c r="C11" s="31">
        <f>Rates!D12</f>
        <v>0</v>
      </c>
      <c r="D11" s="32">
        <f>Rates!F12</f>
        <v>1.1000000000000001E-3</v>
      </c>
    </row>
    <row r="12" spans="1:4" x14ac:dyDescent="0.2">
      <c r="A12" s="27" t="str">
        <f>Rates!A13</f>
        <v>Smart Meter Cost Recovery Rate Rider - Net Deferred Revenue Requirement, effective until December 31, 2013</v>
      </c>
      <c r="B12" s="28" t="str">
        <f>Rates!B13</f>
        <v>$/kWh</v>
      </c>
      <c r="C12" s="31"/>
      <c r="D12" s="32">
        <f>Rates!F13</f>
        <v>0</v>
      </c>
    </row>
    <row r="13" spans="1:4" x14ac:dyDescent="0.2">
      <c r="A13" s="27" t="str">
        <f>Rates!A14</f>
        <v>Smart Meter Cost Recovery Rate Rider - Incremental Revenue Requirement, effective until December 31, 2013</v>
      </c>
      <c r="B13" s="28" t="str">
        <f>Rates!B14</f>
        <v>$/kWh</v>
      </c>
      <c r="C13" s="31"/>
      <c r="D13" s="32">
        <f>Rates!F14</f>
        <v>4.7999999999999996E-3</v>
      </c>
    </row>
    <row r="14" spans="1:4" x14ac:dyDescent="0.2">
      <c r="A14" s="27"/>
      <c r="B14" s="28"/>
      <c r="C14" s="31"/>
      <c r="D14" s="32"/>
    </row>
    <row r="15" spans="1:4" x14ac:dyDescent="0.2">
      <c r="A15" s="27" t="str">
        <f>Rates!A15</f>
        <v>Rate Rider for Tax Changes - effective until December 31, 2012</v>
      </c>
      <c r="B15" s="28" t="str">
        <f>Rates!B15</f>
        <v>$/kWh</v>
      </c>
      <c r="C15" s="31">
        <f>Rates!D15</f>
        <v>-2.0000000000000001E-4</v>
      </c>
      <c r="D15" s="32">
        <f>Rates!F15</f>
        <v>-1E-4</v>
      </c>
    </row>
    <row r="16" spans="1:4" x14ac:dyDescent="0.2">
      <c r="A16" s="27" t="str">
        <f>Rates!A16</f>
        <v>Retail Transmission Rate - Network Service Rate</v>
      </c>
      <c r="B16" s="28" t="str">
        <f>Rates!B16</f>
        <v>$/kWh</v>
      </c>
      <c r="C16" s="31">
        <f>Rates!D16</f>
        <v>7.1000000000000004E-3</v>
      </c>
      <c r="D16" s="32">
        <f>Rates!F16</f>
        <v>6.7999999999999996E-3</v>
      </c>
    </row>
    <row r="17" spans="1:10" x14ac:dyDescent="0.2">
      <c r="A17" s="27" t="str">
        <f>Rates!A17</f>
        <v>Retail Transmission Rate - Line and Transformation Connection Service Rate</v>
      </c>
      <c r="B17" s="28" t="str">
        <f>Rates!B17</f>
        <v>$/kWh</v>
      </c>
      <c r="C17" s="31">
        <f>Rates!D17</f>
        <v>5.1000000000000004E-3</v>
      </c>
      <c r="D17" s="32">
        <f>Rates!F17</f>
        <v>5.0000000000000001E-3</v>
      </c>
    </row>
    <row r="18" spans="1:10" x14ac:dyDescent="0.2">
      <c r="A18" s="19" t="str">
        <f>Rates!A18</f>
        <v>Wholesale Market Service Rate</v>
      </c>
      <c r="B18" s="20" t="str">
        <f>Rates!B18</f>
        <v>$/kWh</v>
      </c>
      <c r="C18" s="21">
        <f>Rates!D18</f>
        <v>5.1999999999999998E-3</v>
      </c>
      <c r="D18" s="22">
        <f>Rates!F18</f>
        <v>5.1999999999999998E-3</v>
      </c>
    </row>
    <row r="19" spans="1:10" x14ac:dyDescent="0.2">
      <c r="A19" s="27" t="str">
        <f>Rates!A19</f>
        <v>Rural Rate Protection Charge</v>
      </c>
      <c r="B19" s="28" t="str">
        <f>Rates!B19</f>
        <v>$/kWh</v>
      </c>
      <c r="C19" s="31">
        <f>Rates!D19</f>
        <v>1.1000000000000001E-3</v>
      </c>
      <c r="D19" s="32">
        <f>Rates!F19</f>
        <v>1.1000000000000001E-3</v>
      </c>
    </row>
    <row r="20" spans="1:10" x14ac:dyDescent="0.2">
      <c r="A20" s="106" t="str">
        <f>Rates!A20</f>
        <v>Special Purpose Charge</v>
      </c>
      <c r="B20" s="28" t="str">
        <f>Rates!B20</f>
        <v>$/kWh</v>
      </c>
      <c r="C20" s="31">
        <f>Rates!D20</f>
        <v>0</v>
      </c>
      <c r="D20" s="32">
        <f>Rates!F20</f>
        <v>0</v>
      </c>
    </row>
    <row r="21" spans="1:10" ht="12.75" thickBot="1" x14ac:dyDescent="0.25">
      <c r="A21" s="12" t="str">
        <f>Rates!A21</f>
        <v>Standard Supply Service - Administarive Charge (if applicable)</v>
      </c>
      <c r="B21" s="17" t="str">
        <f>Rates!B21</f>
        <v>$</v>
      </c>
      <c r="C21" s="18">
        <f>Rates!D21</f>
        <v>0.25</v>
      </c>
      <c r="D21" s="13">
        <f>Rates!F21</f>
        <v>0.25</v>
      </c>
    </row>
    <row r="23" spans="1:10" ht="12.75" thickBot="1" x14ac:dyDescent="0.25"/>
    <row r="24" spans="1:10" ht="13.5" thickBot="1" x14ac:dyDescent="0.25">
      <c r="A24" s="33" t="s">
        <v>26</v>
      </c>
      <c r="B24" s="34">
        <v>800</v>
      </c>
      <c r="C24" s="35" t="s">
        <v>27</v>
      </c>
      <c r="D24" s="36"/>
      <c r="E24" s="35" t="s">
        <v>28</v>
      </c>
      <c r="G24" s="102" t="s">
        <v>23</v>
      </c>
      <c r="H24" s="53">
        <f>Rates!F89</f>
        <v>1.0864</v>
      </c>
    </row>
    <row r="25" spans="1:10" ht="13.5" thickBot="1" x14ac:dyDescent="0.25">
      <c r="A25" s="33" t="s">
        <v>29</v>
      </c>
      <c r="B25" s="34">
        <v>750</v>
      </c>
      <c r="C25" s="35" t="s">
        <v>27</v>
      </c>
      <c r="D25" s="37" t="s">
        <v>30</v>
      </c>
      <c r="E25" s="38" t="str">
        <f>IF(D24&gt;0,B24/(D24*24*30.4)," ")</f>
        <v xml:space="preserve"> </v>
      </c>
    </row>
    <row r="26" spans="1:10" ht="12.75" thickBot="1" x14ac:dyDescent="0.25"/>
    <row r="27" spans="1:10" ht="12.75" customHeight="1" x14ac:dyDescent="0.2">
      <c r="A27" s="149" t="str">
        <f>A3</f>
        <v>Residential - R1</v>
      </c>
      <c r="B27" s="151" t="s">
        <v>31</v>
      </c>
      <c r="C27" s="142" t="s">
        <v>37</v>
      </c>
      <c r="D27" s="142" t="s">
        <v>38</v>
      </c>
      <c r="E27" s="151" t="s">
        <v>31</v>
      </c>
      <c r="F27" s="142" t="s">
        <v>37</v>
      </c>
      <c r="G27" s="142" t="s">
        <v>38</v>
      </c>
      <c r="H27" s="153" t="s">
        <v>44</v>
      </c>
      <c r="I27" s="153"/>
      <c r="J27" s="154"/>
    </row>
    <row r="28" spans="1:10" ht="12.75" thickBot="1" x14ac:dyDescent="0.25">
      <c r="A28" s="150"/>
      <c r="B28" s="152"/>
      <c r="C28" s="50" t="s">
        <v>15</v>
      </c>
      <c r="D28" s="50" t="s">
        <v>15</v>
      </c>
      <c r="E28" s="152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 x14ac:dyDescent="0.2">
      <c r="A29" s="54" t="s">
        <v>35</v>
      </c>
      <c r="B29" s="55">
        <f>IF(B24*Rates!D89&gt;B25,B25,B24*Rates!D89)</f>
        <v>750</v>
      </c>
      <c r="C29" s="56">
        <f>Rates!D84</f>
        <v>7.4999999999999997E-2</v>
      </c>
      <c r="D29" s="57">
        <f>B29*C29</f>
        <v>56.25</v>
      </c>
      <c r="E29" s="55">
        <f>IF(B24*H24&gt;B25,B25,B24*H24)</f>
        <v>750</v>
      </c>
      <c r="F29" s="56">
        <f>Rates!F84</f>
        <v>7.4999999999999997E-2</v>
      </c>
      <c r="G29" s="57">
        <f>E29*F29</f>
        <v>56.25</v>
      </c>
      <c r="H29" s="58">
        <f>G29-D29</f>
        <v>0</v>
      </c>
      <c r="I29" s="59">
        <f>IF(ISERROR(H29/D29),1,H29/D29)</f>
        <v>0</v>
      </c>
      <c r="J29" s="60">
        <f t="shared" ref="J29:J57" si="0">IF(ISERROR(G29/G$57),0,G29/G$57)</f>
        <v>0.37230672284165695</v>
      </c>
    </row>
    <row r="30" spans="1:10" ht="12.75" thickBot="1" x14ac:dyDescent="0.25">
      <c r="A30" s="63" t="s">
        <v>36</v>
      </c>
      <c r="B30" s="64">
        <f>IF(B24*Rates!D89&gt;=B25,B24*Rates!D89-B25,0)</f>
        <v>119.12</v>
      </c>
      <c r="C30" s="65">
        <f>Rates!D85</f>
        <v>8.7999999999999995E-2</v>
      </c>
      <c r="D30" s="66">
        <f>B30*C30</f>
        <v>10.482559999999999</v>
      </c>
      <c r="E30" s="64">
        <f>IF(B24*H24&gt;=B25,B24*H24-B25,0)</f>
        <v>119.12</v>
      </c>
      <c r="F30" s="65">
        <f>Rates!F85</f>
        <v>8.7999999999999995E-2</v>
      </c>
      <c r="G30" s="66">
        <f>E30*F30</f>
        <v>10.482559999999999</v>
      </c>
      <c r="H30" s="66">
        <f t="shared" ref="H30:H57" si="1">G30-D30</f>
        <v>0</v>
      </c>
      <c r="I30" s="67">
        <f t="shared" ref="I30:I57" si="2">IF(ISERROR(H30/D30),0,H30/D30)</f>
        <v>0</v>
      </c>
      <c r="J30" s="68">
        <f t="shared" si="0"/>
        <v>6.9381823299396253E-2</v>
      </c>
    </row>
    <row r="31" spans="1:10" ht="12.75" thickBot="1" x14ac:dyDescent="0.25">
      <c r="A31" s="73" t="s">
        <v>39</v>
      </c>
      <c r="B31" s="74"/>
      <c r="C31" s="75"/>
      <c r="D31" s="76">
        <f>SUM(D29:D30)</f>
        <v>66.732560000000007</v>
      </c>
      <c r="E31" s="75"/>
      <c r="F31" s="75"/>
      <c r="G31" s="76">
        <f>SUM(G29:G30)</f>
        <v>66.732560000000007</v>
      </c>
      <c r="H31" s="76">
        <f t="shared" si="1"/>
        <v>0</v>
      </c>
      <c r="I31" s="77">
        <f t="shared" si="2"/>
        <v>0</v>
      </c>
      <c r="J31" s="78">
        <f t="shared" si="0"/>
        <v>0.4416885461410533</v>
      </c>
    </row>
    <row r="32" spans="1:10" x14ac:dyDescent="0.2">
      <c r="A32" s="69" t="str">
        <f t="shared" ref="A32:A37" si="3">A4</f>
        <v>Monthly Service Charge</v>
      </c>
      <c r="B32" s="70">
        <v>1</v>
      </c>
      <c r="C32" s="46">
        <f t="shared" ref="C32:C37" si="4">C4</f>
        <v>21.51</v>
      </c>
      <c r="D32" s="46">
        <f>B32*C32</f>
        <v>21.51</v>
      </c>
      <c r="E32" s="71">
        <f>B32</f>
        <v>1</v>
      </c>
      <c r="F32" s="47">
        <f t="shared" ref="F32:F37" si="5">D4</f>
        <v>22.11</v>
      </c>
      <c r="G32" s="47">
        <f>E32*F32</f>
        <v>22.11</v>
      </c>
      <c r="H32" s="47">
        <f t="shared" si="1"/>
        <v>0.59999999999999787</v>
      </c>
      <c r="I32" s="48">
        <f t="shared" si="2"/>
        <v>2.7894002789400178E-2</v>
      </c>
      <c r="J32" s="72">
        <f t="shared" si="0"/>
        <v>0.14634136252496063</v>
      </c>
    </row>
    <row r="33" spans="1:10" x14ac:dyDescent="0.2">
      <c r="A33" s="61" t="str">
        <f t="shared" si="3"/>
        <v>Smart Meter Rate Adder</v>
      </c>
      <c r="B33" s="43">
        <f>B32</f>
        <v>1</v>
      </c>
      <c r="C33" s="41">
        <f t="shared" si="4"/>
        <v>1</v>
      </c>
      <c r="D33" s="41">
        <f t="shared" ref="D33:D43" si="6">B33*C33</f>
        <v>1</v>
      </c>
      <c r="E33" s="43">
        <f>B33</f>
        <v>1</v>
      </c>
      <c r="F33" s="41">
        <f t="shared" si="5"/>
        <v>0</v>
      </c>
      <c r="G33" s="41">
        <f t="shared" ref="G33:G43" si="7">E33*F33</f>
        <v>0</v>
      </c>
      <c r="H33" s="41">
        <f t="shared" si="1"/>
        <v>-1</v>
      </c>
      <c r="I33" s="42">
        <f>IF(ISERROR(H33/D33),1,H33/D33)</f>
        <v>-1</v>
      </c>
      <c r="J33" s="62">
        <f t="shared" si="0"/>
        <v>0</v>
      </c>
    </row>
    <row r="34" spans="1:10" x14ac:dyDescent="0.2">
      <c r="A34" s="61" t="str">
        <f t="shared" si="3"/>
        <v>Distribution Volumetric Rate</v>
      </c>
      <c r="B34" s="43">
        <f>B24</f>
        <v>800</v>
      </c>
      <c r="C34" s="40">
        <f t="shared" si="4"/>
        <v>3.0200000000000001E-2</v>
      </c>
      <c r="D34" s="41">
        <f t="shared" si="6"/>
        <v>24.16</v>
      </c>
      <c r="E34" s="43">
        <f>B24</f>
        <v>800</v>
      </c>
      <c r="F34" s="40">
        <f t="shared" si="5"/>
        <v>3.1E-2</v>
      </c>
      <c r="G34" s="41">
        <f t="shared" si="7"/>
        <v>24.8</v>
      </c>
      <c r="H34" s="41">
        <f t="shared" si="1"/>
        <v>0.64000000000000057</v>
      </c>
      <c r="I34" s="42">
        <f t="shared" si="2"/>
        <v>2.6490066225165587E-2</v>
      </c>
      <c r="J34" s="62">
        <f t="shared" si="0"/>
        <v>0.16414589735952165</v>
      </c>
    </row>
    <row r="35" spans="1:10" x14ac:dyDescent="0.2">
      <c r="A35" s="61" t="str">
        <f t="shared" si="3"/>
        <v>Rate Rider for Foregone Revenue Recovery - effective until December 31, 2012</v>
      </c>
      <c r="B35" s="43">
        <f>B24</f>
        <v>800</v>
      </c>
      <c r="C35" s="40">
        <f t="shared" si="4"/>
        <v>2.9999999999999997E-4</v>
      </c>
      <c r="D35" s="41">
        <f t="shared" si="6"/>
        <v>0.24</v>
      </c>
      <c r="E35" s="43">
        <f>B24</f>
        <v>800</v>
      </c>
      <c r="F35" s="40">
        <f t="shared" si="5"/>
        <v>0</v>
      </c>
      <c r="G35" s="41">
        <f>E35*F35</f>
        <v>0</v>
      </c>
      <c r="H35" s="41">
        <f>G35-D35</f>
        <v>-0.24</v>
      </c>
      <c r="I35" s="42">
        <f>IF(ISERROR(H35/D35),0,H35/D35)</f>
        <v>-1</v>
      </c>
      <c r="J35" s="62">
        <f t="shared" si="0"/>
        <v>0</v>
      </c>
    </row>
    <row r="36" spans="1:10" x14ac:dyDescent="0.2">
      <c r="A36" s="61" t="str">
        <f t="shared" si="3"/>
        <v>Rate Rider for Deferral/Variance Account Disposition - effective until May 31, 2013</v>
      </c>
      <c r="B36" s="43">
        <f>B24</f>
        <v>800</v>
      </c>
      <c r="C36" s="40">
        <f t="shared" si="4"/>
        <v>4.5999999999999999E-3</v>
      </c>
      <c r="D36" s="41">
        <f t="shared" si="6"/>
        <v>3.6799999999999997</v>
      </c>
      <c r="E36" s="43">
        <f>B24</f>
        <v>800</v>
      </c>
      <c r="F36" s="40">
        <f t="shared" si="5"/>
        <v>4.5999999999999999E-3</v>
      </c>
      <c r="G36" s="41">
        <f t="shared" si="7"/>
        <v>3.6799999999999997</v>
      </c>
      <c r="H36" s="41">
        <f t="shared" si="1"/>
        <v>0</v>
      </c>
      <c r="I36" s="42">
        <f t="shared" si="2"/>
        <v>0</v>
      </c>
      <c r="J36" s="62">
        <f t="shared" si="0"/>
        <v>2.435713315657418E-2</v>
      </c>
    </row>
    <row r="37" spans="1:10" x14ac:dyDescent="0.2">
      <c r="A37" s="61" t="str">
        <f t="shared" si="3"/>
        <v>Rate Rider for Deferral/Variance Account Disposition - effective until May 31, 2013</v>
      </c>
      <c r="B37" s="43">
        <f>B24</f>
        <v>800</v>
      </c>
      <c r="C37" s="40">
        <f t="shared" si="4"/>
        <v>-6.1000000000000004E-3</v>
      </c>
      <c r="D37" s="41">
        <f t="shared" si="6"/>
        <v>-4.88</v>
      </c>
      <c r="E37" s="43">
        <f>B24</f>
        <v>800</v>
      </c>
      <c r="F37" s="40">
        <f t="shared" si="5"/>
        <v>-6.1000000000000004E-3</v>
      </c>
      <c r="G37" s="41">
        <f t="shared" si="7"/>
        <v>-4.88</v>
      </c>
      <c r="H37" s="41">
        <f t="shared" si="1"/>
        <v>0</v>
      </c>
      <c r="I37" s="42">
        <f t="shared" si="2"/>
        <v>0</v>
      </c>
      <c r="J37" s="62">
        <f t="shared" si="0"/>
        <v>-3.2299676577196193E-2</v>
      </c>
    </row>
    <row r="38" spans="1:10" x14ac:dyDescent="0.2">
      <c r="A38" s="61" t="str">
        <f>A10</f>
        <v>Rate Rider for Deferral/Variance Account Disposition (2012) - effective until December 31, 2013</v>
      </c>
      <c r="B38" s="43">
        <f>B24</f>
        <v>800</v>
      </c>
      <c r="C38" s="40">
        <f>C10</f>
        <v>0</v>
      </c>
      <c r="D38" s="41">
        <f t="shared" si="6"/>
        <v>0</v>
      </c>
      <c r="E38" s="43">
        <f>B24</f>
        <v>800</v>
      </c>
      <c r="F38" s="40">
        <f>D10</f>
        <v>-1.1999999999999999E-3</v>
      </c>
      <c r="G38" s="41">
        <f t="shared" si="7"/>
        <v>-0.96</v>
      </c>
      <c r="H38" s="41">
        <f t="shared" si="1"/>
        <v>-0.96</v>
      </c>
      <c r="I38" s="42">
        <f t="shared" si="2"/>
        <v>0</v>
      </c>
      <c r="J38" s="62">
        <f t="shared" si="0"/>
        <v>-6.3540347364976118E-3</v>
      </c>
    </row>
    <row r="39" spans="1:10" x14ac:dyDescent="0.2">
      <c r="A39" s="61" t="str">
        <f>A11</f>
        <v>Rate Rider for Global Adjustment Sub-Account Disposition (2012) - effective until December 31, 2013</v>
      </c>
      <c r="B39" s="43">
        <f>B24</f>
        <v>800</v>
      </c>
      <c r="C39" s="40">
        <f>C11</f>
        <v>0</v>
      </c>
      <c r="D39" s="41">
        <f t="shared" si="6"/>
        <v>0</v>
      </c>
      <c r="E39" s="43">
        <f>B24</f>
        <v>800</v>
      </c>
      <c r="F39" s="40">
        <f>D11</f>
        <v>1.1000000000000001E-3</v>
      </c>
      <c r="G39" s="41">
        <f t="shared" si="7"/>
        <v>0.88</v>
      </c>
      <c r="H39" s="41">
        <f t="shared" si="1"/>
        <v>0.88</v>
      </c>
      <c r="I39" s="42">
        <f t="shared" si="2"/>
        <v>0</v>
      </c>
      <c r="J39" s="62">
        <f t="shared" si="0"/>
        <v>5.8245318417894784E-3</v>
      </c>
    </row>
    <row r="40" spans="1:10" x14ac:dyDescent="0.2">
      <c r="A40" s="61" t="str">
        <f>A12</f>
        <v>Smart Meter Cost Recovery Rate Rider - Net Deferred Revenue Requirement, effective until December 31, 2013</v>
      </c>
      <c r="B40" s="43">
        <f>B24</f>
        <v>800</v>
      </c>
      <c r="C40" s="40">
        <f t="shared" ref="C40:C43" si="8">C12</f>
        <v>0</v>
      </c>
      <c r="D40" s="41">
        <f t="shared" si="6"/>
        <v>0</v>
      </c>
      <c r="E40" s="43">
        <f>B24</f>
        <v>800</v>
      </c>
      <c r="F40" s="40">
        <f t="shared" ref="F40:F43" si="9">D12</f>
        <v>0</v>
      </c>
      <c r="G40" s="41">
        <f t="shared" si="7"/>
        <v>0</v>
      </c>
      <c r="H40" s="41">
        <f t="shared" si="1"/>
        <v>0</v>
      </c>
      <c r="I40" s="42">
        <f t="shared" si="2"/>
        <v>0</v>
      </c>
      <c r="J40" s="62">
        <f t="shared" si="0"/>
        <v>0</v>
      </c>
    </row>
    <row r="41" spans="1:10" x14ac:dyDescent="0.2">
      <c r="A41" s="61" t="str">
        <f>A13</f>
        <v>Smart Meter Cost Recovery Rate Rider - Incremental Revenue Requirement, effective until December 31, 2013</v>
      </c>
      <c r="B41" s="43">
        <f>B24</f>
        <v>800</v>
      </c>
      <c r="C41" s="40">
        <f t="shared" si="8"/>
        <v>0</v>
      </c>
      <c r="D41" s="41">
        <f t="shared" si="6"/>
        <v>0</v>
      </c>
      <c r="E41" s="43">
        <f>B24</f>
        <v>800</v>
      </c>
      <c r="F41" s="40">
        <f t="shared" si="9"/>
        <v>4.7999999999999996E-3</v>
      </c>
      <c r="G41" s="41">
        <f t="shared" si="7"/>
        <v>3.84</v>
      </c>
      <c r="H41" s="41">
        <f t="shared" si="1"/>
        <v>3.84</v>
      </c>
      <c r="I41" s="42">
        <f t="shared" si="2"/>
        <v>0</v>
      </c>
      <c r="J41" s="62">
        <f t="shared" si="0"/>
        <v>2.5416138945990447E-2</v>
      </c>
    </row>
    <row r="42" spans="1:10" x14ac:dyDescent="0.2">
      <c r="A42" s="61"/>
      <c r="B42" s="43">
        <f>B24</f>
        <v>800</v>
      </c>
      <c r="C42" s="40">
        <f t="shared" si="8"/>
        <v>0</v>
      </c>
      <c r="D42" s="41">
        <f t="shared" si="6"/>
        <v>0</v>
      </c>
      <c r="E42" s="43">
        <f>B24</f>
        <v>800</v>
      </c>
      <c r="F42" s="40">
        <f t="shared" si="9"/>
        <v>0</v>
      </c>
      <c r="G42" s="41">
        <f t="shared" si="7"/>
        <v>0</v>
      </c>
      <c r="H42" s="41">
        <f t="shared" si="1"/>
        <v>0</v>
      </c>
      <c r="I42" s="42">
        <f t="shared" si="2"/>
        <v>0</v>
      </c>
      <c r="J42" s="62">
        <f t="shared" si="0"/>
        <v>0</v>
      </c>
    </row>
    <row r="43" spans="1:10" ht="12.75" thickBot="1" x14ac:dyDescent="0.25">
      <c r="A43" s="61" t="str">
        <f t="shared" ref="A43" si="10">A15</f>
        <v>Rate Rider for Tax Changes - effective until December 31, 2012</v>
      </c>
      <c r="B43" s="43">
        <f>B24</f>
        <v>800</v>
      </c>
      <c r="C43" s="40">
        <f t="shared" si="8"/>
        <v>-2.0000000000000001E-4</v>
      </c>
      <c r="D43" s="41">
        <f t="shared" si="6"/>
        <v>-0.16</v>
      </c>
      <c r="E43" s="43">
        <f>B24</f>
        <v>800</v>
      </c>
      <c r="F43" s="40">
        <f t="shared" si="9"/>
        <v>-1E-4</v>
      </c>
      <c r="G43" s="41">
        <f t="shared" si="7"/>
        <v>-0.08</v>
      </c>
      <c r="H43" s="41">
        <f t="shared" si="1"/>
        <v>0.08</v>
      </c>
      <c r="I43" s="42">
        <f t="shared" si="2"/>
        <v>-0.5</v>
      </c>
      <c r="J43" s="62">
        <f t="shared" si="0"/>
        <v>-5.2950289470813435E-4</v>
      </c>
    </row>
    <row r="44" spans="1:10" ht="12.75" thickBot="1" x14ac:dyDescent="0.25">
      <c r="A44" s="73" t="s">
        <v>40</v>
      </c>
      <c r="B44" s="74"/>
      <c r="C44" s="75"/>
      <c r="D44" s="80">
        <f>SUM(D32:D43)</f>
        <v>45.550000000000004</v>
      </c>
      <c r="E44" s="75"/>
      <c r="F44" s="75"/>
      <c r="G44" s="76">
        <f>SUM(G32:G43)</f>
        <v>49.39</v>
      </c>
      <c r="H44" s="76">
        <f t="shared" si="1"/>
        <v>3.8399999999999963</v>
      </c>
      <c r="I44" s="77">
        <f t="shared" si="2"/>
        <v>8.4302963776070161E-2</v>
      </c>
      <c r="J44" s="78">
        <f t="shared" si="0"/>
        <v>0.32690184962043445</v>
      </c>
    </row>
    <row r="45" spans="1:10" x14ac:dyDescent="0.2">
      <c r="A45" s="69" t="str">
        <f>A16</f>
        <v>Retail Transmission Rate - Network Service Rate</v>
      </c>
      <c r="B45" s="44">
        <f>B24*Rates!D89</f>
        <v>869.12</v>
      </c>
      <c r="C45" s="45">
        <f>C16</f>
        <v>7.1000000000000004E-3</v>
      </c>
      <c r="D45" s="47">
        <f>B45*C45</f>
        <v>6.1707520000000002</v>
      </c>
      <c r="E45" s="44">
        <f>B24*H24</f>
        <v>869.12</v>
      </c>
      <c r="F45" s="45">
        <f>D16</f>
        <v>6.7999999999999996E-3</v>
      </c>
      <c r="G45" s="47">
        <f>E45*F45</f>
        <v>5.9100159999999997</v>
      </c>
      <c r="H45" s="47">
        <f t="shared" si="1"/>
        <v>-0.26073600000000052</v>
      </c>
      <c r="I45" s="48">
        <f t="shared" si="2"/>
        <v>-4.2253521126760646E-2</v>
      </c>
      <c r="J45" s="72">
        <f t="shared" si="0"/>
        <v>3.9117132247142368E-2</v>
      </c>
    </row>
    <row r="46" spans="1:10" ht="12.75" thickBot="1" x14ac:dyDescent="0.25">
      <c r="A46" s="63" t="str">
        <f>A17</f>
        <v>Retail Transmission Rate - Line and Transformation Connection Service Rate</v>
      </c>
      <c r="B46" s="64">
        <f>B24*Rates!D89</f>
        <v>869.12</v>
      </c>
      <c r="C46" s="65">
        <f>C17</f>
        <v>5.1000000000000004E-3</v>
      </c>
      <c r="D46" s="66">
        <f>B46*C46</f>
        <v>4.432512</v>
      </c>
      <c r="E46" s="64">
        <f>B24*H24</f>
        <v>869.12</v>
      </c>
      <c r="F46" s="65">
        <f>D17</f>
        <v>5.0000000000000001E-3</v>
      </c>
      <c r="G46" s="66">
        <f>E46*F46</f>
        <v>4.3456000000000001</v>
      </c>
      <c r="H46" s="66">
        <f t="shared" si="1"/>
        <v>-8.6911999999999878E-2</v>
      </c>
      <c r="I46" s="67">
        <f t="shared" si="2"/>
        <v>-1.9607843137254874E-2</v>
      </c>
      <c r="J46" s="68">
        <f t="shared" si="0"/>
        <v>2.8762597240545858E-2</v>
      </c>
    </row>
    <row r="47" spans="1:10" ht="12.75" thickBot="1" x14ac:dyDescent="0.25">
      <c r="A47" s="73" t="s">
        <v>32</v>
      </c>
      <c r="B47" s="74"/>
      <c r="C47" s="75"/>
      <c r="D47" s="76">
        <f>SUM(D45:D46)</f>
        <v>10.603263999999999</v>
      </c>
      <c r="E47" s="75"/>
      <c r="F47" s="75"/>
      <c r="G47" s="76">
        <f>SUM(G45:G46)</f>
        <v>10.255616</v>
      </c>
      <c r="H47" s="76">
        <f t="shared" si="1"/>
        <v>-0.34764799999999951</v>
      </c>
      <c r="I47" s="77">
        <f t="shared" si="2"/>
        <v>-3.2786885245901592E-2</v>
      </c>
      <c r="J47" s="78">
        <f t="shared" si="0"/>
        <v>6.7879729487688223E-2</v>
      </c>
    </row>
    <row r="48" spans="1:10" ht="12.75" thickBot="1" x14ac:dyDescent="0.25">
      <c r="A48" s="81" t="s">
        <v>41</v>
      </c>
      <c r="B48" s="82"/>
      <c r="C48" s="83"/>
      <c r="D48" s="84">
        <f>D44+D47</f>
        <v>56.153264000000007</v>
      </c>
      <c r="E48" s="83"/>
      <c r="F48" s="83"/>
      <c r="G48" s="84">
        <f>G44+G47</f>
        <v>59.645616000000004</v>
      </c>
      <c r="H48" s="84">
        <f t="shared" si="1"/>
        <v>3.4923519999999968</v>
      </c>
      <c r="I48" s="85">
        <f t="shared" si="2"/>
        <v>6.2193214627737338E-2</v>
      </c>
      <c r="J48" s="86">
        <f t="shared" si="0"/>
        <v>0.39478157910812273</v>
      </c>
    </row>
    <row r="49" spans="1:10" x14ac:dyDescent="0.2">
      <c r="A49" s="69" t="str">
        <f>A18</f>
        <v>Wholesale Market Service Rate</v>
      </c>
      <c r="B49" s="44">
        <f>B24*Rates!D89</f>
        <v>869.12</v>
      </c>
      <c r="C49" s="45">
        <f>C18</f>
        <v>5.1999999999999998E-3</v>
      </c>
      <c r="D49" s="47">
        <f>B49*C49</f>
        <v>4.5194239999999999</v>
      </c>
      <c r="E49" s="44">
        <f>B24*H24</f>
        <v>869.12</v>
      </c>
      <c r="F49" s="45">
        <f>D18</f>
        <v>5.1999999999999998E-3</v>
      </c>
      <c r="G49" s="47">
        <f>E49*F49</f>
        <v>4.5194239999999999</v>
      </c>
      <c r="H49" s="47">
        <f t="shared" si="1"/>
        <v>0</v>
      </c>
      <c r="I49" s="48">
        <f t="shared" si="2"/>
        <v>0</v>
      </c>
      <c r="J49" s="72">
        <f t="shared" si="0"/>
        <v>2.9913101130167694E-2</v>
      </c>
    </row>
    <row r="50" spans="1:10" x14ac:dyDescent="0.2">
      <c r="A50" s="61" t="str">
        <f>A19</f>
        <v>Rural Rate Protection Charge</v>
      </c>
      <c r="B50" s="39">
        <f>B24*Rates!D89</f>
        <v>869.12</v>
      </c>
      <c r="C50" s="40">
        <f>C19</f>
        <v>1.1000000000000001E-3</v>
      </c>
      <c r="D50" s="41">
        <f>B50*C50</f>
        <v>0.9560320000000001</v>
      </c>
      <c r="E50" s="39">
        <f>B24*H24</f>
        <v>869.12</v>
      </c>
      <c r="F50" s="40">
        <f>D19</f>
        <v>1.1000000000000001E-3</v>
      </c>
      <c r="G50" s="41">
        <f>E50*F50</f>
        <v>0.9560320000000001</v>
      </c>
      <c r="H50" s="41">
        <f t="shared" si="1"/>
        <v>0</v>
      </c>
      <c r="I50" s="42">
        <f t="shared" si="2"/>
        <v>0</v>
      </c>
      <c r="J50" s="62">
        <f t="shared" si="0"/>
        <v>6.32777139292009E-3</v>
      </c>
    </row>
    <row r="51" spans="1:10" x14ac:dyDescent="0.2">
      <c r="A51" s="63" t="s">
        <v>45</v>
      </c>
      <c r="B51" s="64">
        <f>B24*Rates!D89</f>
        <v>869.12</v>
      </c>
      <c r="C51" s="65">
        <f>Rates!D20</f>
        <v>0</v>
      </c>
      <c r="D51" s="66">
        <f>B51*C51</f>
        <v>0</v>
      </c>
      <c r="E51" s="64">
        <f>B24*Rates!F89</f>
        <v>869.12</v>
      </c>
      <c r="F51" s="65">
        <f>Rates!F20</f>
        <v>0</v>
      </c>
      <c r="G51" s="66">
        <f>E51*F51</f>
        <v>0</v>
      </c>
      <c r="H51" s="41">
        <f>G51-D51</f>
        <v>0</v>
      </c>
      <c r="I51" s="42">
        <f>IF(ISERROR(H51/D51),0,H51/D51)</f>
        <v>0</v>
      </c>
      <c r="J51" s="62">
        <f t="shared" si="0"/>
        <v>0</v>
      </c>
    </row>
    <row r="52" spans="1:10" ht="12.75" thickBot="1" x14ac:dyDescent="0.25">
      <c r="A52" s="63" t="str">
        <f>A21</f>
        <v>Standard Supply Service - Administarive Charge (if applicable)</v>
      </c>
      <c r="B52" s="79">
        <f>B32</f>
        <v>1</v>
      </c>
      <c r="C52" s="66">
        <f>C21</f>
        <v>0.25</v>
      </c>
      <c r="D52" s="66">
        <f>B52*C52</f>
        <v>0.25</v>
      </c>
      <c r="E52" s="64">
        <f>B32</f>
        <v>1</v>
      </c>
      <c r="F52" s="66">
        <f>D21</f>
        <v>0.25</v>
      </c>
      <c r="G52" s="66">
        <f>E52*F52</f>
        <v>0.25</v>
      </c>
      <c r="H52" s="66">
        <f t="shared" si="1"/>
        <v>0</v>
      </c>
      <c r="I52" s="67">
        <f t="shared" si="2"/>
        <v>0</v>
      </c>
      <c r="J52" s="68">
        <f t="shared" si="0"/>
        <v>1.6546965459629198E-3</v>
      </c>
    </row>
    <row r="53" spans="1:10" ht="12.75" thickBot="1" x14ac:dyDescent="0.25">
      <c r="A53" s="73" t="s">
        <v>42</v>
      </c>
      <c r="B53" s="74"/>
      <c r="C53" s="75"/>
      <c r="D53" s="76">
        <f>SUM(D49:D52)</f>
        <v>5.7254560000000003</v>
      </c>
      <c r="E53" s="75"/>
      <c r="F53" s="75"/>
      <c r="G53" s="76">
        <f>SUM(G49:G52)</f>
        <v>5.7254560000000003</v>
      </c>
      <c r="H53" s="76">
        <f t="shared" si="1"/>
        <v>0</v>
      </c>
      <c r="I53" s="77">
        <f t="shared" si="2"/>
        <v>0</v>
      </c>
      <c r="J53" s="78">
        <f t="shared" si="0"/>
        <v>3.7895569069050707E-2</v>
      </c>
    </row>
    <row r="54" spans="1:10" ht="12.75" thickBot="1" x14ac:dyDescent="0.25">
      <c r="A54" s="87" t="s">
        <v>19</v>
      </c>
      <c r="B54" s="88">
        <f>B24</f>
        <v>800</v>
      </c>
      <c r="C54" s="89">
        <f>Rates!D83</f>
        <v>2E-3</v>
      </c>
      <c r="D54" s="90">
        <f>B54*C54</f>
        <v>1.6</v>
      </c>
      <c r="E54" s="88">
        <f>B24</f>
        <v>800</v>
      </c>
      <c r="F54" s="89">
        <f>Rates!F83</f>
        <v>2E-3</v>
      </c>
      <c r="G54" s="90">
        <f>E54*F54</f>
        <v>1.6</v>
      </c>
      <c r="H54" s="90">
        <f t="shared" si="1"/>
        <v>0</v>
      </c>
      <c r="I54" s="91">
        <f t="shared" si="2"/>
        <v>0</v>
      </c>
      <c r="J54" s="92">
        <f t="shared" si="0"/>
        <v>1.0590057894162688E-2</v>
      </c>
    </row>
    <row r="55" spans="1:10" ht="12.75" thickBot="1" x14ac:dyDescent="0.25">
      <c r="A55" s="73" t="s">
        <v>43</v>
      </c>
      <c r="B55" s="74"/>
      <c r="C55" s="75"/>
      <c r="D55" s="76">
        <f>D31+D48+D53+D54</f>
        <v>130.21128000000002</v>
      </c>
      <c r="E55" s="75"/>
      <c r="F55" s="75"/>
      <c r="G55" s="76">
        <f>G31+G48+G53+G54</f>
        <v>133.703632</v>
      </c>
      <c r="H55" s="76">
        <f t="shared" si="1"/>
        <v>3.4923519999999826</v>
      </c>
      <c r="I55" s="77">
        <f t="shared" si="2"/>
        <v>2.6820656397817319E-2</v>
      </c>
      <c r="J55" s="78">
        <f t="shared" si="0"/>
        <v>0.88495575221238931</v>
      </c>
    </row>
    <row r="56" spans="1:10" ht="12.75" thickBot="1" x14ac:dyDescent="0.25">
      <c r="A56" s="93" t="s">
        <v>46</v>
      </c>
      <c r="B56" s="94"/>
      <c r="C56" s="95">
        <f>Rates!D90</f>
        <v>0.13</v>
      </c>
      <c r="D56" s="90">
        <f>C56*D55</f>
        <v>16.927466400000004</v>
      </c>
      <c r="E56" s="96"/>
      <c r="F56" s="95">
        <f>Rates!F90</f>
        <v>0.13</v>
      </c>
      <c r="G56" s="90">
        <f>F56*G55</f>
        <v>17.381472160000001</v>
      </c>
      <c r="H56" s="90">
        <f t="shared" si="1"/>
        <v>0.45400575999999759</v>
      </c>
      <c r="I56" s="91">
        <f t="shared" si="2"/>
        <v>2.6820656397817305E-2</v>
      </c>
      <c r="J56" s="92">
        <f t="shared" si="0"/>
        <v>0.11504424778761062</v>
      </c>
    </row>
    <row r="57" spans="1:10" ht="12.75" thickBot="1" x14ac:dyDescent="0.25">
      <c r="A57" s="81" t="s">
        <v>33</v>
      </c>
      <c r="B57" s="82"/>
      <c r="C57" s="83"/>
      <c r="D57" s="104">
        <f>D55+D56</f>
        <v>147.13874640000003</v>
      </c>
      <c r="E57" s="83"/>
      <c r="F57" s="83"/>
      <c r="G57" s="104">
        <f>G55+G56</f>
        <v>151.08510416000001</v>
      </c>
      <c r="H57" s="104">
        <f t="shared" si="1"/>
        <v>3.9463577599999837</v>
      </c>
      <c r="I57" s="85">
        <f t="shared" si="2"/>
        <v>2.682065639781734E-2</v>
      </c>
      <c r="J57" s="86">
        <f t="shared" si="0"/>
        <v>1</v>
      </c>
    </row>
    <row r="58" spans="1:10" x14ac:dyDescent="0.2">
      <c r="A58" s="126"/>
      <c r="B58" s="127"/>
      <c r="C58" s="128"/>
      <c r="D58" s="128"/>
      <c r="E58" s="128"/>
      <c r="F58" s="128"/>
      <c r="G58" s="128"/>
      <c r="H58" s="128"/>
      <c r="I58" s="128"/>
      <c r="J58" s="129"/>
    </row>
    <row r="59" spans="1:10" x14ac:dyDescent="0.2">
      <c r="A59" s="130" t="s">
        <v>62</v>
      </c>
      <c r="B59" s="131"/>
      <c r="C59" s="132"/>
      <c r="D59" s="133">
        <f>D57*0.1</f>
        <v>14.713874640000004</v>
      </c>
      <c r="E59" s="132"/>
      <c r="F59" s="132"/>
      <c r="G59" s="133">
        <f>G57*0.1</f>
        <v>15.108510416000001</v>
      </c>
      <c r="H59" s="132"/>
      <c r="I59" s="132"/>
      <c r="J59" s="134"/>
    </row>
    <row r="60" spans="1:10" ht="12.75" thickBot="1" x14ac:dyDescent="0.25">
      <c r="A60" s="135" t="s">
        <v>63</v>
      </c>
      <c r="B60" s="136"/>
      <c r="C60" s="137"/>
      <c r="D60" s="138">
        <f>D57-D59</f>
        <v>132.42487176000003</v>
      </c>
      <c r="E60" s="137"/>
      <c r="F60" s="137"/>
      <c r="G60" s="138">
        <f>G57-G59</f>
        <v>135.97659374400001</v>
      </c>
      <c r="H60" s="140">
        <f>G60-D60</f>
        <v>3.5517219839999825</v>
      </c>
      <c r="I60" s="141">
        <f>H60/D60</f>
        <v>2.6820656397817316E-2</v>
      </c>
      <c r="J60" s="139"/>
    </row>
  </sheetData>
  <mergeCells count="4">
    <mergeCell ref="A27:A28"/>
    <mergeCell ref="B27:B28"/>
    <mergeCell ref="E27:E28"/>
    <mergeCell ref="H27:J27"/>
  </mergeCells>
  <pageMargins left="0.75" right="0.75" top="1" bottom="1" header="0.5" footer="0.5"/>
  <pageSetup scale="63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0"/>
  <sheetViews>
    <sheetView topLeftCell="A19" zoomScaleNormal="100" workbookViewId="0">
      <selection activeCell="A41" sqref="A41"/>
    </sheetView>
  </sheetViews>
  <sheetFormatPr defaultRowHeight="12" x14ac:dyDescent="0.2"/>
  <cols>
    <col min="1" max="1" width="90.14062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 x14ac:dyDescent="0.25"/>
    <row r="3" spans="1:4" ht="36.75" thickBot="1" x14ac:dyDescent="0.25">
      <c r="A3" s="14" t="str">
        <f>Rates!A4</f>
        <v>Residential - R1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Rates!A5</f>
        <v>Monthly Service Charge</v>
      </c>
      <c r="B4" s="24" t="str">
        <f>Rates!B5</f>
        <v>$</v>
      </c>
      <c r="C4" s="25">
        <f>Rates!D5</f>
        <v>21.51</v>
      </c>
      <c r="D4" s="26">
        <f>Rates!F5</f>
        <v>22.11</v>
      </c>
    </row>
    <row r="5" spans="1:4" x14ac:dyDescent="0.2">
      <c r="A5" s="27" t="str">
        <f>Rates!A6</f>
        <v>Smart Meter Rate Adder</v>
      </c>
      <c r="B5" s="28" t="str">
        <f>Rates!B6</f>
        <v>$</v>
      </c>
      <c r="C5" s="29">
        <f>Rates!D6</f>
        <v>1</v>
      </c>
      <c r="D5" s="30">
        <f>Rates!F6</f>
        <v>0</v>
      </c>
    </row>
    <row r="6" spans="1:4" x14ac:dyDescent="0.2">
      <c r="A6" s="27" t="str">
        <f>Rates!A7</f>
        <v>Distribution Volumetric Rate</v>
      </c>
      <c r="B6" s="28" t="str">
        <f>Rates!B7</f>
        <v>$/kWh</v>
      </c>
      <c r="C6" s="31">
        <f>Rates!D7</f>
        <v>3.0200000000000001E-2</v>
      </c>
      <c r="D6" s="32">
        <f>Rates!F7</f>
        <v>3.1E-2</v>
      </c>
    </row>
    <row r="7" spans="1:4" x14ac:dyDescent="0.2">
      <c r="A7" s="27" t="str">
        <f>Rates!A8</f>
        <v>Rate Rider for Foregone Revenue Recovery - effective until December 31, 2012</v>
      </c>
      <c r="B7" s="28" t="str">
        <f>Rates!B8</f>
        <v>$/kWh</v>
      </c>
      <c r="C7" s="31">
        <f>Rates!D8</f>
        <v>2.9999999999999997E-4</v>
      </c>
      <c r="D7" s="32">
        <f>Rates!F8</f>
        <v>0</v>
      </c>
    </row>
    <row r="8" spans="1:4" x14ac:dyDescent="0.2">
      <c r="A8" s="27" t="str">
        <f>Rates!A9</f>
        <v>Rate Rider for Deferral/Variance Account Disposition - effective until May 31, 2013</v>
      </c>
      <c r="B8" s="28" t="str">
        <f>Rates!B9</f>
        <v>$/kWh</v>
      </c>
      <c r="C8" s="31">
        <f>Rates!D9</f>
        <v>4.5999999999999999E-3</v>
      </c>
      <c r="D8" s="32">
        <f>Rates!F9</f>
        <v>4.5999999999999999E-3</v>
      </c>
    </row>
    <row r="9" spans="1:4" x14ac:dyDescent="0.2">
      <c r="A9" s="27" t="str">
        <f>Rates!A10</f>
        <v>Rate Rider for Deferral/Variance Account Disposition - effective until May 31, 2013</v>
      </c>
      <c r="B9" s="28" t="str">
        <f>Rates!B10</f>
        <v>$/kWh</v>
      </c>
      <c r="C9" s="31">
        <f>Rates!D10</f>
        <v>-6.1000000000000004E-3</v>
      </c>
      <c r="D9" s="32">
        <f>Rates!F10</f>
        <v>-6.1000000000000004E-3</v>
      </c>
    </row>
    <row r="10" spans="1:4" x14ac:dyDescent="0.2">
      <c r="A10" s="27" t="str">
        <f>Rates!A11</f>
        <v>Rate Rider for Deferral/Variance Account Disposition (2012) - effective until December 31, 2013</v>
      </c>
      <c r="B10" s="28" t="str">
        <f>Rates!B11</f>
        <v>$/kWh</v>
      </c>
      <c r="C10" s="31">
        <f>Rates!D11</f>
        <v>0</v>
      </c>
      <c r="D10" s="32">
        <f>Rates!F11</f>
        <v>-1.1999999999999999E-3</v>
      </c>
    </row>
    <row r="11" spans="1:4" x14ac:dyDescent="0.2">
      <c r="A11" s="27" t="str">
        <f>Rates!A12</f>
        <v>Rate Rider for Global Adjustment Sub-Account Disposition (2012) - effective until December 31, 2013</v>
      </c>
      <c r="B11" s="28" t="str">
        <f>Rates!B12</f>
        <v>$/kWh</v>
      </c>
      <c r="C11" s="31">
        <f>Rates!D12</f>
        <v>0</v>
      </c>
      <c r="D11" s="32"/>
    </row>
    <row r="12" spans="1:4" x14ac:dyDescent="0.2">
      <c r="A12" s="27" t="str">
        <f>Rates!A13</f>
        <v>Smart Meter Cost Recovery Rate Rider - Net Deferred Revenue Requirement, effective until December 31, 2013</v>
      </c>
      <c r="B12" s="28" t="str">
        <f>Rates!B13</f>
        <v>$/kWh</v>
      </c>
      <c r="C12" s="31"/>
      <c r="D12" s="32">
        <f>Rates!F13</f>
        <v>0</v>
      </c>
    </row>
    <row r="13" spans="1:4" x14ac:dyDescent="0.2">
      <c r="A13" s="27" t="str">
        <f>Rates!A14</f>
        <v>Smart Meter Cost Recovery Rate Rider - Incremental Revenue Requirement, effective until December 31, 2013</v>
      </c>
      <c r="B13" s="28" t="str">
        <f>Rates!B14</f>
        <v>$/kWh</v>
      </c>
      <c r="C13" s="31"/>
      <c r="D13" s="32">
        <f>Rates!F14</f>
        <v>4.7999999999999996E-3</v>
      </c>
    </row>
    <row r="14" spans="1:4" x14ac:dyDescent="0.2">
      <c r="A14" s="27"/>
      <c r="B14" s="28"/>
      <c r="C14" s="31"/>
      <c r="D14" s="32"/>
    </row>
    <row r="15" spans="1:4" x14ac:dyDescent="0.2">
      <c r="A15" s="27" t="str">
        <f>Rates!A15</f>
        <v>Rate Rider for Tax Changes - effective until December 31, 2012</v>
      </c>
      <c r="B15" s="28" t="str">
        <f>Rates!B15</f>
        <v>$/kWh</v>
      </c>
      <c r="C15" s="31">
        <f>Rates!D15</f>
        <v>-2.0000000000000001E-4</v>
      </c>
      <c r="D15" s="32">
        <f>Rates!F15</f>
        <v>-1E-4</v>
      </c>
    </row>
    <row r="16" spans="1:4" x14ac:dyDescent="0.2">
      <c r="A16" s="27" t="str">
        <f>Rates!A16</f>
        <v>Retail Transmission Rate - Network Service Rate</v>
      </c>
      <c r="B16" s="28" t="str">
        <f>Rates!B16</f>
        <v>$/kWh</v>
      </c>
      <c r="C16" s="31">
        <f>Rates!D16</f>
        <v>7.1000000000000004E-3</v>
      </c>
      <c r="D16" s="32">
        <f>Rates!F16</f>
        <v>6.7999999999999996E-3</v>
      </c>
    </row>
    <row r="17" spans="1:10" x14ac:dyDescent="0.2">
      <c r="A17" s="27" t="str">
        <f>Rates!A17</f>
        <v>Retail Transmission Rate - Line and Transformation Connection Service Rate</v>
      </c>
      <c r="B17" s="28" t="str">
        <f>Rates!B17</f>
        <v>$/kWh</v>
      </c>
      <c r="C17" s="31">
        <f>Rates!D17</f>
        <v>5.1000000000000004E-3</v>
      </c>
      <c r="D17" s="32">
        <f>Rates!F17</f>
        <v>5.0000000000000001E-3</v>
      </c>
    </row>
    <row r="18" spans="1:10" x14ac:dyDescent="0.2">
      <c r="A18" s="19" t="str">
        <f>Rates!A18</f>
        <v>Wholesale Market Service Rate</v>
      </c>
      <c r="B18" s="20" t="str">
        <f>Rates!B18</f>
        <v>$/kWh</v>
      </c>
      <c r="C18" s="21">
        <f>Rates!D18</f>
        <v>5.1999999999999998E-3</v>
      </c>
      <c r="D18" s="22">
        <f>Rates!F18</f>
        <v>5.1999999999999998E-3</v>
      </c>
    </row>
    <row r="19" spans="1:10" x14ac:dyDescent="0.2">
      <c r="A19" s="27" t="str">
        <f>Rates!A19</f>
        <v>Rural Rate Protection Charge</v>
      </c>
      <c r="B19" s="28" t="str">
        <f>Rates!B19</f>
        <v>$/kWh</v>
      </c>
      <c r="C19" s="31">
        <f>Rates!D19</f>
        <v>1.1000000000000001E-3</v>
      </c>
      <c r="D19" s="32">
        <f>Rates!F19</f>
        <v>1.1000000000000001E-3</v>
      </c>
    </row>
    <row r="20" spans="1:10" x14ac:dyDescent="0.2">
      <c r="A20" s="106" t="str">
        <f>Rates!A20</f>
        <v>Special Purpose Charge</v>
      </c>
      <c r="B20" s="28" t="str">
        <f>Rates!B20</f>
        <v>$/kWh</v>
      </c>
      <c r="C20" s="31">
        <f>Rates!D20</f>
        <v>0</v>
      </c>
      <c r="D20" s="32">
        <f>Rates!F20</f>
        <v>0</v>
      </c>
    </row>
    <row r="21" spans="1:10" ht="12.75" thickBot="1" x14ac:dyDescent="0.25">
      <c r="A21" s="12" t="str">
        <f>Rates!A21</f>
        <v>Standard Supply Service - Administarive Charge (if applicable)</v>
      </c>
      <c r="B21" s="17" t="str">
        <f>Rates!B21</f>
        <v>$</v>
      </c>
      <c r="C21" s="18">
        <f>Rates!D21</f>
        <v>0.25</v>
      </c>
      <c r="D21" s="13">
        <f>Rates!F21</f>
        <v>0.25</v>
      </c>
    </row>
    <row r="23" spans="1:10" ht="12.75" thickBot="1" x14ac:dyDescent="0.25"/>
    <row r="24" spans="1:10" ht="13.5" thickBot="1" x14ac:dyDescent="0.25">
      <c r="A24" s="33" t="s">
        <v>26</v>
      </c>
      <c r="B24" s="34">
        <v>2000</v>
      </c>
      <c r="C24" s="35" t="s">
        <v>27</v>
      </c>
      <c r="D24" s="36"/>
      <c r="E24" s="35" t="s">
        <v>28</v>
      </c>
      <c r="G24" s="102" t="s">
        <v>23</v>
      </c>
      <c r="H24" s="53">
        <f>Rates!F89</f>
        <v>1.0864</v>
      </c>
    </row>
    <row r="25" spans="1:10" ht="13.5" thickBot="1" x14ac:dyDescent="0.25">
      <c r="A25" s="33" t="s">
        <v>29</v>
      </c>
      <c r="B25" s="34">
        <v>750</v>
      </c>
      <c r="C25" s="35" t="s">
        <v>27</v>
      </c>
      <c r="D25" s="37" t="s">
        <v>30</v>
      </c>
      <c r="E25" s="38" t="str">
        <f>IF(D24&gt;0,B24/(D24*24*30.4)," ")</f>
        <v xml:space="preserve"> </v>
      </c>
    </row>
    <row r="26" spans="1:10" ht="12.75" thickBot="1" x14ac:dyDescent="0.25"/>
    <row r="27" spans="1:10" ht="12.75" customHeight="1" x14ac:dyDescent="0.2">
      <c r="A27" s="149" t="str">
        <f>A3</f>
        <v>Residential - R1</v>
      </c>
      <c r="B27" s="151" t="s">
        <v>31</v>
      </c>
      <c r="C27" s="49" t="s">
        <v>37</v>
      </c>
      <c r="D27" s="49" t="s">
        <v>38</v>
      </c>
      <c r="E27" s="151" t="s">
        <v>31</v>
      </c>
      <c r="F27" s="49" t="s">
        <v>37</v>
      </c>
      <c r="G27" s="49" t="s">
        <v>38</v>
      </c>
      <c r="H27" s="153" t="s">
        <v>44</v>
      </c>
      <c r="I27" s="153"/>
      <c r="J27" s="154"/>
    </row>
    <row r="28" spans="1:10" ht="12.75" thickBot="1" x14ac:dyDescent="0.25">
      <c r="A28" s="150"/>
      <c r="B28" s="152"/>
      <c r="C28" s="50" t="s">
        <v>15</v>
      </c>
      <c r="D28" s="50" t="s">
        <v>15</v>
      </c>
      <c r="E28" s="152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 x14ac:dyDescent="0.2">
      <c r="A29" s="54" t="s">
        <v>35</v>
      </c>
      <c r="B29" s="55">
        <f>IF(B24*Rates!D89&gt;B25,B25,B24*Rates!D89)</f>
        <v>750</v>
      </c>
      <c r="C29" s="56">
        <f>Rates!D84</f>
        <v>7.4999999999999997E-2</v>
      </c>
      <c r="D29" s="57">
        <f>B29*C29</f>
        <v>56.25</v>
      </c>
      <c r="E29" s="55">
        <f>IF(B24*H24&gt;B25,B25,B24*H24)</f>
        <v>750</v>
      </c>
      <c r="F29" s="56">
        <f>Rates!F84</f>
        <v>7.4999999999999997E-2</v>
      </c>
      <c r="G29" s="57">
        <f>E29*F29</f>
        <v>56.25</v>
      </c>
      <c r="H29" s="58">
        <f>G29-D29</f>
        <v>0</v>
      </c>
      <c r="I29" s="59">
        <f>IF(ISERROR(H29/D29),1,H29/D29)</f>
        <v>0</v>
      </c>
      <c r="J29" s="60">
        <f t="shared" ref="J29:J39" si="0">IF(ISERROR(G29/G$57),0,G29/G$57)</f>
        <v>0.15896440086603875</v>
      </c>
    </row>
    <row r="30" spans="1:10" ht="12.75" thickBot="1" x14ac:dyDescent="0.25">
      <c r="A30" s="63" t="s">
        <v>36</v>
      </c>
      <c r="B30" s="64">
        <f>IF(B24*Rates!D89&gt;=B25,B24*Rates!D89-B25,0)</f>
        <v>1422.8000000000002</v>
      </c>
      <c r="C30" s="65">
        <f>Rates!D85</f>
        <v>8.7999999999999995E-2</v>
      </c>
      <c r="D30" s="66">
        <f>B30*C30</f>
        <v>125.2064</v>
      </c>
      <c r="E30" s="64">
        <f>IF(B24*H24&gt;=B25,B24*H24-B25,0)</f>
        <v>1422.8000000000002</v>
      </c>
      <c r="F30" s="65">
        <f>Rates!F85</f>
        <v>8.7999999999999995E-2</v>
      </c>
      <c r="G30" s="66">
        <f>E30*F30</f>
        <v>125.2064</v>
      </c>
      <c r="H30" s="66">
        <f t="shared" ref="H30:H57" si="1">G30-D30</f>
        <v>0</v>
      </c>
      <c r="I30" s="67">
        <f t="shared" ref="I30:I57" si="2">IF(ISERROR(H30/D30),0,H30/D30)</f>
        <v>0</v>
      </c>
      <c r="J30" s="68">
        <f t="shared" si="0"/>
        <v>0.35383751752166392</v>
      </c>
    </row>
    <row r="31" spans="1:10" ht="12.75" thickBot="1" x14ac:dyDescent="0.25">
      <c r="A31" s="73" t="s">
        <v>39</v>
      </c>
      <c r="B31" s="74"/>
      <c r="C31" s="75"/>
      <c r="D31" s="76">
        <f>SUM(D29:D30)</f>
        <v>181.4564</v>
      </c>
      <c r="E31" s="75"/>
      <c r="F31" s="75"/>
      <c r="G31" s="76">
        <f>SUM(G29:G30)</f>
        <v>181.4564</v>
      </c>
      <c r="H31" s="76">
        <f t="shared" si="1"/>
        <v>0</v>
      </c>
      <c r="I31" s="77">
        <f t="shared" si="2"/>
        <v>0</v>
      </c>
      <c r="J31" s="78">
        <f t="shared" si="0"/>
        <v>0.51280191838770262</v>
      </c>
    </row>
    <row r="32" spans="1:10" x14ac:dyDescent="0.2">
      <c r="A32" s="69" t="str">
        <f t="shared" ref="A32:A37" si="3">A4</f>
        <v>Monthly Service Charge</v>
      </c>
      <c r="B32" s="70">
        <v>1</v>
      </c>
      <c r="C32" s="46">
        <f t="shared" ref="C32:C37" si="4">C4</f>
        <v>21.51</v>
      </c>
      <c r="D32" s="46">
        <f>B32*C32</f>
        <v>21.51</v>
      </c>
      <c r="E32" s="71">
        <f>B32</f>
        <v>1</v>
      </c>
      <c r="F32" s="47">
        <f t="shared" ref="F32:F37" si="5">D4</f>
        <v>22.11</v>
      </c>
      <c r="G32" s="47">
        <f>E32*F32</f>
        <v>22.11</v>
      </c>
      <c r="H32" s="47">
        <f t="shared" si="1"/>
        <v>0.59999999999999787</v>
      </c>
      <c r="I32" s="48">
        <f t="shared" si="2"/>
        <v>2.7894002789400178E-2</v>
      </c>
      <c r="J32" s="72">
        <f t="shared" si="0"/>
        <v>6.2483607167077633E-2</v>
      </c>
    </row>
    <row r="33" spans="1:10" x14ac:dyDescent="0.2">
      <c r="A33" s="61" t="str">
        <f t="shared" si="3"/>
        <v>Smart Meter Rate Adder</v>
      </c>
      <c r="B33" s="43">
        <f>B32</f>
        <v>1</v>
      </c>
      <c r="C33" s="41">
        <f t="shared" si="4"/>
        <v>1</v>
      </c>
      <c r="D33" s="41">
        <f t="shared" ref="D33:D43" si="6">B33*C33</f>
        <v>1</v>
      </c>
      <c r="E33" s="43">
        <f>B33</f>
        <v>1</v>
      </c>
      <c r="F33" s="41">
        <f t="shared" si="5"/>
        <v>0</v>
      </c>
      <c r="G33" s="41">
        <f t="shared" ref="G33:G43" si="7">E33*F33</f>
        <v>0</v>
      </c>
      <c r="H33" s="41">
        <f t="shared" si="1"/>
        <v>-1</v>
      </c>
      <c r="I33" s="42">
        <f>IF(ISERROR(H33/D33),1,H33/D33)</f>
        <v>-1</v>
      </c>
      <c r="J33" s="62">
        <f t="shared" si="0"/>
        <v>0</v>
      </c>
    </row>
    <row r="34" spans="1:10" x14ac:dyDescent="0.2">
      <c r="A34" s="61" t="str">
        <f t="shared" si="3"/>
        <v>Distribution Volumetric Rate</v>
      </c>
      <c r="B34" s="43">
        <f>B24</f>
        <v>2000</v>
      </c>
      <c r="C34" s="40">
        <f t="shared" si="4"/>
        <v>3.0200000000000001E-2</v>
      </c>
      <c r="D34" s="41">
        <f t="shared" si="6"/>
        <v>60.400000000000006</v>
      </c>
      <c r="E34" s="43">
        <f>B24</f>
        <v>2000</v>
      </c>
      <c r="F34" s="40">
        <f t="shared" si="5"/>
        <v>3.1E-2</v>
      </c>
      <c r="G34" s="41">
        <f t="shared" si="7"/>
        <v>62</v>
      </c>
      <c r="H34" s="41">
        <f t="shared" si="1"/>
        <v>1.5999999999999943</v>
      </c>
      <c r="I34" s="42">
        <f t="shared" si="2"/>
        <v>2.6490066225165466E-2</v>
      </c>
      <c r="J34" s="62">
        <f t="shared" si="0"/>
        <v>0.17521409517678938</v>
      </c>
    </row>
    <row r="35" spans="1:10" x14ac:dyDescent="0.2">
      <c r="A35" s="61" t="str">
        <f t="shared" si="3"/>
        <v>Rate Rider for Foregone Revenue Recovery - effective until December 31, 2012</v>
      </c>
      <c r="B35" s="43">
        <f>B24</f>
        <v>2000</v>
      </c>
      <c r="C35" s="40">
        <f t="shared" si="4"/>
        <v>2.9999999999999997E-4</v>
      </c>
      <c r="D35" s="41">
        <f t="shared" si="6"/>
        <v>0.6</v>
      </c>
      <c r="E35" s="43">
        <f>B24</f>
        <v>2000</v>
      </c>
      <c r="F35" s="40">
        <f t="shared" si="5"/>
        <v>0</v>
      </c>
      <c r="G35" s="41">
        <f>E35*F35</f>
        <v>0</v>
      </c>
      <c r="H35" s="41">
        <f>G35-D35</f>
        <v>-0.6</v>
      </c>
      <c r="I35" s="42">
        <f>IF(ISERROR(H35/D35),0,H35/D35)</f>
        <v>-1</v>
      </c>
      <c r="J35" s="62">
        <f t="shared" si="0"/>
        <v>0</v>
      </c>
    </row>
    <row r="36" spans="1:10" x14ac:dyDescent="0.2">
      <c r="A36" s="61" t="str">
        <f t="shared" si="3"/>
        <v>Rate Rider for Deferral/Variance Account Disposition - effective until May 31, 2013</v>
      </c>
      <c r="B36" s="43">
        <f>B24</f>
        <v>2000</v>
      </c>
      <c r="C36" s="40">
        <f t="shared" si="4"/>
        <v>4.5999999999999999E-3</v>
      </c>
      <c r="D36" s="41">
        <f t="shared" si="6"/>
        <v>9.1999999999999993</v>
      </c>
      <c r="E36" s="43">
        <f>B24</f>
        <v>2000</v>
      </c>
      <c r="F36" s="40">
        <f t="shared" si="5"/>
        <v>4.5999999999999999E-3</v>
      </c>
      <c r="G36" s="41">
        <f t="shared" si="7"/>
        <v>9.1999999999999993</v>
      </c>
      <c r="H36" s="41">
        <f t="shared" si="1"/>
        <v>0</v>
      </c>
      <c r="I36" s="42">
        <f t="shared" si="2"/>
        <v>0</v>
      </c>
      <c r="J36" s="62">
        <f t="shared" si="0"/>
        <v>2.5999510897201004E-2</v>
      </c>
    </row>
    <row r="37" spans="1:10" x14ac:dyDescent="0.2">
      <c r="A37" s="61" t="str">
        <f t="shared" si="3"/>
        <v>Rate Rider for Deferral/Variance Account Disposition - effective until May 31, 2013</v>
      </c>
      <c r="B37" s="43">
        <f>B24</f>
        <v>2000</v>
      </c>
      <c r="C37" s="40">
        <f t="shared" si="4"/>
        <v>-6.1000000000000004E-3</v>
      </c>
      <c r="D37" s="41">
        <f t="shared" si="6"/>
        <v>-12.200000000000001</v>
      </c>
      <c r="E37" s="43">
        <f>B24</f>
        <v>2000</v>
      </c>
      <c r="F37" s="40">
        <f t="shared" si="5"/>
        <v>-6.1000000000000004E-3</v>
      </c>
      <c r="G37" s="41">
        <f>E37*F37</f>
        <v>-12.200000000000001</v>
      </c>
      <c r="H37" s="41">
        <f>G37-D37</f>
        <v>0</v>
      </c>
      <c r="I37" s="42">
        <f>IF(ISERROR(H37/D37),0,H37/D37)</f>
        <v>0</v>
      </c>
      <c r="J37" s="62">
        <f t="shared" si="0"/>
        <v>-3.4477612276723073E-2</v>
      </c>
    </row>
    <row r="38" spans="1:10" x14ac:dyDescent="0.2">
      <c r="A38" s="61" t="str">
        <f>A10</f>
        <v>Rate Rider for Deferral/Variance Account Disposition (2012) - effective until December 31, 2013</v>
      </c>
      <c r="B38" s="43">
        <f>B24</f>
        <v>2000</v>
      </c>
      <c r="C38" s="40">
        <f>C10</f>
        <v>0</v>
      </c>
      <c r="D38" s="41">
        <f t="shared" si="6"/>
        <v>0</v>
      </c>
      <c r="E38" s="43">
        <f>B24</f>
        <v>2000</v>
      </c>
      <c r="F38" s="40">
        <f>D10</f>
        <v>-1.1999999999999999E-3</v>
      </c>
      <c r="G38" s="41">
        <f>E38*F38</f>
        <v>-2.4</v>
      </c>
      <c r="H38" s="41">
        <f>G38-D38</f>
        <v>-2.4</v>
      </c>
      <c r="I38" s="42">
        <f>IF(ISERROR(H38/D38),0,H38/D38)</f>
        <v>0</v>
      </c>
      <c r="J38" s="62">
        <f t="shared" si="0"/>
        <v>-6.7824811036176534E-3</v>
      </c>
    </row>
    <row r="39" spans="1:10" x14ac:dyDescent="0.2">
      <c r="A39" s="61" t="str">
        <f>A11</f>
        <v>Rate Rider for Global Adjustment Sub-Account Disposition (2012) - effective until December 31, 2013</v>
      </c>
      <c r="B39" s="43">
        <f>B24</f>
        <v>2000</v>
      </c>
      <c r="C39" s="40">
        <f>C11</f>
        <v>0</v>
      </c>
      <c r="D39" s="41">
        <f t="shared" si="6"/>
        <v>0</v>
      </c>
      <c r="E39" s="43">
        <f>B24</f>
        <v>2000</v>
      </c>
      <c r="F39" s="40">
        <f>D11</f>
        <v>0</v>
      </c>
      <c r="G39" s="41">
        <f>E39*F39</f>
        <v>0</v>
      </c>
      <c r="H39" s="41">
        <f>G39-D39</f>
        <v>0</v>
      </c>
      <c r="I39" s="42">
        <f>IF(ISERROR(H39/D39),0,H39/D39)</f>
        <v>0</v>
      </c>
      <c r="J39" s="62">
        <f t="shared" si="0"/>
        <v>0</v>
      </c>
    </row>
    <row r="40" spans="1:10" x14ac:dyDescent="0.2">
      <c r="A40" s="61" t="str">
        <f t="shared" ref="A40:A41" si="8">A12</f>
        <v>Smart Meter Cost Recovery Rate Rider - Net Deferred Revenue Requirement, effective until December 31, 2013</v>
      </c>
      <c r="B40" s="43">
        <f>B24</f>
        <v>2000</v>
      </c>
      <c r="C40" s="40">
        <f t="shared" ref="C40:C42" si="9">C12</f>
        <v>0</v>
      </c>
      <c r="D40" s="41">
        <f t="shared" si="6"/>
        <v>0</v>
      </c>
      <c r="E40" s="43">
        <f>B24</f>
        <v>2000</v>
      </c>
      <c r="F40" s="40">
        <f t="shared" ref="F40:F42" si="10">D12</f>
        <v>0</v>
      </c>
      <c r="G40" s="41">
        <f t="shared" ref="G40:G42" si="11">E40*F40</f>
        <v>0</v>
      </c>
      <c r="H40" s="41">
        <f t="shared" ref="H40:H42" si="12">G40-D40</f>
        <v>0</v>
      </c>
      <c r="I40" s="42">
        <f t="shared" ref="I40:I42" si="13">IF(ISERROR(H40/D40),0,H40/D40)</f>
        <v>0</v>
      </c>
      <c r="J40" s="62">
        <f t="shared" ref="J40:J42" si="14">IF(ISERROR(G40/G$57),0,G40/G$57)</f>
        <v>0</v>
      </c>
    </row>
    <row r="41" spans="1:10" x14ac:dyDescent="0.2">
      <c r="A41" s="61" t="str">
        <f t="shared" si="8"/>
        <v>Smart Meter Cost Recovery Rate Rider - Incremental Revenue Requirement, effective until December 31, 2013</v>
      </c>
      <c r="B41" s="43">
        <f>B24</f>
        <v>2000</v>
      </c>
      <c r="C41" s="40">
        <f t="shared" si="9"/>
        <v>0</v>
      </c>
      <c r="D41" s="41">
        <f t="shared" si="6"/>
        <v>0</v>
      </c>
      <c r="E41" s="43">
        <f>B24</f>
        <v>2000</v>
      </c>
      <c r="F41" s="40">
        <f t="shared" si="10"/>
        <v>4.7999999999999996E-3</v>
      </c>
      <c r="G41" s="41">
        <f t="shared" si="11"/>
        <v>9.6</v>
      </c>
      <c r="H41" s="41">
        <f t="shared" si="12"/>
        <v>9.6</v>
      </c>
      <c r="I41" s="42">
        <f t="shared" si="13"/>
        <v>0</v>
      </c>
      <c r="J41" s="62">
        <f t="shared" si="14"/>
        <v>2.7129924414470614E-2</v>
      </c>
    </row>
    <row r="42" spans="1:10" x14ac:dyDescent="0.2">
      <c r="A42" s="61"/>
      <c r="B42" s="43">
        <f>B24</f>
        <v>2000</v>
      </c>
      <c r="C42" s="40">
        <f t="shared" si="9"/>
        <v>0</v>
      </c>
      <c r="D42" s="41">
        <f t="shared" si="6"/>
        <v>0</v>
      </c>
      <c r="E42" s="43">
        <f>B24</f>
        <v>2000</v>
      </c>
      <c r="F42" s="40">
        <f t="shared" si="10"/>
        <v>0</v>
      </c>
      <c r="G42" s="41">
        <f t="shared" si="11"/>
        <v>0</v>
      </c>
      <c r="H42" s="41">
        <f t="shared" si="12"/>
        <v>0</v>
      </c>
      <c r="I42" s="42">
        <f t="shared" si="13"/>
        <v>0</v>
      </c>
      <c r="J42" s="62">
        <f t="shared" si="14"/>
        <v>0</v>
      </c>
    </row>
    <row r="43" spans="1:10" ht="12.75" thickBot="1" x14ac:dyDescent="0.25">
      <c r="A43" s="61" t="str">
        <f t="shared" ref="A43" si="15">A15</f>
        <v>Rate Rider for Tax Changes - effective until December 31, 2012</v>
      </c>
      <c r="B43" s="43">
        <f>B24</f>
        <v>2000</v>
      </c>
      <c r="C43" s="40">
        <f t="shared" ref="C43" si="16">C15</f>
        <v>-2.0000000000000001E-4</v>
      </c>
      <c r="D43" s="41">
        <f t="shared" si="6"/>
        <v>-0.4</v>
      </c>
      <c r="E43" s="43">
        <f>B24</f>
        <v>2000</v>
      </c>
      <c r="F43" s="40">
        <f t="shared" ref="F43" si="17">D15</f>
        <v>-1E-4</v>
      </c>
      <c r="G43" s="41">
        <f t="shared" si="7"/>
        <v>-0.2</v>
      </c>
      <c r="H43" s="41">
        <f t="shared" si="1"/>
        <v>0.2</v>
      </c>
      <c r="I43" s="42">
        <f t="shared" si="2"/>
        <v>-0.5</v>
      </c>
      <c r="J43" s="62">
        <f t="shared" ref="J43:J57" si="18">IF(ISERROR(G43/G$57),0,G43/G$57)</f>
        <v>-5.6520675863480445E-4</v>
      </c>
    </row>
    <row r="44" spans="1:10" ht="12.75" thickBot="1" x14ac:dyDescent="0.25">
      <c r="A44" s="73" t="s">
        <v>40</v>
      </c>
      <c r="B44" s="74"/>
      <c r="C44" s="75"/>
      <c r="D44" s="80">
        <f>SUM(D32:D43)</f>
        <v>80.11</v>
      </c>
      <c r="E44" s="75"/>
      <c r="F44" s="75"/>
      <c r="G44" s="76">
        <f>SUM(G32:G43)</f>
        <v>88.109999999999985</v>
      </c>
      <c r="H44" s="76">
        <f t="shared" si="1"/>
        <v>7.9999999999999858</v>
      </c>
      <c r="I44" s="77">
        <f t="shared" si="2"/>
        <v>9.9862688802895838E-2</v>
      </c>
      <c r="J44" s="78">
        <f t="shared" si="18"/>
        <v>0.24900183751656307</v>
      </c>
    </row>
    <row r="45" spans="1:10" x14ac:dyDescent="0.2">
      <c r="A45" s="69" t="str">
        <f>A16</f>
        <v>Retail Transmission Rate - Network Service Rate</v>
      </c>
      <c r="B45" s="44">
        <f>B24*Rates!D89</f>
        <v>2172.8000000000002</v>
      </c>
      <c r="C45" s="45">
        <f>C16</f>
        <v>7.1000000000000004E-3</v>
      </c>
      <c r="D45" s="47">
        <f>B45*C45</f>
        <v>15.426880000000002</v>
      </c>
      <c r="E45" s="44">
        <f>B24*H24</f>
        <v>2172.8000000000002</v>
      </c>
      <c r="F45" s="45">
        <f>D16</f>
        <v>6.7999999999999996E-3</v>
      </c>
      <c r="G45" s="47">
        <f>E45*F45</f>
        <v>14.775040000000001</v>
      </c>
      <c r="H45" s="47">
        <f t="shared" si="1"/>
        <v>-0.65184000000000175</v>
      </c>
      <c r="I45" s="48">
        <f t="shared" si="2"/>
        <v>-4.2253521126760674E-2</v>
      </c>
      <c r="J45" s="72">
        <f t="shared" si="18"/>
        <v>4.1754762335497908E-2</v>
      </c>
    </row>
    <row r="46" spans="1:10" ht="12.75" thickBot="1" x14ac:dyDescent="0.25">
      <c r="A46" s="63" t="str">
        <f>A17</f>
        <v>Retail Transmission Rate - Line and Transformation Connection Service Rate</v>
      </c>
      <c r="B46" s="64">
        <f>B24*Rates!D89</f>
        <v>2172.8000000000002</v>
      </c>
      <c r="C46" s="65">
        <f>C17</f>
        <v>5.1000000000000004E-3</v>
      </c>
      <c r="D46" s="66">
        <f>B46*C46</f>
        <v>11.081280000000001</v>
      </c>
      <c r="E46" s="64">
        <f>B24*H24</f>
        <v>2172.8000000000002</v>
      </c>
      <c r="F46" s="65">
        <f>D17</f>
        <v>5.0000000000000001E-3</v>
      </c>
      <c r="G46" s="66">
        <f>E46*F46</f>
        <v>10.864000000000001</v>
      </c>
      <c r="H46" s="66">
        <f t="shared" si="1"/>
        <v>-0.21728000000000058</v>
      </c>
      <c r="I46" s="67">
        <f t="shared" si="2"/>
        <v>-1.9607843137254954E-2</v>
      </c>
      <c r="J46" s="68">
        <f t="shared" si="18"/>
        <v>3.070203112904258E-2</v>
      </c>
    </row>
    <row r="47" spans="1:10" ht="12.75" thickBot="1" x14ac:dyDescent="0.25">
      <c r="A47" s="73" t="s">
        <v>32</v>
      </c>
      <c r="B47" s="74"/>
      <c r="C47" s="75"/>
      <c r="D47" s="76">
        <f>SUM(D45:D46)</f>
        <v>26.508160000000004</v>
      </c>
      <c r="E47" s="75"/>
      <c r="F47" s="75"/>
      <c r="G47" s="76">
        <f>SUM(G45:G46)</f>
        <v>25.639040000000001</v>
      </c>
      <c r="H47" s="76">
        <f t="shared" si="1"/>
        <v>-0.86912000000000234</v>
      </c>
      <c r="I47" s="77">
        <f t="shared" si="2"/>
        <v>-3.2786885245901724E-2</v>
      </c>
      <c r="J47" s="78">
        <f t="shared" si="18"/>
        <v>7.2456793464540495E-2</v>
      </c>
    </row>
    <row r="48" spans="1:10" ht="12.75" thickBot="1" x14ac:dyDescent="0.25">
      <c r="A48" s="81" t="s">
        <v>41</v>
      </c>
      <c r="B48" s="82"/>
      <c r="C48" s="83"/>
      <c r="D48" s="84">
        <f>D44+D47</f>
        <v>106.61816</v>
      </c>
      <c r="E48" s="83"/>
      <c r="F48" s="83"/>
      <c r="G48" s="84">
        <f>G44+G47</f>
        <v>113.74903999999998</v>
      </c>
      <c r="H48" s="84">
        <f t="shared" si="1"/>
        <v>7.1308799999999763</v>
      </c>
      <c r="I48" s="85">
        <f t="shared" si="2"/>
        <v>6.6882414778120125E-2</v>
      </c>
      <c r="J48" s="86">
        <f t="shared" si="18"/>
        <v>0.32145863098110355</v>
      </c>
    </row>
    <row r="49" spans="1:10" x14ac:dyDescent="0.2">
      <c r="A49" s="69" t="str">
        <f>A18</f>
        <v>Wholesale Market Service Rate</v>
      </c>
      <c r="B49" s="44">
        <f>B24*Rates!D89</f>
        <v>2172.8000000000002</v>
      </c>
      <c r="C49" s="45">
        <f>C18</f>
        <v>5.1999999999999998E-3</v>
      </c>
      <c r="D49" s="47">
        <f>B49*C49</f>
        <v>11.29856</v>
      </c>
      <c r="E49" s="44">
        <f>B24*H24</f>
        <v>2172.8000000000002</v>
      </c>
      <c r="F49" s="45">
        <f>D18</f>
        <v>5.1999999999999998E-3</v>
      </c>
      <c r="G49" s="47">
        <f>E49*F49</f>
        <v>11.29856</v>
      </c>
      <c r="H49" s="47">
        <f t="shared" si="1"/>
        <v>0</v>
      </c>
      <c r="I49" s="48">
        <f t="shared" si="2"/>
        <v>0</v>
      </c>
      <c r="J49" s="72">
        <f t="shared" si="18"/>
        <v>3.1930112374204282E-2</v>
      </c>
    </row>
    <row r="50" spans="1:10" x14ac:dyDescent="0.2">
      <c r="A50" s="61" t="str">
        <f>A19</f>
        <v>Rural Rate Protection Charge</v>
      </c>
      <c r="B50" s="39">
        <f>B24*Rates!D89</f>
        <v>2172.8000000000002</v>
      </c>
      <c r="C50" s="40">
        <f>C19</f>
        <v>1.1000000000000001E-3</v>
      </c>
      <c r="D50" s="41">
        <f>B50*C50</f>
        <v>2.3900800000000002</v>
      </c>
      <c r="E50" s="39">
        <f>B24*H24</f>
        <v>2172.8000000000002</v>
      </c>
      <c r="F50" s="40">
        <f>D19</f>
        <v>1.1000000000000001E-3</v>
      </c>
      <c r="G50" s="41">
        <f>E50*F50</f>
        <v>2.3900800000000002</v>
      </c>
      <c r="H50" s="41">
        <f t="shared" si="1"/>
        <v>0</v>
      </c>
      <c r="I50" s="42">
        <f t="shared" si="2"/>
        <v>0</v>
      </c>
      <c r="J50" s="62">
        <f t="shared" si="18"/>
        <v>6.7544468483893682E-3</v>
      </c>
    </row>
    <row r="51" spans="1:10" x14ac:dyDescent="0.2">
      <c r="A51" s="63" t="s">
        <v>45</v>
      </c>
      <c r="B51" s="64">
        <f>B24*Rates!D89</f>
        <v>2172.8000000000002</v>
      </c>
      <c r="C51" s="65">
        <f>Rates!D20</f>
        <v>0</v>
      </c>
      <c r="D51" s="66">
        <f>B51*C51</f>
        <v>0</v>
      </c>
      <c r="E51" s="64">
        <f>B24*Rates!F89</f>
        <v>2172.8000000000002</v>
      </c>
      <c r="F51" s="65">
        <f>Rates!F20</f>
        <v>0</v>
      </c>
      <c r="G51" s="66">
        <f>E51*F51</f>
        <v>0</v>
      </c>
      <c r="H51" s="41">
        <f>G51-D51</f>
        <v>0</v>
      </c>
      <c r="I51" s="42">
        <f>IF(ISERROR(H51/D51),0,H51/D51)</f>
        <v>0</v>
      </c>
      <c r="J51" s="62">
        <f t="shared" si="18"/>
        <v>0</v>
      </c>
    </row>
    <row r="52" spans="1:10" ht="12.75" thickBot="1" x14ac:dyDescent="0.25">
      <c r="A52" s="63" t="str">
        <f>A21</f>
        <v>Standard Supply Service - Administarive Charge (if applicable)</v>
      </c>
      <c r="B52" s="79">
        <f>B32</f>
        <v>1</v>
      </c>
      <c r="C52" s="66">
        <f>C21</f>
        <v>0.25</v>
      </c>
      <c r="D52" s="66">
        <f>B52*C52</f>
        <v>0.25</v>
      </c>
      <c r="E52" s="64">
        <f>B32</f>
        <v>1</v>
      </c>
      <c r="F52" s="66">
        <f>D21</f>
        <v>0.25</v>
      </c>
      <c r="G52" s="66">
        <f>E52*F52</f>
        <v>0.25</v>
      </c>
      <c r="H52" s="66">
        <f t="shared" si="1"/>
        <v>0</v>
      </c>
      <c r="I52" s="67">
        <f t="shared" si="2"/>
        <v>0</v>
      </c>
      <c r="J52" s="68">
        <f t="shared" si="18"/>
        <v>7.0650844829350562E-4</v>
      </c>
    </row>
    <row r="53" spans="1:10" ht="12.75" thickBot="1" x14ac:dyDescent="0.25">
      <c r="A53" s="73" t="s">
        <v>42</v>
      </c>
      <c r="B53" s="74"/>
      <c r="C53" s="75"/>
      <c r="D53" s="76">
        <f>SUM(D49:D52)</f>
        <v>13.938639999999999</v>
      </c>
      <c r="E53" s="75"/>
      <c r="F53" s="75"/>
      <c r="G53" s="76">
        <f>SUM(G49:G52)</f>
        <v>13.938639999999999</v>
      </c>
      <c r="H53" s="76">
        <f t="shared" si="1"/>
        <v>0</v>
      </c>
      <c r="I53" s="77">
        <f t="shared" si="2"/>
        <v>0</v>
      </c>
      <c r="J53" s="78">
        <f t="shared" si="18"/>
        <v>3.9391067670887153E-2</v>
      </c>
    </row>
    <row r="54" spans="1:10" ht="12.75" thickBot="1" x14ac:dyDescent="0.25">
      <c r="A54" s="87" t="s">
        <v>19</v>
      </c>
      <c r="B54" s="88">
        <f>B24</f>
        <v>2000</v>
      </c>
      <c r="C54" s="89">
        <f>Rates!D83</f>
        <v>2E-3</v>
      </c>
      <c r="D54" s="90">
        <f>B54*C54</f>
        <v>4</v>
      </c>
      <c r="E54" s="88">
        <f>B24</f>
        <v>2000</v>
      </c>
      <c r="F54" s="89">
        <f>Rates!F83</f>
        <v>2E-3</v>
      </c>
      <c r="G54" s="90">
        <f>E54*F54</f>
        <v>4</v>
      </c>
      <c r="H54" s="90">
        <f t="shared" si="1"/>
        <v>0</v>
      </c>
      <c r="I54" s="91">
        <f t="shared" si="2"/>
        <v>0</v>
      </c>
      <c r="J54" s="92">
        <f t="shared" si="18"/>
        <v>1.130413517269609E-2</v>
      </c>
    </row>
    <row r="55" spans="1:10" ht="12.75" thickBot="1" x14ac:dyDescent="0.25">
      <c r="A55" s="73" t="s">
        <v>43</v>
      </c>
      <c r="B55" s="74"/>
      <c r="C55" s="75"/>
      <c r="D55" s="76">
        <f>D31+D48+D53+D54</f>
        <v>306.01320000000004</v>
      </c>
      <c r="E55" s="75"/>
      <c r="F55" s="75"/>
      <c r="G55" s="76">
        <f>G31+G48+G53+G54</f>
        <v>313.14407999999997</v>
      </c>
      <c r="H55" s="76">
        <f t="shared" si="1"/>
        <v>7.1308799999999337</v>
      </c>
      <c r="I55" s="77">
        <f t="shared" si="2"/>
        <v>2.3302524204838002E-2</v>
      </c>
      <c r="J55" s="78">
        <f t="shared" si="18"/>
        <v>0.88495575221238942</v>
      </c>
    </row>
    <row r="56" spans="1:10" ht="12.75" thickBot="1" x14ac:dyDescent="0.25">
      <c r="A56" s="93" t="s">
        <v>46</v>
      </c>
      <c r="B56" s="94"/>
      <c r="C56" s="95">
        <f>Rates!D90</f>
        <v>0.13</v>
      </c>
      <c r="D56" s="90">
        <f>C56*D55</f>
        <v>39.78171600000001</v>
      </c>
      <c r="E56" s="96"/>
      <c r="F56" s="95">
        <f>Rates!F90</f>
        <v>0.13</v>
      </c>
      <c r="G56" s="90">
        <f>F56*G55</f>
        <v>40.7087304</v>
      </c>
      <c r="H56" s="90">
        <f t="shared" si="1"/>
        <v>0.92701439999999025</v>
      </c>
      <c r="I56" s="91">
        <f t="shared" si="2"/>
        <v>2.3302524204837971E-2</v>
      </c>
      <c r="J56" s="92">
        <f t="shared" si="18"/>
        <v>0.11504424778761063</v>
      </c>
    </row>
    <row r="57" spans="1:10" ht="12.75" thickBot="1" x14ac:dyDescent="0.25">
      <c r="A57" s="81" t="s">
        <v>33</v>
      </c>
      <c r="B57" s="82"/>
      <c r="C57" s="83"/>
      <c r="D57" s="104">
        <f>D55+D56</f>
        <v>345.79491600000006</v>
      </c>
      <c r="E57" s="83"/>
      <c r="F57" s="83"/>
      <c r="G57" s="104">
        <f>G55+G56</f>
        <v>353.85281039999995</v>
      </c>
      <c r="H57" s="104">
        <f t="shared" si="1"/>
        <v>8.0578943999998955</v>
      </c>
      <c r="I57" s="85">
        <f t="shared" si="2"/>
        <v>2.3302524204837916E-2</v>
      </c>
      <c r="J57" s="86">
        <f t="shared" si="18"/>
        <v>1</v>
      </c>
    </row>
    <row r="58" spans="1:10" x14ac:dyDescent="0.2">
      <c r="A58" s="126"/>
      <c r="B58" s="127"/>
      <c r="C58" s="128"/>
      <c r="D58" s="128"/>
      <c r="E58" s="128"/>
      <c r="F58" s="128"/>
      <c r="G58" s="128"/>
      <c r="H58" s="128"/>
      <c r="I58" s="128"/>
      <c r="J58" s="129"/>
    </row>
    <row r="59" spans="1:10" x14ac:dyDescent="0.2">
      <c r="A59" s="130" t="s">
        <v>62</v>
      </c>
      <c r="B59" s="131"/>
      <c r="C59" s="132"/>
      <c r="D59" s="133">
        <f>D57*0.1</f>
        <v>34.579491600000004</v>
      </c>
      <c r="E59" s="132"/>
      <c r="F59" s="132"/>
      <c r="G59" s="133">
        <f>G57*0.1</f>
        <v>35.385281039999995</v>
      </c>
      <c r="H59" s="132"/>
      <c r="I59" s="132"/>
      <c r="J59" s="134"/>
    </row>
    <row r="60" spans="1:10" ht="12.75" thickBot="1" x14ac:dyDescent="0.25">
      <c r="A60" s="135" t="s">
        <v>63</v>
      </c>
      <c r="B60" s="136"/>
      <c r="C60" s="137"/>
      <c r="D60" s="138">
        <f>D57-D59</f>
        <v>311.21542440000007</v>
      </c>
      <c r="E60" s="137"/>
      <c r="F60" s="137"/>
      <c r="G60" s="138">
        <f>G57-G59</f>
        <v>318.46752935999996</v>
      </c>
      <c r="H60" s="140">
        <f>G60-D60</f>
        <v>7.2521049599998832</v>
      </c>
      <c r="I60" s="141">
        <f>H60/D60</f>
        <v>2.3302524204837843E-2</v>
      </c>
      <c r="J60" s="139"/>
    </row>
  </sheetData>
  <mergeCells count="4">
    <mergeCell ref="A27:A28"/>
    <mergeCell ref="B27:B28"/>
    <mergeCell ref="E27:E28"/>
    <mergeCell ref="H27:J27"/>
  </mergeCells>
  <pageMargins left="0.75" right="0.75" top="1" bottom="1" header="0.5" footer="0.5"/>
  <pageSetup scale="63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0"/>
  <sheetViews>
    <sheetView zoomScaleNormal="100" workbookViewId="0">
      <selection activeCell="A40" sqref="A40"/>
    </sheetView>
  </sheetViews>
  <sheetFormatPr defaultRowHeight="12" x14ac:dyDescent="0.2"/>
  <cols>
    <col min="1" max="1" width="90.140625" style="8" bestFit="1" customWidth="1"/>
    <col min="2" max="2" width="10.42578125" style="11" bestFit="1" customWidth="1"/>
    <col min="3" max="3" width="10" style="8" bestFit="1" customWidth="1"/>
    <col min="4" max="4" width="11.85546875" style="8" bestFit="1" customWidth="1"/>
    <col min="5" max="6" width="9.28515625" style="8" bestFit="1" customWidth="1"/>
    <col min="7" max="7" width="11.5703125" style="8" bestFit="1" customWidth="1"/>
    <col min="8" max="8" width="10.5703125" style="8" bestFit="1" customWidth="1"/>
    <col min="9" max="9" width="9.28515625" style="8" bestFit="1" customWidth="1"/>
    <col min="10" max="10" width="11.7109375" style="8" bestFit="1" customWidth="1"/>
    <col min="11" max="16384" width="9.140625" style="8"/>
  </cols>
  <sheetData>
    <row r="2" spans="1:4" ht="12.75" thickBot="1" x14ac:dyDescent="0.25"/>
    <row r="3" spans="1:4" ht="36.75" thickBot="1" x14ac:dyDescent="0.25">
      <c r="A3" s="14" t="str">
        <f>Rates!A4</f>
        <v>Residential - R1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Rates!A5</f>
        <v>Monthly Service Charge</v>
      </c>
      <c r="B4" s="24" t="str">
        <f>Rates!B5</f>
        <v>$</v>
      </c>
      <c r="C4" s="25">
        <f>Rates!D5</f>
        <v>21.51</v>
      </c>
      <c r="D4" s="26">
        <f>Rates!F5</f>
        <v>22.11</v>
      </c>
    </row>
    <row r="5" spans="1:4" x14ac:dyDescent="0.2">
      <c r="A5" s="27" t="str">
        <f>Rates!A6</f>
        <v>Smart Meter Rate Adder</v>
      </c>
      <c r="B5" s="28" t="str">
        <f>Rates!B6</f>
        <v>$</v>
      </c>
      <c r="C5" s="29">
        <f>Rates!D6</f>
        <v>1</v>
      </c>
      <c r="D5" s="30">
        <f>Rates!F6</f>
        <v>0</v>
      </c>
    </row>
    <row r="6" spans="1:4" x14ac:dyDescent="0.2">
      <c r="A6" s="27" t="str">
        <f>Rates!A7</f>
        <v>Distribution Volumetric Rate</v>
      </c>
      <c r="B6" s="28" t="str">
        <f>Rates!B7</f>
        <v>$/kWh</v>
      </c>
      <c r="C6" s="31">
        <f>Rates!D7</f>
        <v>3.0200000000000001E-2</v>
      </c>
      <c r="D6" s="32">
        <f>Rates!F7</f>
        <v>3.1E-2</v>
      </c>
    </row>
    <row r="7" spans="1:4" x14ac:dyDescent="0.2">
      <c r="A7" s="27" t="str">
        <f>Rates!A8</f>
        <v>Rate Rider for Foregone Revenue Recovery - effective until December 31, 2012</v>
      </c>
      <c r="B7" s="28" t="str">
        <f>Rates!B8</f>
        <v>$/kWh</v>
      </c>
      <c r="C7" s="31">
        <f>Rates!D8</f>
        <v>2.9999999999999997E-4</v>
      </c>
      <c r="D7" s="32">
        <f>Rates!F8</f>
        <v>0</v>
      </c>
    </row>
    <row r="8" spans="1:4" x14ac:dyDescent="0.2">
      <c r="A8" s="27" t="str">
        <f>Rates!A9</f>
        <v>Rate Rider for Deferral/Variance Account Disposition - effective until May 31, 2013</v>
      </c>
      <c r="B8" s="28" t="str">
        <f>Rates!B9</f>
        <v>$/kWh</v>
      </c>
      <c r="C8" s="31">
        <f>Rates!D9</f>
        <v>4.5999999999999999E-3</v>
      </c>
      <c r="D8" s="32">
        <f>Rates!F9</f>
        <v>4.5999999999999999E-3</v>
      </c>
    </row>
    <row r="9" spans="1:4" x14ac:dyDescent="0.2">
      <c r="A9" s="27" t="str">
        <f>Rates!A10</f>
        <v>Rate Rider for Deferral/Variance Account Disposition - effective until May 31, 2013</v>
      </c>
      <c r="B9" s="28" t="str">
        <f>Rates!B10</f>
        <v>$/kWh</v>
      </c>
      <c r="C9" s="31">
        <f>Rates!D10</f>
        <v>-6.1000000000000004E-3</v>
      </c>
      <c r="D9" s="32">
        <f>Rates!F10</f>
        <v>-6.1000000000000004E-3</v>
      </c>
    </row>
    <row r="10" spans="1:4" x14ac:dyDescent="0.2">
      <c r="A10" s="27" t="str">
        <f>Rates!A11</f>
        <v>Rate Rider for Deferral/Variance Account Disposition (2012) - effective until December 31, 2013</v>
      </c>
      <c r="B10" s="28" t="str">
        <f>Rates!B11</f>
        <v>$/kWh</v>
      </c>
      <c r="C10" s="31">
        <f>Rates!D11</f>
        <v>0</v>
      </c>
      <c r="D10" s="32">
        <f>Rates!F11</f>
        <v>-1.1999999999999999E-3</v>
      </c>
    </row>
    <row r="11" spans="1:4" x14ac:dyDescent="0.2">
      <c r="A11" s="27" t="str">
        <f>Rates!A12</f>
        <v>Rate Rider for Global Adjustment Sub-Account Disposition (2012) - effective until December 31, 2013</v>
      </c>
      <c r="B11" s="28" t="str">
        <f>Rates!B12</f>
        <v>$/kWh</v>
      </c>
      <c r="C11" s="31">
        <f>Rates!D12</f>
        <v>0</v>
      </c>
      <c r="D11" s="32">
        <f>Rates!F12</f>
        <v>1.1000000000000001E-3</v>
      </c>
    </row>
    <row r="12" spans="1:4" x14ac:dyDescent="0.2">
      <c r="A12" s="27" t="str">
        <f>Rates!A13</f>
        <v>Smart Meter Cost Recovery Rate Rider - Net Deferred Revenue Requirement, effective until December 31, 2013</v>
      </c>
      <c r="B12" s="28" t="str">
        <f>Rates!B13</f>
        <v>$/kWh</v>
      </c>
      <c r="C12" s="31"/>
      <c r="D12" s="32">
        <f>Rates!F13</f>
        <v>0</v>
      </c>
    </row>
    <row r="13" spans="1:4" x14ac:dyDescent="0.2">
      <c r="A13" s="27" t="str">
        <f>Rates!A14</f>
        <v>Smart Meter Cost Recovery Rate Rider - Incremental Revenue Requirement, effective until December 31, 2013</v>
      </c>
      <c r="B13" s="28" t="str">
        <f>Rates!B14</f>
        <v>$/kWh</v>
      </c>
      <c r="C13" s="31"/>
      <c r="D13" s="32">
        <f>Rates!F14</f>
        <v>4.7999999999999996E-3</v>
      </c>
    </row>
    <row r="14" spans="1:4" x14ac:dyDescent="0.2">
      <c r="A14" s="27"/>
      <c r="B14" s="28"/>
      <c r="C14" s="31"/>
      <c r="D14" s="32"/>
    </row>
    <row r="15" spans="1:4" x14ac:dyDescent="0.2">
      <c r="A15" s="27" t="str">
        <f>Rates!A15</f>
        <v>Rate Rider for Tax Changes - effective until December 31, 2012</v>
      </c>
      <c r="B15" s="28" t="str">
        <f>Rates!B15</f>
        <v>$/kWh</v>
      </c>
      <c r="C15" s="31">
        <f>Rates!D15</f>
        <v>-2.0000000000000001E-4</v>
      </c>
      <c r="D15" s="32">
        <f>Rates!F15</f>
        <v>-1E-4</v>
      </c>
    </row>
    <row r="16" spans="1:4" x14ac:dyDescent="0.2">
      <c r="A16" s="27" t="str">
        <f>Rates!A16</f>
        <v>Retail Transmission Rate - Network Service Rate</v>
      </c>
      <c r="B16" s="28" t="str">
        <f>Rates!B16</f>
        <v>$/kWh</v>
      </c>
      <c r="C16" s="31">
        <f>Rates!D16</f>
        <v>7.1000000000000004E-3</v>
      </c>
      <c r="D16" s="32">
        <f>Rates!F16</f>
        <v>6.7999999999999996E-3</v>
      </c>
    </row>
    <row r="17" spans="1:10" x14ac:dyDescent="0.2">
      <c r="A17" s="27" t="str">
        <f>Rates!A17</f>
        <v>Retail Transmission Rate - Line and Transformation Connection Service Rate</v>
      </c>
      <c r="B17" s="28" t="str">
        <f>Rates!B17</f>
        <v>$/kWh</v>
      </c>
      <c r="C17" s="31">
        <f>Rates!D17</f>
        <v>5.1000000000000004E-3</v>
      </c>
      <c r="D17" s="32">
        <f>Rates!F17</f>
        <v>5.0000000000000001E-3</v>
      </c>
    </row>
    <row r="18" spans="1:10" x14ac:dyDescent="0.2">
      <c r="A18" s="19" t="str">
        <f>Rates!A18</f>
        <v>Wholesale Market Service Rate</v>
      </c>
      <c r="B18" s="20" t="str">
        <f>Rates!B18</f>
        <v>$/kWh</v>
      </c>
      <c r="C18" s="21">
        <f>Rates!D18</f>
        <v>5.1999999999999998E-3</v>
      </c>
      <c r="D18" s="22">
        <f>Rates!F18</f>
        <v>5.1999999999999998E-3</v>
      </c>
    </row>
    <row r="19" spans="1:10" x14ac:dyDescent="0.2">
      <c r="A19" s="27" t="str">
        <f>Rates!A19</f>
        <v>Rural Rate Protection Charge</v>
      </c>
      <c r="B19" s="28" t="str">
        <f>Rates!B19</f>
        <v>$/kWh</v>
      </c>
      <c r="C19" s="31">
        <f>Rates!D19</f>
        <v>1.1000000000000001E-3</v>
      </c>
      <c r="D19" s="32">
        <f>Rates!F19</f>
        <v>1.1000000000000001E-3</v>
      </c>
    </row>
    <row r="20" spans="1:10" x14ac:dyDescent="0.2">
      <c r="A20" s="106" t="str">
        <f>Rates!A20</f>
        <v>Special Purpose Charge</v>
      </c>
      <c r="B20" s="28" t="str">
        <f>Rates!B20</f>
        <v>$/kWh</v>
      </c>
      <c r="C20" s="31">
        <f>Rates!D20</f>
        <v>0</v>
      </c>
      <c r="D20" s="32">
        <f>Rates!F20</f>
        <v>0</v>
      </c>
    </row>
    <row r="21" spans="1:10" ht="12.75" thickBot="1" x14ac:dyDescent="0.25">
      <c r="A21" s="12" t="str">
        <f>Rates!A21</f>
        <v>Standard Supply Service - Administarive Charge (if applicable)</v>
      </c>
      <c r="B21" s="17" t="str">
        <f>Rates!B21</f>
        <v>$</v>
      </c>
      <c r="C21" s="18">
        <f>Rates!D21</f>
        <v>0.25</v>
      </c>
      <c r="D21" s="13">
        <f>Rates!F21</f>
        <v>0.25</v>
      </c>
    </row>
    <row r="23" spans="1:10" ht="12.75" thickBot="1" x14ac:dyDescent="0.25"/>
    <row r="24" spans="1:10" ht="13.5" thickBot="1" x14ac:dyDescent="0.25">
      <c r="A24" s="33" t="s">
        <v>26</v>
      </c>
      <c r="B24" s="34">
        <v>2000</v>
      </c>
      <c r="C24" s="35" t="s">
        <v>27</v>
      </c>
      <c r="D24" s="36"/>
      <c r="E24" s="35" t="s">
        <v>28</v>
      </c>
      <c r="G24" s="102" t="s">
        <v>23</v>
      </c>
      <c r="H24" s="53">
        <f>Rates!F89</f>
        <v>1.0864</v>
      </c>
    </row>
    <row r="25" spans="1:10" ht="13.5" thickBot="1" x14ac:dyDescent="0.25">
      <c r="A25" s="33" t="s">
        <v>29</v>
      </c>
      <c r="B25" s="34">
        <v>750</v>
      </c>
      <c r="C25" s="35" t="s">
        <v>27</v>
      </c>
      <c r="D25" s="37" t="s">
        <v>30</v>
      </c>
      <c r="E25" s="38" t="str">
        <f>IF(D24&gt;0,B24/(D24*24*30.4)," ")</f>
        <v xml:space="preserve"> </v>
      </c>
    </row>
    <row r="26" spans="1:10" ht="12.75" thickBot="1" x14ac:dyDescent="0.25"/>
    <row r="27" spans="1:10" ht="12.75" customHeight="1" x14ac:dyDescent="0.2">
      <c r="A27" s="149" t="str">
        <f>A3</f>
        <v>Residential - R1</v>
      </c>
      <c r="B27" s="151" t="s">
        <v>31</v>
      </c>
      <c r="C27" s="142" t="s">
        <v>37</v>
      </c>
      <c r="D27" s="142" t="s">
        <v>38</v>
      </c>
      <c r="E27" s="151" t="s">
        <v>31</v>
      </c>
      <c r="F27" s="142" t="s">
        <v>37</v>
      </c>
      <c r="G27" s="142" t="s">
        <v>38</v>
      </c>
      <c r="H27" s="153" t="s">
        <v>44</v>
      </c>
      <c r="I27" s="153"/>
      <c r="J27" s="154"/>
    </row>
    <row r="28" spans="1:10" ht="12.75" thickBot="1" x14ac:dyDescent="0.25">
      <c r="A28" s="150"/>
      <c r="B28" s="152"/>
      <c r="C28" s="50" t="s">
        <v>15</v>
      </c>
      <c r="D28" s="50" t="s">
        <v>15</v>
      </c>
      <c r="E28" s="152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 x14ac:dyDescent="0.2">
      <c r="A29" s="54" t="s">
        <v>35</v>
      </c>
      <c r="B29" s="55">
        <f>IF(B24*Rates!D89&gt;B25,B25,B24*Rates!D89)</f>
        <v>750</v>
      </c>
      <c r="C29" s="56">
        <f>Rates!D84</f>
        <v>7.4999999999999997E-2</v>
      </c>
      <c r="D29" s="57">
        <f>B29*C29</f>
        <v>56.25</v>
      </c>
      <c r="E29" s="55">
        <f>IF(B24*H24&gt;B25,B25,B24*H24)</f>
        <v>750</v>
      </c>
      <c r="F29" s="56">
        <f>Rates!F84</f>
        <v>7.4999999999999997E-2</v>
      </c>
      <c r="G29" s="57">
        <f>E29*F29</f>
        <v>56.25</v>
      </c>
      <c r="H29" s="58">
        <f>G29-D29</f>
        <v>0</v>
      </c>
      <c r="I29" s="59">
        <f>IF(ISERROR(H29/D29),1,H29/D29)</f>
        <v>0</v>
      </c>
      <c r="J29" s="60">
        <f t="shared" ref="J29:J57" si="0">IF(ISERROR(G29/G$57),0,G29/G$57)</f>
        <v>0.15785538470215424</v>
      </c>
    </row>
    <row r="30" spans="1:10" ht="12.75" thickBot="1" x14ac:dyDescent="0.25">
      <c r="A30" s="63" t="s">
        <v>36</v>
      </c>
      <c r="B30" s="64">
        <f>IF(B24*Rates!D89&gt;=B25,B24*Rates!D89-B25,0)</f>
        <v>1422.8000000000002</v>
      </c>
      <c r="C30" s="65">
        <f>Rates!D85</f>
        <v>8.7999999999999995E-2</v>
      </c>
      <c r="D30" s="66">
        <f>B30*C30</f>
        <v>125.2064</v>
      </c>
      <c r="E30" s="64">
        <f>IF(B24*H24&gt;=B25,B24*H24-B25,0)</f>
        <v>1422.8000000000002</v>
      </c>
      <c r="F30" s="65">
        <f>Rates!F85</f>
        <v>8.7999999999999995E-2</v>
      </c>
      <c r="G30" s="66">
        <f>E30*F30</f>
        <v>125.2064</v>
      </c>
      <c r="H30" s="66">
        <f t="shared" ref="H30:H57" si="1">G30-D30</f>
        <v>0</v>
      </c>
      <c r="I30" s="67">
        <f t="shared" ref="I30:I57" si="2">IF(ISERROR(H30/D30),0,H30/D30)</f>
        <v>0</v>
      </c>
      <c r="J30" s="68">
        <f t="shared" si="0"/>
        <v>0.35136896780749877</v>
      </c>
    </row>
    <row r="31" spans="1:10" ht="12.75" thickBot="1" x14ac:dyDescent="0.25">
      <c r="A31" s="73" t="s">
        <v>39</v>
      </c>
      <c r="B31" s="74"/>
      <c r="C31" s="75"/>
      <c r="D31" s="76">
        <f>SUM(D29:D30)</f>
        <v>181.4564</v>
      </c>
      <c r="E31" s="75"/>
      <c r="F31" s="75"/>
      <c r="G31" s="76">
        <f>SUM(G29:G30)</f>
        <v>181.4564</v>
      </c>
      <c r="H31" s="76">
        <f t="shared" si="1"/>
        <v>0</v>
      </c>
      <c r="I31" s="77">
        <f t="shared" si="2"/>
        <v>0</v>
      </c>
      <c r="J31" s="78">
        <f t="shared" si="0"/>
        <v>0.50922435250965303</v>
      </c>
    </row>
    <row r="32" spans="1:10" x14ac:dyDescent="0.2">
      <c r="A32" s="69" t="str">
        <f t="shared" ref="A32:A37" si="3">A4</f>
        <v>Monthly Service Charge</v>
      </c>
      <c r="B32" s="70">
        <v>1</v>
      </c>
      <c r="C32" s="46">
        <f t="shared" ref="C32:C37" si="4">C4</f>
        <v>21.51</v>
      </c>
      <c r="D32" s="46">
        <f>B32*C32</f>
        <v>21.51</v>
      </c>
      <c r="E32" s="71">
        <f>B32</f>
        <v>1</v>
      </c>
      <c r="F32" s="47">
        <f t="shared" ref="F32:F37" si="5">D4</f>
        <v>22.11</v>
      </c>
      <c r="G32" s="47">
        <f>E32*F32</f>
        <v>22.11</v>
      </c>
      <c r="H32" s="47">
        <f t="shared" si="1"/>
        <v>0.59999999999999787</v>
      </c>
      <c r="I32" s="48">
        <f t="shared" si="2"/>
        <v>2.7894002789400178E-2</v>
      </c>
      <c r="J32" s="72">
        <f t="shared" si="0"/>
        <v>6.204768988026009E-2</v>
      </c>
    </row>
    <row r="33" spans="1:10" x14ac:dyDescent="0.2">
      <c r="A33" s="61" t="str">
        <f t="shared" si="3"/>
        <v>Smart Meter Rate Adder</v>
      </c>
      <c r="B33" s="43">
        <f>B32</f>
        <v>1</v>
      </c>
      <c r="C33" s="41">
        <f t="shared" si="4"/>
        <v>1</v>
      </c>
      <c r="D33" s="41">
        <f t="shared" ref="D33:D43" si="6">B33*C33</f>
        <v>1</v>
      </c>
      <c r="E33" s="43">
        <f>B33</f>
        <v>1</v>
      </c>
      <c r="F33" s="41">
        <f t="shared" si="5"/>
        <v>0</v>
      </c>
      <c r="G33" s="41">
        <f t="shared" ref="G33:G43" si="7">E33*F33</f>
        <v>0</v>
      </c>
      <c r="H33" s="41">
        <f t="shared" si="1"/>
        <v>-1</v>
      </c>
      <c r="I33" s="42">
        <f>IF(ISERROR(H33/D33),1,H33/D33)</f>
        <v>-1</v>
      </c>
      <c r="J33" s="62">
        <f t="shared" si="0"/>
        <v>0</v>
      </c>
    </row>
    <row r="34" spans="1:10" x14ac:dyDescent="0.2">
      <c r="A34" s="61" t="str">
        <f t="shared" si="3"/>
        <v>Distribution Volumetric Rate</v>
      </c>
      <c r="B34" s="43">
        <f>B24</f>
        <v>2000</v>
      </c>
      <c r="C34" s="40">
        <f t="shared" si="4"/>
        <v>3.0200000000000001E-2</v>
      </c>
      <c r="D34" s="41">
        <f t="shared" si="6"/>
        <v>60.400000000000006</v>
      </c>
      <c r="E34" s="43">
        <f>B24</f>
        <v>2000</v>
      </c>
      <c r="F34" s="40">
        <f t="shared" si="5"/>
        <v>3.1E-2</v>
      </c>
      <c r="G34" s="41">
        <f t="shared" si="7"/>
        <v>62</v>
      </c>
      <c r="H34" s="41">
        <f t="shared" si="1"/>
        <v>1.5999999999999943</v>
      </c>
      <c r="I34" s="42">
        <f t="shared" si="2"/>
        <v>2.6490066225165466E-2</v>
      </c>
      <c r="J34" s="62">
        <f t="shared" si="0"/>
        <v>0.17399171291615223</v>
      </c>
    </row>
    <row r="35" spans="1:10" x14ac:dyDescent="0.2">
      <c r="A35" s="61" t="str">
        <f t="shared" si="3"/>
        <v>Rate Rider for Foregone Revenue Recovery - effective until December 31, 2012</v>
      </c>
      <c r="B35" s="43">
        <f>B24</f>
        <v>2000</v>
      </c>
      <c r="C35" s="40">
        <f t="shared" si="4"/>
        <v>2.9999999999999997E-4</v>
      </c>
      <c r="D35" s="41">
        <f t="shared" si="6"/>
        <v>0.6</v>
      </c>
      <c r="E35" s="43">
        <f>B24</f>
        <v>2000</v>
      </c>
      <c r="F35" s="40">
        <f t="shared" si="5"/>
        <v>0</v>
      </c>
      <c r="G35" s="41">
        <f>E35*F35</f>
        <v>0</v>
      </c>
      <c r="H35" s="41">
        <f>G35-D35</f>
        <v>-0.6</v>
      </c>
      <c r="I35" s="42">
        <f>IF(ISERROR(H35/D35),0,H35/D35)</f>
        <v>-1</v>
      </c>
      <c r="J35" s="62">
        <f t="shared" si="0"/>
        <v>0</v>
      </c>
    </row>
    <row r="36" spans="1:10" x14ac:dyDescent="0.2">
      <c r="A36" s="61" t="str">
        <f t="shared" si="3"/>
        <v>Rate Rider for Deferral/Variance Account Disposition - effective until May 31, 2013</v>
      </c>
      <c r="B36" s="43">
        <f>B24</f>
        <v>2000</v>
      </c>
      <c r="C36" s="40">
        <f t="shared" si="4"/>
        <v>4.5999999999999999E-3</v>
      </c>
      <c r="D36" s="41">
        <f t="shared" si="6"/>
        <v>9.1999999999999993</v>
      </c>
      <c r="E36" s="43">
        <f>B24</f>
        <v>2000</v>
      </c>
      <c r="F36" s="40">
        <f t="shared" si="5"/>
        <v>4.5999999999999999E-3</v>
      </c>
      <c r="G36" s="41">
        <f t="shared" si="7"/>
        <v>9.1999999999999993</v>
      </c>
      <c r="H36" s="41">
        <f t="shared" si="1"/>
        <v>0</v>
      </c>
      <c r="I36" s="42">
        <f t="shared" si="2"/>
        <v>0</v>
      </c>
      <c r="J36" s="62">
        <f t="shared" si="0"/>
        <v>2.5818125142396779E-2</v>
      </c>
    </row>
    <row r="37" spans="1:10" x14ac:dyDescent="0.2">
      <c r="A37" s="61" t="str">
        <f t="shared" si="3"/>
        <v>Rate Rider for Deferral/Variance Account Disposition - effective until May 31, 2013</v>
      </c>
      <c r="B37" s="43">
        <f>B24</f>
        <v>2000</v>
      </c>
      <c r="C37" s="40">
        <f t="shared" si="4"/>
        <v>-6.1000000000000004E-3</v>
      </c>
      <c r="D37" s="41">
        <f t="shared" si="6"/>
        <v>-12.200000000000001</v>
      </c>
      <c r="E37" s="43">
        <f>B24</f>
        <v>2000</v>
      </c>
      <c r="F37" s="40">
        <f t="shared" si="5"/>
        <v>-6.1000000000000004E-3</v>
      </c>
      <c r="G37" s="41">
        <f>E37*F37</f>
        <v>-12.200000000000001</v>
      </c>
      <c r="H37" s="41">
        <f>G37-D37</f>
        <v>0</v>
      </c>
      <c r="I37" s="42">
        <f>IF(ISERROR(H37/D37),0,H37/D37)</f>
        <v>0</v>
      </c>
      <c r="J37" s="62">
        <f t="shared" si="0"/>
        <v>-3.4237078993178342E-2</v>
      </c>
    </row>
    <row r="38" spans="1:10" x14ac:dyDescent="0.2">
      <c r="A38" s="61" t="str">
        <f>A10</f>
        <v>Rate Rider for Deferral/Variance Account Disposition (2012) - effective until December 31, 2013</v>
      </c>
      <c r="B38" s="43">
        <f>B24</f>
        <v>2000</v>
      </c>
      <c r="C38" s="40">
        <f>C10</f>
        <v>0</v>
      </c>
      <c r="D38" s="41">
        <f t="shared" si="6"/>
        <v>0</v>
      </c>
      <c r="E38" s="43">
        <f>B24</f>
        <v>2000</v>
      </c>
      <c r="F38" s="40">
        <f>D10</f>
        <v>-1.1999999999999999E-3</v>
      </c>
      <c r="G38" s="41">
        <f>E38*F38</f>
        <v>-2.4</v>
      </c>
      <c r="H38" s="41">
        <f>G38-D38</f>
        <v>-2.4</v>
      </c>
      <c r="I38" s="42">
        <f>IF(ISERROR(H38/D38),0,H38/D38)</f>
        <v>0</v>
      </c>
      <c r="J38" s="62">
        <f t="shared" si="0"/>
        <v>-6.7351630806252475E-3</v>
      </c>
    </row>
    <row r="39" spans="1:10" x14ac:dyDescent="0.2">
      <c r="A39" s="61" t="str">
        <f>A11</f>
        <v>Rate Rider for Global Adjustment Sub-Account Disposition (2012) - effective until December 31, 2013</v>
      </c>
      <c r="B39" s="43">
        <f>B24</f>
        <v>2000</v>
      </c>
      <c r="C39" s="40">
        <f>C11</f>
        <v>0</v>
      </c>
      <c r="D39" s="41">
        <f t="shared" si="6"/>
        <v>0</v>
      </c>
      <c r="E39" s="43">
        <f>B24</f>
        <v>2000</v>
      </c>
      <c r="F39" s="40">
        <f>D11</f>
        <v>1.1000000000000001E-3</v>
      </c>
      <c r="G39" s="41">
        <f>E39*F39</f>
        <v>2.2000000000000002</v>
      </c>
      <c r="H39" s="41">
        <f>G39-D39</f>
        <v>2.2000000000000002</v>
      </c>
      <c r="I39" s="42">
        <f>IF(ISERROR(H39/D39),0,H39/D39)</f>
        <v>0</v>
      </c>
      <c r="J39" s="62">
        <f t="shared" si="0"/>
        <v>6.1738994905731438E-3</v>
      </c>
    </row>
    <row r="40" spans="1:10" x14ac:dyDescent="0.2">
      <c r="A40" s="61" t="str">
        <f t="shared" ref="A40:A41" si="8">A12</f>
        <v>Smart Meter Cost Recovery Rate Rider - Net Deferred Revenue Requirement, effective until December 31, 2013</v>
      </c>
      <c r="B40" s="43">
        <f>B24</f>
        <v>2000</v>
      </c>
      <c r="C40" s="40">
        <f t="shared" ref="C40:C43" si="9">C12</f>
        <v>0</v>
      </c>
      <c r="D40" s="41">
        <f t="shared" si="6"/>
        <v>0</v>
      </c>
      <c r="E40" s="43">
        <f>B24</f>
        <v>2000</v>
      </c>
      <c r="F40" s="40">
        <f t="shared" ref="F40:F43" si="10">D12</f>
        <v>0</v>
      </c>
      <c r="G40" s="41">
        <f t="shared" ref="G40:G42" si="11">E40*F40</f>
        <v>0</v>
      </c>
      <c r="H40" s="41">
        <f t="shared" ref="H40:H42" si="12">G40-D40</f>
        <v>0</v>
      </c>
      <c r="I40" s="42">
        <f t="shared" ref="I40:I42" si="13">IF(ISERROR(H40/D40),0,H40/D40)</f>
        <v>0</v>
      </c>
      <c r="J40" s="62">
        <f t="shared" si="0"/>
        <v>0</v>
      </c>
    </row>
    <row r="41" spans="1:10" x14ac:dyDescent="0.2">
      <c r="A41" s="61" t="str">
        <f t="shared" si="8"/>
        <v>Smart Meter Cost Recovery Rate Rider - Incremental Revenue Requirement, effective until December 31, 2013</v>
      </c>
      <c r="B41" s="43">
        <f>B24</f>
        <v>2000</v>
      </c>
      <c r="C41" s="40">
        <f t="shared" si="9"/>
        <v>0</v>
      </c>
      <c r="D41" s="41">
        <f t="shared" si="6"/>
        <v>0</v>
      </c>
      <c r="E41" s="43">
        <f>B24</f>
        <v>2000</v>
      </c>
      <c r="F41" s="40">
        <f t="shared" si="10"/>
        <v>4.7999999999999996E-3</v>
      </c>
      <c r="G41" s="41">
        <f t="shared" si="11"/>
        <v>9.6</v>
      </c>
      <c r="H41" s="41">
        <f t="shared" si="12"/>
        <v>9.6</v>
      </c>
      <c r="I41" s="42">
        <f t="shared" si="13"/>
        <v>0</v>
      </c>
      <c r="J41" s="62">
        <f t="shared" si="0"/>
        <v>2.694065232250099E-2</v>
      </c>
    </row>
    <row r="42" spans="1:10" x14ac:dyDescent="0.2">
      <c r="A42" s="61"/>
      <c r="B42" s="43">
        <f>B24</f>
        <v>2000</v>
      </c>
      <c r="C42" s="40">
        <f t="shared" si="9"/>
        <v>0</v>
      </c>
      <c r="D42" s="41">
        <f t="shared" si="6"/>
        <v>0</v>
      </c>
      <c r="E42" s="43">
        <f>B24</f>
        <v>2000</v>
      </c>
      <c r="F42" s="40">
        <f t="shared" si="10"/>
        <v>0</v>
      </c>
      <c r="G42" s="41">
        <f t="shared" si="11"/>
        <v>0</v>
      </c>
      <c r="H42" s="41">
        <f t="shared" si="12"/>
        <v>0</v>
      </c>
      <c r="I42" s="42">
        <f t="shared" si="13"/>
        <v>0</v>
      </c>
      <c r="J42" s="62">
        <f t="shared" si="0"/>
        <v>0</v>
      </c>
    </row>
    <row r="43" spans="1:10" ht="12.75" thickBot="1" x14ac:dyDescent="0.25">
      <c r="A43" s="61" t="str">
        <f t="shared" ref="A43" si="14">A15</f>
        <v>Rate Rider for Tax Changes - effective until December 31, 2012</v>
      </c>
      <c r="B43" s="43">
        <f>B24</f>
        <v>2000</v>
      </c>
      <c r="C43" s="40">
        <f t="shared" si="9"/>
        <v>-2.0000000000000001E-4</v>
      </c>
      <c r="D43" s="41">
        <f t="shared" si="6"/>
        <v>-0.4</v>
      </c>
      <c r="E43" s="43">
        <f>B24</f>
        <v>2000</v>
      </c>
      <c r="F43" s="40">
        <f t="shared" si="10"/>
        <v>-1E-4</v>
      </c>
      <c r="G43" s="41">
        <f t="shared" si="7"/>
        <v>-0.2</v>
      </c>
      <c r="H43" s="41">
        <f t="shared" si="1"/>
        <v>0.2</v>
      </c>
      <c r="I43" s="42">
        <f t="shared" si="2"/>
        <v>-0.5</v>
      </c>
      <c r="J43" s="62">
        <f t="shared" si="0"/>
        <v>-5.6126359005210396E-4</v>
      </c>
    </row>
    <row r="44" spans="1:10" ht="12.75" thickBot="1" x14ac:dyDescent="0.25">
      <c r="A44" s="73" t="s">
        <v>40</v>
      </c>
      <c r="B44" s="74"/>
      <c r="C44" s="75"/>
      <c r="D44" s="80">
        <f>SUM(D32:D43)</f>
        <v>80.11</v>
      </c>
      <c r="E44" s="75"/>
      <c r="F44" s="75"/>
      <c r="G44" s="76">
        <f>SUM(G32:G43)</f>
        <v>90.309999999999988</v>
      </c>
      <c r="H44" s="76">
        <f t="shared" si="1"/>
        <v>10.199999999999989</v>
      </c>
      <c r="I44" s="77">
        <f t="shared" si="2"/>
        <v>0.12732492822369229</v>
      </c>
      <c r="J44" s="78">
        <f t="shared" si="0"/>
        <v>0.2534385740880275</v>
      </c>
    </row>
    <row r="45" spans="1:10" x14ac:dyDescent="0.2">
      <c r="A45" s="69" t="str">
        <f>A16</f>
        <v>Retail Transmission Rate - Network Service Rate</v>
      </c>
      <c r="B45" s="44">
        <f>B24*Rates!D89</f>
        <v>2172.8000000000002</v>
      </c>
      <c r="C45" s="45">
        <f>C16</f>
        <v>7.1000000000000004E-3</v>
      </c>
      <c r="D45" s="47">
        <f>B45*C45</f>
        <v>15.426880000000002</v>
      </c>
      <c r="E45" s="44">
        <f>B24*H24</f>
        <v>2172.8000000000002</v>
      </c>
      <c r="F45" s="45">
        <f>D16</f>
        <v>6.7999999999999996E-3</v>
      </c>
      <c r="G45" s="47">
        <f>E45*F45</f>
        <v>14.775040000000001</v>
      </c>
      <c r="H45" s="47">
        <f t="shared" si="1"/>
        <v>-0.65184000000000175</v>
      </c>
      <c r="I45" s="48">
        <f t="shared" si="2"/>
        <v>-4.2253521126760674E-2</v>
      </c>
      <c r="J45" s="72">
        <f t="shared" si="0"/>
        <v>4.1463459967817196E-2</v>
      </c>
    </row>
    <row r="46" spans="1:10" ht="12.75" thickBot="1" x14ac:dyDescent="0.25">
      <c r="A46" s="63" t="str">
        <f>A17</f>
        <v>Retail Transmission Rate - Line and Transformation Connection Service Rate</v>
      </c>
      <c r="B46" s="64">
        <f>B24*Rates!D89</f>
        <v>2172.8000000000002</v>
      </c>
      <c r="C46" s="65">
        <f>C17</f>
        <v>5.1000000000000004E-3</v>
      </c>
      <c r="D46" s="66">
        <f>B46*C46</f>
        <v>11.081280000000001</v>
      </c>
      <c r="E46" s="64">
        <f>B24*H24</f>
        <v>2172.8000000000002</v>
      </c>
      <c r="F46" s="65">
        <f>D17</f>
        <v>5.0000000000000001E-3</v>
      </c>
      <c r="G46" s="66">
        <f>E46*F46</f>
        <v>10.864000000000001</v>
      </c>
      <c r="H46" s="66">
        <f t="shared" si="1"/>
        <v>-0.21728000000000058</v>
      </c>
      <c r="I46" s="67">
        <f t="shared" si="2"/>
        <v>-1.9607843137254954E-2</v>
      </c>
      <c r="J46" s="68">
        <f t="shared" si="0"/>
        <v>3.0487838211630289E-2</v>
      </c>
    </row>
    <row r="47" spans="1:10" ht="12.75" thickBot="1" x14ac:dyDescent="0.25">
      <c r="A47" s="73" t="s">
        <v>32</v>
      </c>
      <c r="B47" s="74"/>
      <c r="C47" s="75"/>
      <c r="D47" s="76">
        <f>SUM(D45:D46)</f>
        <v>26.508160000000004</v>
      </c>
      <c r="E47" s="75"/>
      <c r="F47" s="75"/>
      <c r="G47" s="76">
        <f>SUM(G45:G46)</f>
        <v>25.639040000000001</v>
      </c>
      <c r="H47" s="76">
        <f t="shared" si="1"/>
        <v>-0.86912000000000234</v>
      </c>
      <c r="I47" s="77">
        <f t="shared" si="2"/>
        <v>-3.2786885245901724E-2</v>
      </c>
      <c r="J47" s="78">
        <f t="shared" si="0"/>
        <v>7.1951298179447482E-2</v>
      </c>
    </row>
    <row r="48" spans="1:10" ht="12.75" thickBot="1" x14ac:dyDescent="0.25">
      <c r="A48" s="81" t="s">
        <v>41</v>
      </c>
      <c r="B48" s="82"/>
      <c r="C48" s="83"/>
      <c r="D48" s="84">
        <f>D44+D47</f>
        <v>106.61816</v>
      </c>
      <c r="E48" s="83"/>
      <c r="F48" s="83"/>
      <c r="G48" s="84">
        <f>G44+G47</f>
        <v>115.94904</v>
      </c>
      <c r="H48" s="84">
        <f t="shared" si="1"/>
        <v>9.3308799999999934</v>
      </c>
      <c r="I48" s="85">
        <f t="shared" si="2"/>
        <v>8.7516798264010501E-2</v>
      </c>
      <c r="J48" s="86">
        <f t="shared" si="0"/>
        <v>0.32538987226747501</v>
      </c>
    </row>
    <row r="49" spans="1:10" x14ac:dyDescent="0.2">
      <c r="A49" s="69" t="str">
        <f>A18</f>
        <v>Wholesale Market Service Rate</v>
      </c>
      <c r="B49" s="44">
        <f>B24*Rates!D89</f>
        <v>2172.8000000000002</v>
      </c>
      <c r="C49" s="45">
        <f>C18</f>
        <v>5.1999999999999998E-3</v>
      </c>
      <c r="D49" s="47">
        <f>B49*C49</f>
        <v>11.29856</v>
      </c>
      <c r="E49" s="44">
        <f>B24*H24</f>
        <v>2172.8000000000002</v>
      </c>
      <c r="F49" s="45">
        <f>D18</f>
        <v>5.1999999999999998E-3</v>
      </c>
      <c r="G49" s="47">
        <f>E49*F49</f>
        <v>11.29856</v>
      </c>
      <c r="H49" s="47">
        <f t="shared" si="1"/>
        <v>0</v>
      </c>
      <c r="I49" s="48">
        <f t="shared" si="2"/>
        <v>0</v>
      </c>
      <c r="J49" s="72">
        <f t="shared" si="0"/>
        <v>3.17073517400955E-2</v>
      </c>
    </row>
    <row r="50" spans="1:10" x14ac:dyDescent="0.2">
      <c r="A50" s="61" t="str">
        <f>A19</f>
        <v>Rural Rate Protection Charge</v>
      </c>
      <c r="B50" s="39">
        <f>B24*Rates!D89</f>
        <v>2172.8000000000002</v>
      </c>
      <c r="C50" s="40">
        <f>C19</f>
        <v>1.1000000000000001E-3</v>
      </c>
      <c r="D50" s="41">
        <f>B50*C50</f>
        <v>2.3900800000000002</v>
      </c>
      <c r="E50" s="39">
        <f>B24*H24</f>
        <v>2172.8000000000002</v>
      </c>
      <c r="F50" s="40">
        <f>D19</f>
        <v>1.1000000000000001E-3</v>
      </c>
      <c r="G50" s="41">
        <f>E50*F50</f>
        <v>2.3900800000000002</v>
      </c>
      <c r="H50" s="41">
        <f t="shared" si="1"/>
        <v>0</v>
      </c>
      <c r="I50" s="42">
        <f t="shared" si="2"/>
        <v>0</v>
      </c>
      <c r="J50" s="62">
        <f t="shared" si="0"/>
        <v>6.7073244065586641E-3</v>
      </c>
    </row>
    <row r="51" spans="1:10" x14ac:dyDescent="0.2">
      <c r="A51" s="63" t="s">
        <v>45</v>
      </c>
      <c r="B51" s="64">
        <f>B24*Rates!D89</f>
        <v>2172.8000000000002</v>
      </c>
      <c r="C51" s="65">
        <f>Rates!D20</f>
        <v>0</v>
      </c>
      <c r="D51" s="66">
        <f>B51*C51</f>
        <v>0</v>
      </c>
      <c r="E51" s="64">
        <f>B24*Rates!F89</f>
        <v>2172.8000000000002</v>
      </c>
      <c r="F51" s="65">
        <f>Rates!F20</f>
        <v>0</v>
      </c>
      <c r="G51" s="66">
        <f>E51*F51</f>
        <v>0</v>
      </c>
      <c r="H51" s="41">
        <f>G51-D51</f>
        <v>0</v>
      </c>
      <c r="I51" s="42">
        <f>IF(ISERROR(H51/D51),0,H51/D51)</f>
        <v>0</v>
      </c>
      <c r="J51" s="62">
        <f t="shared" si="0"/>
        <v>0</v>
      </c>
    </row>
    <row r="52" spans="1:10" ht="12.75" thickBot="1" x14ac:dyDescent="0.25">
      <c r="A52" s="63" t="str">
        <f>A21</f>
        <v>Standard Supply Service - Administarive Charge (if applicable)</v>
      </c>
      <c r="B52" s="79">
        <f>B32</f>
        <v>1</v>
      </c>
      <c r="C52" s="66">
        <f>C21</f>
        <v>0.25</v>
      </c>
      <c r="D52" s="66">
        <f>B52*C52</f>
        <v>0.25</v>
      </c>
      <c r="E52" s="64">
        <f>B32</f>
        <v>1</v>
      </c>
      <c r="F52" s="66">
        <f>D21</f>
        <v>0.25</v>
      </c>
      <c r="G52" s="66">
        <f>E52*F52</f>
        <v>0.25</v>
      </c>
      <c r="H52" s="66">
        <f t="shared" si="1"/>
        <v>0</v>
      </c>
      <c r="I52" s="67">
        <f t="shared" si="2"/>
        <v>0</v>
      </c>
      <c r="J52" s="68">
        <f t="shared" si="0"/>
        <v>7.0157948756513001E-4</v>
      </c>
    </row>
    <row r="53" spans="1:10" ht="12.75" thickBot="1" x14ac:dyDescent="0.25">
      <c r="A53" s="73" t="s">
        <v>42</v>
      </c>
      <c r="B53" s="74"/>
      <c r="C53" s="75"/>
      <c r="D53" s="76">
        <f>SUM(D49:D52)</f>
        <v>13.938639999999999</v>
      </c>
      <c r="E53" s="75"/>
      <c r="F53" s="75"/>
      <c r="G53" s="76">
        <f>SUM(G49:G52)</f>
        <v>13.938639999999999</v>
      </c>
      <c r="H53" s="76">
        <f t="shared" si="1"/>
        <v>0</v>
      </c>
      <c r="I53" s="77">
        <f t="shared" si="2"/>
        <v>0</v>
      </c>
      <c r="J53" s="78">
        <f t="shared" si="0"/>
        <v>3.9116255634219291E-2</v>
      </c>
    </row>
    <row r="54" spans="1:10" ht="12.75" thickBot="1" x14ac:dyDescent="0.25">
      <c r="A54" s="87" t="s">
        <v>19</v>
      </c>
      <c r="B54" s="88">
        <f>B24</f>
        <v>2000</v>
      </c>
      <c r="C54" s="89">
        <f>Rates!D83</f>
        <v>2E-3</v>
      </c>
      <c r="D54" s="90">
        <f>B54*C54</f>
        <v>4</v>
      </c>
      <c r="E54" s="88">
        <f>B24</f>
        <v>2000</v>
      </c>
      <c r="F54" s="89">
        <f>Rates!F83</f>
        <v>2E-3</v>
      </c>
      <c r="G54" s="90">
        <f>E54*F54</f>
        <v>4</v>
      </c>
      <c r="H54" s="90">
        <f t="shared" si="1"/>
        <v>0</v>
      </c>
      <c r="I54" s="91">
        <f t="shared" si="2"/>
        <v>0</v>
      </c>
      <c r="J54" s="92">
        <f t="shared" si="0"/>
        <v>1.122527180104208E-2</v>
      </c>
    </row>
    <row r="55" spans="1:10" ht="12.75" thickBot="1" x14ac:dyDescent="0.25">
      <c r="A55" s="73" t="s">
        <v>43</v>
      </c>
      <c r="B55" s="74"/>
      <c r="C55" s="75"/>
      <c r="D55" s="76">
        <f>D31+D48+D53+D54</f>
        <v>306.01320000000004</v>
      </c>
      <c r="E55" s="75"/>
      <c r="F55" s="75"/>
      <c r="G55" s="76">
        <f>G31+G48+G53+G54</f>
        <v>315.34408000000002</v>
      </c>
      <c r="H55" s="76">
        <f t="shared" si="1"/>
        <v>9.3308799999999792</v>
      </c>
      <c r="I55" s="77">
        <f t="shared" si="2"/>
        <v>3.0491756564749423E-2</v>
      </c>
      <c r="J55" s="78">
        <f t="shared" si="0"/>
        <v>0.88495575221238942</v>
      </c>
    </row>
    <row r="56" spans="1:10" ht="12.75" thickBot="1" x14ac:dyDescent="0.25">
      <c r="A56" s="93" t="s">
        <v>46</v>
      </c>
      <c r="B56" s="94"/>
      <c r="C56" s="95">
        <f>Rates!D90</f>
        <v>0.13</v>
      </c>
      <c r="D56" s="90">
        <f>C56*D55</f>
        <v>39.78171600000001</v>
      </c>
      <c r="E56" s="96"/>
      <c r="F56" s="95">
        <f>Rates!F90</f>
        <v>0.13</v>
      </c>
      <c r="G56" s="90">
        <f>F56*G55</f>
        <v>40.994730400000002</v>
      </c>
      <c r="H56" s="90">
        <f t="shared" si="1"/>
        <v>1.2130143999999916</v>
      </c>
      <c r="I56" s="91">
        <f t="shared" si="2"/>
        <v>3.0491756564749277E-2</v>
      </c>
      <c r="J56" s="92">
        <f t="shared" si="0"/>
        <v>0.11504424778761062</v>
      </c>
    </row>
    <row r="57" spans="1:10" ht="12.75" thickBot="1" x14ac:dyDescent="0.25">
      <c r="A57" s="81" t="s">
        <v>33</v>
      </c>
      <c r="B57" s="82"/>
      <c r="C57" s="83"/>
      <c r="D57" s="104">
        <f>D55+D56</f>
        <v>345.79491600000006</v>
      </c>
      <c r="E57" s="83"/>
      <c r="F57" s="83"/>
      <c r="G57" s="104">
        <f>G55+G56</f>
        <v>356.3388104</v>
      </c>
      <c r="H57" s="104">
        <f t="shared" si="1"/>
        <v>10.543894399999942</v>
      </c>
      <c r="I57" s="85">
        <f t="shared" si="2"/>
        <v>3.0491756564749322E-2</v>
      </c>
      <c r="J57" s="86">
        <f t="shared" si="0"/>
        <v>1</v>
      </c>
    </row>
    <row r="58" spans="1:10" x14ac:dyDescent="0.2">
      <c r="A58" s="126"/>
      <c r="B58" s="127"/>
      <c r="C58" s="128"/>
      <c r="D58" s="128"/>
      <c r="E58" s="128"/>
      <c r="F58" s="128"/>
      <c r="G58" s="128"/>
      <c r="H58" s="128"/>
      <c r="I58" s="128"/>
      <c r="J58" s="129"/>
    </row>
    <row r="59" spans="1:10" x14ac:dyDescent="0.2">
      <c r="A59" s="130" t="s">
        <v>62</v>
      </c>
      <c r="B59" s="131"/>
      <c r="C59" s="132"/>
      <c r="D59" s="133">
        <f>D57*0.1</f>
        <v>34.579491600000004</v>
      </c>
      <c r="E59" s="132"/>
      <c r="F59" s="132"/>
      <c r="G59" s="133">
        <f>G57*0.1</f>
        <v>35.633881039999999</v>
      </c>
      <c r="H59" s="132"/>
      <c r="I59" s="132"/>
      <c r="J59" s="134"/>
    </row>
    <row r="60" spans="1:10" ht="12.75" thickBot="1" x14ac:dyDescent="0.25">
      <c r="A60" s="135" t="s">
        <v>63</v>
      </c>
      <c r="B60" s="136"/>
      <c r="C60" s="137"/>
      <c r="D60" s="138">
        <f>D57-D59</f>
        <v>311.21542440000007</v>
      </c>
      <c r="E60" s="137"/>
      <c r="F60" s="137"/>
      <c r="G60" s="138">
        <f>G57-G59</f>
        <v>320.70492935999999</v>
      </c>
      <c r="H60" s="140">
        <f>G60-D60</f>
        <v>9.4895049599999197</v>
      </c>
      <c r="I60" s="141">
        <f>H60/D60</f>
        <v>3.0491756564749228E-2</v>
      </c>
      <c r="J60" s="139"/>
    </row>
  </sheetData>
  <mergeCells count="4">
    <mergeCell ref="A27:A28"/>
    <mergeCell ref="B27:B28"/>
    <mergeCell ref="E27:E28"/>
    <mergeCell ref="H27:J27"/>
  </mergeCells>
  <pageMargins left="0.75" right="0.75" top="1" bottom="1" header="0.5" footer="0.5"/>
  <pageSetup scale="63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5"/>
  <sheetViews>
    <sheetView zoomScaleNormal="100" workbookViewId="0">
      <selection activeCell="F5" sqref="F5"/>
    </sheetView>
  </sheetViews>
  <sheetFormatPr defaultRowHeight="12" x14ac:dyDescent="0.2"/>
  <cols>
    <col min="1" max="1" width="81.85546875" style="8" bestFit="1" customWidth="1"/>
    <col min="2" max="2" width="9" style="11" bestFit="1" customWidth="1"/>
    <col min="3" max="3" width="9.85546875" style="8" bestFit="1" customWidth="1"/>
    <col min="4" max="4" width="11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2.75" thickBot="1" x14ac:dyDescent="0.25"/>
    <row r="3" spans="1:4" ht="36.75" thickBot="1" x14ac:dyDescent="0.25">
      <c r="A3" s="14" t="str">
        <f>Rates!A23</f>
        <v>Residential - R2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Rates!A24</f>
        <v>Monthly Service Charge</v>
      </c>
      <c r="B4" s="24" t="str">
        <f>Rates!B24</f>
        <v>$</v>
      </c>
      <c r="C4" s="25">
        <f>Rates!D24</f>
        <v>596.12</v>
      </c>
      <c r="D4" s="26">
        <f>Rates!F24</f>
        <v>596.12</v>
      </c>
    </row>
    <row r="5" spans="1:4" x14ac:dyDescent="0.2">
      <c r="A5" s="27" t="str">
        <f>Rates!A25</f>
        <v>Smart Meter Rate Adder</v>
      </c>
      <c r="B5" s="28" t="str">
        <f>Rates!B25</f>
        <v>$</v>
      </c>
      <c r="C5" s="29">
        <f>Rates!D25</f>
        <v>1</v>
      </c>
      <c r="D5" s="30">
        <f>Rates!F25</f>
        <v>0</v>
      </c>
    </row>
    <row r="6" spans="1:4" x14ac:dyDescent="0.2">
      <c r="A6" s="27" t="str">
        <f>Rates!A26</f>
        <v>Distribution Volumetric Rate</v>
      </c>
      <c r="B6" s="28" t="str">
        <f>Rates!B26</f>
        <v>$/kW</v>
      </c>
      <c r="C6" s="31">
        <f>Rates!D26</f>
        <v>2.7086000000000001</v>
      </c>
      <c r="D6" s="32">
        <f>Rates!F26</f>
        <v>2.8481999999999998</v>
      </c>
    </row>
    <row r="7" spans="1:4" x14ac:dyDescent="0.2">
      <c r="A7" s="27" t="str">
        <f>Rates!A27</f>
        <v>Rate Rider for Foregone Revenue Recovery - effective until December 31, 2012</v>
      </c>
      <c r="B7" s="28" t="str">
        <f>Rates!B27</f>
        <v>$/kW</v>
      </c>
      <c r="C7" s="31">
        <f>Rates!D27</f>
        <v>2.7199999999999998E-2</v>
      </c>
      <c r="D7" s="32">
        <f>Rates!F27</f>
        <v>0</v>
      </c>
    </row>
    <row r="8" spans="1:4" x14ac:dyDescent="0.2">
      <c r="A8" s="27" t="str">
        <f>Rates!A28</f>
        <v>Rate Rider for Deferral/Variance Account Disposition - effective until May 31, 2013</v>
      </c>
      <c r="B8" s="28" t="str">
        <f>Rates!B28</f>
        <v>$/kW</v>
      </c>
      <c r="C8" s="31">
        <f>Rates!D28</f>
        <v>2.2664</v>
      </c>
      <c r="D8" s="32">
        <f>Rates!F28</f>
        <v>2.2664</v>
      </c>
    </row>
    <row r="9" spans="1:4" x14ac:dyDescent="0.2">
      <c r="A9" s="27" t="str">
        <f>Rates!A29</f>
        <v>Rate Rider for Deferral/Variance Account Disposition - effective until May 31, 2013</v>
      </c>
      <c r="B9" s="28" t="str">
        <f>Rates!B29</f>
        <v>$/kW</v>
      </c>
      <c r="C9" s="31">
        <f>Rates!D29</f>
        <v>-2.8218999999999999</v>
      </c>
      <c r="D9" s="32">
        <f>Rates!F29</f>
        <v>-2.8218999999999999</v>
      </c>
    </row>
    <row r="10" spans="1:4" x14ac:dyDescent="0.2">
      <c r="A10" s="27" t="str">
        <f>Rates!A30</f>
        <v>Rate Rider for Deferral/Variance Account Disposition (2012) - effective until December 31, 2013</v>
      </c>
      <c r="B10" s="28" t="str">
        <f>Rates!B30</f>
        <v>$/kW</v>
      </c>
      <c r="C10" s="31">
        <f>Rates!D30</f>
        <v>0</v>
      </c>
      <c r="D10" s="32">
        <f>Rates!F30</f>
        <v>0.1096</v>
      </c>
    </row>
    <row r="11" spans="1:4" x14ac:dyDescent="0.2">
      <c r="A11" s="27" t="str">
        <f>Rates!A31</f>
        <v>Rate Rider for Global Adjustment Sub-Account Disposition (2012) - effective until December 31, 2013</v>
      </c>
      <c r="B11" s="28" t="str">
        <f>Rates!B31</f>
        <v>$/kW</v>
      </c>
      <c r="C11" s="31">
        <f>Rates!D31</f>
        <v>0</v>
      </c>
      <c r="D11" s="32"/>
    </row>
    <row r="12" spans="1:4" x14ac:dyDescent="0.2">
      <c r="A12" s="27" t="str">
        <f>Rates!A32</f>
        <v>Rate Rider for PILs - effective until December 31, 2013</v>
      </c>
      <c r="B12" s="28" t="str">
        <f>Rates!B32</f>
        <v>$/kW</v>
      </c>
      <c r="C12" s="31">
        <f>Rates!D32</f>
        <v>0</v>
      </c>
      <c r="D12" s="32">
        <f>Rates!F32</f>
        <v>0</v>
      </c>
    </row>
    <row r="13" spans="1:4" x14ac:dyDescent="0.2">
      <c r="A13" s="27" t="str">
        <f>Rates!A33</f>
        <v>Rate Rider for Tax Changes - effective until December 31, 2012</v>
      </c>
      <c r="B13" s="28" t="str">
        <f>Rates!B33</f>
        <v>$/kW</v>
      </c>
      <c r="C13" s="31">
        <f>Rates!D33</f>
        <v>-2.7300000000000001E-2</v>
      </c>
      <c r="D13" s="32">
        <f>Rates!F33</f>
        <v>-0.02</v>
      </c>
    </row>
    <row r="14" spans="1:4" x14ac:dyDescent="0.2">
      <c r="A14" s="27" t="str">
        <f>Rates!A34</f>
        <v>Retail Transmission Rate - Network Service Rate</v>
      </c>
      <c r="B14" s="28" t="str">
        <f>Rates!B34</f>
        <v>$/kW</v>
      </c>
      <c r="C14" s="31">
        <f>Rates!D34</f>
        <v>2.6396000000000002</v>
      </c>
      <c r="D14" s="32">
        <f>Rates!F34</f>
        <v>2.5209000000000001</v>
      </c>
    </row>
    <row r="15" spans="1:4" x14ac:dyDescent="0.2">
      <c r="A15" s="27" t="str">
        <f>Rates!A35</f>
        <v>Retail Transmission Rate - Line and Transformation Connection Service Rate</v>
      </c>
      <c r="B15" s="28" t="str">
        <f>Rates!B35</f>
        <v>$/kW</v>
      </c>
      <c r="C15" s="31">
        <f>Rates!D35</f>
        <v>1.8099000000000001</v>
      </c>
      <c r="D15" s="32">
        <f>Rates!F35</f>
        <v>1.7696000000000001</v>
      </c>
    </row>
    <row r="16" spans="1:4" x14ac:dyDescent="0.2">
      <c r="A16" s="19" t="str">
        <f>Rates!A36</f>
        <v>Retail Transmission Rate - Network Service Rate - Interval Meter &gt; 1,000 kW</v>
      </c>
      <c r="B16" s="20" t="str">
        <f>Rates!B36</f>
        <v>$/kW</v>
      </c>
      <c r="C16" s="21">
        <f>Rates!D36</f>
        <v>2.8001</v>
      </c>
      <c r="D16" s="22">
        <f>Rates!F36</f>
        <v>2.6741999999999999</v>
      </c>
    </row>
    <row r="17" spans="1:10" x14ac:dyDescent="0.2">
      <c r="A17" s="19" t="str">
        <f>Rates!A37</f>
        <v>Retail Transmission Rate - Line and Transformation Connection Service Rate - Interval &gt; 1,000 kW</v>
      </c>
      <c r="B17" s="20" t="str">
        <f>Rates!B37</f>
        <v>$/kW</v>
      </c>
      <c r="C17" s="21">
        <f>Rates!D37</f>
        <v>2.0003000000000002</v>
      </c>
      <c r="D17" s="22">
        <f>Rates!F37</f>
        <v>1.9558</v>
      </c>
    </row>
    <row r="18" spans="1:10" x14ac:dyDescent="0.2">
      <c r="A18" s="19" t="str">
        <f>Rates!A38</f>
        <v>Wholesale Market Service Rate</v>
      </c>
      <c r="B18" s="20" t="str">
        <f>Rates!B38</f>
        <v>$/kWh</v>
      </c>
      <c r="C18" s="21">
        <f>Rates!D38</f>
        <v>5.1999999999999998E-3</v>
      </c>
      <c r="D18" s="22">
        <f>Rates!F38</f>
        <v>5.1999999999999998E-3</v>
      </c>
    </row>
    <row r="19" spans="1:10" x14ac:dyDescent="0.2">
      <c r="A19" s="19" t="str">
        <f>Rates!A39</f>
        <v>Rural Rate Protection Charge</v>
      </c>
      <c r="B19" s="20" t="str">
        <f>Rates!B39</f>
        <v>$/kWh</v>
      </c>
      <c r="C19" s="21">
        <f>Rates!D39</f>
        <v>1.1000000000000001E-3</v>
      </c>
      <c r="D19" s="22">
        <f>Rates!F39</f>
        <v>1.1000000000000001E-3</v>
      </c>
    </row>
    <row r="20" spans="1:10" x14ac:dyDescent="0.2">
      <c r="A20" s="27" t="str">
        <f>Rates!A40</f>
        <v>Special Purpose Charge</v>
      </c>
      <c r="B20" s="28" t="str">
        <f>Rates!B40</f>
        <v>$/kWh</v>
      </c>
      <c r="C20" s="31">
        <f>Rates!D40</f>
        <v>0</v>
      </c>
      <c r="D20" s="32">
        <f>Rates!F40</f>
        <v>0</v>
      </c>
    </row>
    <row r="21" spans="1:10" ht="12.75" thickBot="1" x14ac:dyDescent="0.25">
      <c r="A21" s="12" t="str">
        <f>Rates!A41</f>
        <v>Standard Supply Service - Administarive Charge (if applicable)</v>
      </c>
      <c r="B21" s="17" t="str">
        <f>Rates!B41</f>
        <v>$</v>
      </c>
      <c r="C21" s="18">
        <f>Rates!D41</f>
        <v>0.25</v>
      </c>
      <c r="D21" s="13">
        <f>Rates!F41</f>
        <v>0.25</v>
      </c>
    </row>
    <row r="23" spans="1:10" ht="12.75" thickBot="1" x14ac:dyDescent="0.25"/>
    <row r="24" spans="1:10" ht="13.5" thickBot="1" x14ac:dyDescent="0.25">
      <c r="A24" s="33" t="s">
        <v>26</v>
      </c>
      <c r="B24" s="34">
        <v>90000</v>
      </c>
      <c r="C24" s="35" t="s">
        <v>27</v>
      </c>
      <c r="D24" s="36">
        <v>225</v>
      </c>
      <c r="E24" s="35" t="s">
        <v>28</v>
      </c>
      <c r="G24" s="37" t="s">
        <v>23</v>
      </c>
      <c r="H24" s="53">
        <f>Rates!F89</f>
        <v>1.0864</v>
      </c>
    </row>
    <row r="25" spans="1:10" ht="13.5" thickBot="1" x14ac:dyDescent="0.25">
      <c r="A25" s="33" t="s">
        <v>29</v>
      </c>
      <c r="B25" s="34">
        <v>750</v>
      </c>
      <c r="C25" s="35" t="s">
        <v>27</v>
      </c>
      <c r="D25" s="37" t="s">
        <v>30</v>
      </c>
      <c r="E25" s="97">
        <f>IF(D24&gt;0,B24/(D24*24*30.4)," ")</f>
        <v>0.54824561403508776</v>
      </c>
    </row>
    <row r="26" spans="1:10" ht="12.75" thickBot="1" x14ac:dyDescent="0.25"/>
    <row r="27" spans="1:10" ht="12.75" customHeight="1" x14ac:dyDescent="0.2">
      <c r="A27" s="149" t="str">
        <f>A3</f>
        <v>Residential - R2</v>
      </c>
      <c r="B27" s="151" t="s">
        <v>31</v>
      </c>
      <c r="C27" s="49" t="s">
        <v>37</v>
      </c>
      <c r="D27" s="49" t="s">
        <v>38</v>
      </c>
      <c r="E27" s="151" t="s">
        <v>31</v>
      </c>
      <c r="F27" s="49" t="s">
        <v>37</v>
      </c>
      <c r="G27" s="49" t="s">
        <v>38</v>
      </c>
      <c r="H27" s="153" t="s">
        <v>44</v>
      </c>
      <c r="I27" s="153"/>
      <c r="J27" s="154"/>
    </row>
    <row r="28" spans="1:10" ht="12.75" thickBot="1" x14ac:dyDescent="0.25">
      <c r="A28" s="150"/>
      <c r="B28" s="152"/>
      <c r="C28" s="50" t="s">
        <v>15</v>
      </c>
      <c r="D28" s="50" t="s">
        <v>15</v>
      </c>
      <c r="E28" s="152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 x14ac:dyDescent="0.2">
      <c r="A29" s="54" t="s">
        <v>35</v>
      </c>
      <c r="B29" s="55">
        <f>IF(B24*Rates!D89&gt;B25,B25,B24*Rates!D89)</f>
        <v>750</v>
      </c>
      <c r="C29" s="56">
        <f>Rates!D84</f>
        <v>7.4999999999999997E-2</v>
      </c>
      <c r="D29" s="57">
        <f>B29*C29</f>
        <v>56.25</v>
      </c>
      <c r="E29" s="55">
        <f>IF(B24*H24&gt;B25,B25,B24*H24)</f>
        <v>750</v>
      </c>
      <c r="F29" s="56">
        <f>Rates!F84</f>
        <v>7.4999999999999997E-2</v>
      </c>
      <c r="G29" s="57">
        <f>E29*F29</f>
        <v>56.25</v>
      </c>
      <c r="H29" s="58">
        <f t="shared" ref="H29:H55" si="0">G29-D29</f>
        <v>0</v>
      </c>
      <c r="I29" s="59">
        <f>IF(ISERROR(H29/D29),1,H29/D29)</f>
        <v>0</v>
      </c>
      <c r="J29" s="60">
        <f t="shared" ref="J29:J55" si="1">IF(ISERROR(G29/G$55),0,G29/G$55)</f>
        <v>4.301773237649258E-3</v>
      </c>
    </row>
    <row r="30" spans="1:10" ht="12.75" thickBot="1" x14ac:dyDescent="0.25">
      <c r="A30" s="63" t="s">
        <v>36</v>
      </c>
      <c r="B30" s="64">
        <f>IF(B24*Rates!D89&gt;=B25,B24*Rates!D89-B25,0)</f>
        <v>97026</v>
      </c>
      <c r="C30" s="65">
        <f>Rates!D85</f>
        <v>8.7999999999999995E-2</v>
      </c>
      <c r="D30" s="66">
        <f>B30*C30</f>
        <v>8538.2879999999986</v>
      </c>
      <c r="E30" s="64">
        <f>IF(B24*H24&gt;=B25,B24*H24-B25,0)</f>
        <v>97026</v>
      </c>
      <c r="F30" s="65">
        <f>Rates!F85</f>
        <v>8.7999999999999995E-2</v>
      </c>
      <c r="G30" s="66">
        <f>E30*F30</f>
        <v>8538.2879999999986</v>
      </c>
      <c r="H30" s="66">
        <f t="shared" si="0"/>
        <v>0</v>
      </c>
      <c r="I30" s="67">
        <f>IF(ISERROR(H30/D30),0,H30/D30)</f>
        <v>0</v>
      </c>
      <c r="J30" s="68">
        <f t="shared" si="1"/>
        <v>0.65297384557763205</v>
      </c>
    </row>
    <row r="31" spans="1:10" ht="12.75" thickBot="1" x14ac:dyDescent="0.25">
      <c r="A31" s="73" t="s">
        <v>39</v>
      </c>
      <c r="B31" s="74"/>
      <c r="C31" s="75"/>
      <c r="D31" s="76">
        <f>SUM(D29:D30)</f>
        <v>8594.5379999999986</v>
      </c>
      <c r="E31" s="75"/>
      <c r="F31" s="75"/>
      <c r="G31" s="76">
        <f>SUM(G29:G30)</f>
        <v>8594.5379999999986</v>
      </c>
      <c r="H31" s="76">
        <f t="shared" si="0"/>
        <v>0</v>
      </c>
      <c r="I31" s="77">
        <f>IF(ISERROR(H31/D31),0,H31/D31)</f>
        <v>0</v>
      </c>
      <c r="J31" s="78">
        <f t="shared" si="1"/>
        <v>0.65727561881528129</v>
      </c>
    </row>
    <row r="32" spans="1:10" x14ac:dyDescent="0.2">
      <c r="A32" s="69" t="str">
        <f t="shared" ref="A32:A37" si="2">A4</f>
        <v>Monthly Service Charge</v>
      </c>
      <c r="B32" s="70">
        <v>1</v>
      </c>
      <c r="C32" s="46">
        <f t="shared" ref="C32:C37" si="3">C4</f>
        <v>596.12</v>
      </c>
      <c r="D32" s="46">
        <f t="shared" ref="D32:D41" si="4">B32*C32</f>
        <v>596.12</v>
      </c>
      <c r="E32" s="71">
        <f>B32</f>
        <v>1</v>
      </c>
      <c r="F32" s="47">
        <f t="shared" ref="F32:F37" si="5">D4</f>
        <v>596.12</v>
      </c>
      <c r="G32" s="47">
        <f t="shared" ref="G32:G41" si="6">E32*F32</f>
        <v>596.12</v>
      </c>
      <c r="H32" s="47">
        <f t="shared" si="0"/>
        <v>0</v>
      </c>
      <c r="I32" s="48">
        <f>IF(ISERROR(H32/D32),0,H32/D32)</f>
        <v>0</v>
      </c>
      <c r="J32" s="72">
        <f t="shared" si="1"/>
        <v>4.5588854443155129E-2</v>
      </c>
    </row>
    <row r="33" spans="1:10" x14ac:dyDescent="0.2">
      <c r="A33" s="61" t="str">
        <f t="shared" si="2"/>
        <v>Smart Meter Rate Adder</v>
      </c>
      <c r="B33" s="43">
        <f>B32</f>
        <v>1</v>
      </c>
      <c r="C33" s="41">
        <f t="shared" si="3"/>
        <v>1</v>
      </c>
      <c r="D33" s="41">
        <f t="shared" si="4"/>
        <v>1</v>
      </c>
      <c r="E33" s="43">
        <f>B33</f>
        <v>1</v>
      </c>
      <c r="F33" s="41">
        <f t="shared" si="5"/>
        <v>0</v>
      </c>
      <c r="G33" s="41">
        <f t="shared" si="6"/>
        <v>0</v>
      </c>
      <c r="H33" s="41">
        <f t="shared" si="0"/>
        <v>-1</v>
      </c>
      <c r="I33" s="42">
        <f>IF(ISERROR(H33/D33),1,H33/D33)</f>
        <v>-1</v>
      </c>
      <c r="J33" s="62">
        <f t="shared" si="1"/>
        <v>0</v>
      </c>
    </row>
    <row r="34" spans="1:10" x14ac:dyDescent="0.2">
      <c r="A34" s="61" t="str">
        <f t="shared" si="2"/>
        <v>Distribution Volumetric Rate</v>
      </c>
      <c r="B34" s="43">
        <f>D24</f>
        <v>225</v>
      </c>
      <c r="C34" s="40">
        <f t="shared" si="3"/>
        <v>2.7086000000000001</v>
      </c>
      <c r="D34" s="41">
        <f t="shared" si="4"/>
        <v>609.43500000000006</v>
      </c>
      <c r="E34" s="43">
        <f>D24</f>
        <v>225</v>
      </c>
      <c r="F34" s="40">
        <f t="shared" si="5"/>
        <v>2.8481999999999998</v>
      </c>
      <c r="G34" s="41">
        <f t="shared" si="6"/>
        <v>640.84499999999991</v>
      </c>
      <c r="H34" s="41">
        <f t="shared" si="0"/>
        <v>31.409999999999854</v>
      </c>
      <c r="I34" s="42">
        <f t="shared" ref="I34:I55" si="7">IF(ISERROR(H34/D34),0,H34/D34)</f>
        <v>5.1539540722144041E-2</v>
      </c>
      <c r="J34" s="62">
        <f t="shared" si="1"/>
        <v>4.9009242141890466E-2</v>
      </c>
    </row>
    <row r="35" spans="1:10" x14ac:dyDescent="0.2">
      <c r="A35" s="61" t="str">
        <f t="shared" si="2"/>
        <v>Rate Rider for Foregone Revenue Recovery - effective until December 31, 2012</v>
      </c>
      <c r="B35" s="43">
        <f>D24</f>
        <v>225</v>
      </c>
      <c r="C35" s="40">
        <f t="shared" si="3"/>
        <v>2.7199999999999998E-2</v>
      </c>
      <c r="D35" s="41">
        <f t="shared" si="4"/>
        <v>6.1199999999999992</v>
      </c>
      <c r="E35" s="43">
        <f>D24</f>
        <v>225</v>
      </c>
      <c r="F35" s="40">
        <f t="shared" si="5"/>
        <v>0</v>
      </c>
      <c r="G35" s="41">
        <f>E35*F35</f>
        <v>0</v>
      </c>
      <c r="H35" s="41">
        <f>G35-D35</f>
        <v>-6.1199999999999992</v>
      </c>
      <c r="I35" s="42">
        <f>IF(ISERROR(H35/D35),0,H35/D35)</f>
        <v>-1</v>
      </c>
      <c r="J35" s="62">
        <f t="shared" si="1"/>
        <v>0</v>
      </c>
    </row>
    <row r="36" spans="1:10" x14ac:dyDescent="0.2">
      <c r="A36" s="61" t="str">
        <f t="shared" si="2"/>
        <v>Rate Rider for Deferral/Variance Account Disposition - effective until May 31, 2013</v>
      </c>
      <c r="B36" s="43">
        <f>D24</f>
        <v>225</v>
      </c>
      <c r="C36" s="40">
        <f t="shared" si="3"/>
        <v>2.2664</v>
      </c>
      <c r="D36" s="41">
        <f t="shared" si="4"/>
        <v>509.94</v>
      </c>
      <c r="E36" s="43">
        <f>D24</f>
        <v>225</v>
      </c>
      <c r="F36" s="40">
        <f t="shared" si="5"/>
        <v>2.2664</v>
      </c>
      <c r="G36" s="41">
        <f t="shared" si="6"/>
        <v>509.94</v>
      </c>
      <c r="H36" s="41">
        <f t="shared" si="0"/>
        <v>0</v>
      </c>
      <c r="I36" s="42">
        <f t="shared" si="7"/>
        <v>0</v>
      </c>
      <c r="J36" s="62">
        <f t="shared" si="1"/>
        <v>3.8998155463233118E-2</v>
      </c>
    </row>
    <row r="37" spans="1:10" x14ac:dyDescent="0.2">
      <c r="A37" s="61" t="str">
        <f t="shared" si="2"/>
        <v>Rate Rider for Deferral/Variance Account Disposition - effective until May 31, 2013</v>
      </c>
      <c r="B37" s="43">
        <f>D24</f>
        <v>225</v>
      </c>
      <c r="C37" s="40">
        <f t="shared" si="3"/>
        <v>-2.8218999999999999</v>
      </c>
      <c r="D37" s="41">
        <f t="shared" si="4"/>
        <v>-634.92750000000001</v>
      </c>
      <c r="E37" s="43">
        <f>D24</f>
        <v>225</v>
      </c>
      <c r="F37" s="40">
        <f t="shared" si="5"/>
        <v>-2.8218999999999999</v>
      </c>
      <c r="G37" s="41">
        <f>E37*F37</f>
        <v>-634.92750000000001</v>
      </c>
      <c r="H37" s="41">
        <f>G37-D37</f>
        <v>0</v>
      </c>
      <c r="I37" s="42">
        <f>IF(ISERROR(H37/D37),0,H37/D37)</f>
        <v>0</v>
      </c>
      <c r="J37" s="62">
        <f t="shared" si="1"/>
        <v>-4.855669559728977E-2</v>
      </c>
    </row>
    <row r="38" spans="1:10" x14ac:dyDescent="0.2">
      <c r="A38" s="61" t="str">
        <f>A10</f>
        <v>Rate Rider for Deferral/Variance Account Disposition (2012) - effective until December 31, 2013</v>
      </c>
      <c r="B38" s="43">
        <f>D24</f>
        <v>225</v>
      </c>
      <c r="C38" s="40">
        <f>C10</f>
        <v>0</v>
      </c>
      <c r="D38" s="41">
        <f t="shared" si="4"/>
        <v>0</v>
      </c>
      <c r="E38" s="43">
        <f>D24</f>
        <v>225</v>
      </c>
      <c r="F38" s="40">
        <f>D10</f>
        <v>0.1096</v>
      </c>
      <c r="G38" s="41">
        <f>E38*F38</f>
        <v>24.66</v>
      </c>
      <c r="H38" s="41">
        <f>G38-D38</f>
        <v>24.66</v>
      </c>
      <c r="I38" s="42">
        <f>IF(ISERROR(H38/D38),0,H38/D38)</f>
        <v>0</v>
      </c>
      <c r="J38" s="62">
        <f t="shared" si="1"/>
        <v>1.8858973873854348E-3</v>
      </c>
    </row>
    <row r="39" spans="1:10" x14ac:dyDescent="0.2">
      <c r="A39" s="61" t="str">
        <f>A11</f>
        <v>Rate Rider for Global Adjustment Sub-Account Disposition (2012) - effective until December 31, 2013</v>
      </c>
      <c r="B39" s="43">
        <f>D24</f>
        <v>225</v>
      </c>
      <c r="C39" s="40">
        <f>C11</f>
        <v>0</v>
      </c>
      <c r="D39" s="41">
        <f t="shared" si="4"/>
        <v>0</v>
      </c>
      <c r="E39" s="43">
        <f>D24</f>
        <v>225</v>
      </c>
      <c r="F39" s="40">
        <f>D11</f>
        <v>0</v>
      </c>
      <c r="G39" s="41">
        <f>E39*F39</f>
        <v>0</v>
      </c>
      <c r="H39" s="41">
        <f>G39-D39</f>
        <v>0</v>
      </c>
      <c r="I39" s="42">
        <f>IF(ISERROR(H39/D39),0,H39/D39)</f>
        <v>0</v>
      </c>
      <c r="J39" s="62">
        <f t="shared" si="1"/>
        <v>0</v>
      </c>
    </row>
    <row r="40" spans="1:10" x14ac:dyDescent="0.2">
      <c r="A40" s="61" t="str">
        <f>A12</f>
        <v>Rate Rider for PILs - effective until December 31, 2013</v>
      </c>
      <c r="B40" s="43">
        <f>D24</f>
        <v>225</v>
      </c>
      <c r="C40" s="40">
        <f>C12</f>
        <v>0</v>
      </c>
      <c r="D40" s="41">
        <f t="shared" si="4"/>
        <v>0</v>
      </c>
      <c r="E40" s="43">
        <f>D24</f>
        <v>225</v>
      </c>
      <c r="F40" s="40">
        <f>D12</f>
        <v>0</v>
      </c>
      <c r="G40" s="41">
        <f>E40*F40</f>
        <v>0</v>
      </c>
      <c r="H40" s="41">
        <f>G40-D40</f>
        <v>0</v>
      </c>
      <c r="I40" s="42">
        <f>IF(ISERROR(H40/D40),0,H40/D40)</f>
        <v>0</v>
      </c>
      <c r="J40" s="62">
        <f t="shared" si="1"/>
        <v>0</v>
      </c>
    </row>
    <row r="41" spans="1:10" ht="12.75" thickBot="1" x14ac:dyDescent="0.25">
      <c r="A41" s="61" t="str">
        <f t="shared" ref="A41" si="8">A13</f>
        <v>Rate Rider for Tax Changes - effective until December 31, 2012</v>
      </c>
      <c r="B41" s="43">
        <f>D24</f>
        <v>225</v>
      </c>
      <c r="C41" s="40">
        <f t="shared" ref="C41" si="9">C13</f>
        <v>-2.7300000000000001E-2</v>
      </c>
      <c r="D41" s="41">
        <f t="shared" si="4"/>
        <v>-6.1425000000000001</v>
      </c>
      <c r="E41" s="43">
        <f>D24</f>
        <v>225</v>
      </c>
      <c r="F41" s="40">
        <f t="shared" ref="F41" si="10">D13</f>
        <v>-0.02</v>
      </c>
      <c r="G41" s="41">
        <f t="shared" si="6"/>
        <v>-4.5</v>
      </c>
      <c r="H41" s="41">
        <f t="shared" si="0"/>
        <v>1.6425000000000001</v>
      </c>
      <c r="I41" s="42">
        <f t="shared" si="7"/>
        <v>-0.26739926739926739</v>
      </c>
      <c r="J41" s="62">
        <f t="shared" si="1"/>
        <v>-3.4414185901194069E-4</v>
      </c>
    </row>
    <row r="42" spans="1:10" ht="12.75" thickBot="1" x14ac:dyDescent="0.25">
      <c r="A42" s="73" t="s">
        <v>40</v>
      </c>
      <c r="B42" s="74"/>
      <c r="C42" s="75"/>
      <c r="D42" s="80">
        <f>SUM(D32:D41)</f>
        <v>1081.5450000000001</v>
      </c>
      <c r="E42" s="75"/>
      <c r="F42" s="75"/>
      <c r="G42" s="76">
        <f>SUM(G32:G41)</f>
        <v>1132.1375</v>
      </c>
      <c r="H42" s="76">
        <f t="shared" si="0"/>
        <v>50.592499999999973</v>
      </c>
      <c r="I42" s="77">
        <f t="shared" si="7"/>
        <v>4.6777988895515182E-2</v>
      </c>
      <c r="J42" s="78">
        <f t="shared" si="1"/>
        <v>8.6581311979362446E-2</v>
      </c>
    </row>
    <row r="43" spans="1:10" x14ac:dyDescent="0.2">
      <c r="A43" s="69" t="str">
        <f>A14</f>
        <v>Retail Transmission Rate - Network Service Rate</v>
      </c>
      <c r="B43" s="44">
        <f>D24*Rates!D89</f>
        <v>244.44</v>
      </c>
      <c r="C43" s="45">
        <f>C14</f>
        <v>2.6396000000000002</v>
      </c>
      <c r="D43" s="47">
        <f>B43*C43</f>
        <v>645.22382400000004</v>
      </c>
      <c r="E43" s="44">
        <f>D24*H24</f>
        <v>244.44</v>
      </c>
      <c r="F43" s="45">
        <f>D14</f>
        <v>2.5209000000000001</v>
      </c>
      <c r="G43" s="47">
        <f>E43*F43</f>
        <v>616.20879600000001</v>
      </c>
      <c r="H43" s="47">
        <f t="shared" si="0"/>
        <v>-29.015028000000029</v>
      </c>
      <c r="I43" s="48">
        <f t="shared" si="7"/>
        <v>-4.4968934687073844E-2</v>
      </c>
      <c r="J43" s="72">
        <f t="shared" si="1"/>
        <v>4.7125164576655491E-2</v>
      </c>
    </row>
    <row r="44" spans="1:10" ht="12.75" thickBot="1" x14ac:dyDescent="0.25">
      <c r="A44" s="63" t="str">
        <f>A15</f>
        <v>Retail Transmission Rate - Line and Transformation Connection Service Rate</v>
      </c>
      <c r="B44" s="64">
        <f>D24*Rates!D89</f>
        <v>244.44</v>
      </c>
      <c r="C44" s="65">
        <f>C15</f>
        <v>1.8099000000000001</v>
      </c>
      <c r="D44" s="66">
        <f>B44*C44</f>
        <v>442.41195600000003</v>
      </c>
      <c r="E44" s="64">
        <f>D24*H24</f>
        <v>244.44</v>
      </c>
      <c r="F44" s="65">
        <f>D15</f>
        <v>1.7696000000000001</v>
      </c>
      <c r="G44" s="66">
        <f>E44*F44</f>
        <v>432.56102400000003</v>
      </c>
      <c r="H44" s="66">
        <f t="shared" si="0"/>
        <v>-9.8509320000000002</v>
      </c>
      <c r="I44" s="67">
        <f t="shared" si="7"/>
        <v>-2.226642355931267E-2</v>
      </c>
      <c r="J44" s="68">
        <f t="shared" si="1"/>
        <v>3.3080523318993041E-2</v>
      </c>
    </row>
    <row r="45" spans="1:10" ht="12.75" thickBot="1" x14ac:dyDescent="0.25">
      <c r="A45" s="73" t="s">
        <v>32</v>
      </c>
      <c r="B45" s="74"/>
      <c r="C45" s="75"/>
      <c r="D45" s="76">
        <f>SUM(D43:D44)</f>
        <v>1087.6357800000001</v>
      </c>
      <c r="E45" s="75"/>
      <c r="F45" s="75"/>
      <c r="G45" s="76">
        <f>SUM(G43:G44)</f>
        <v>1048.76982</v>
      </c>
      <c r="H45" s="76">
        <f t="shared" si="0"/>
        <v>-38.865960000000086</v>
      </c>
      <c r="I45" s="77">
        <f t="shared" si="7"/>
        <v>-3.5734352174401698E-2</v>
      </c>
      <c r="J45" s="78">
        <f t="shared" si="1"/>
        <v>8.0205687895648525E-2</v>
      </c>
    </row>
    <row r="46" spans="1:10" ht="12.75" thickBot="1" x14ac:dyDescent="0.25">
      <c r="A46" s="81" t="s">
        <v>41</v>
      </c>
      <c r="B46" s="82"/>
      <c r="C46" s="83"/>
      <c r="D46" s="84">
        <f>D42+D45</f>
        <v>2169.1807800000001</v>
      </c>
      <c r="E46" s="83"/>
      <c r="F46" s="83"/>
      <c r="G46" s="84">
        <f>G42+G45</f>
        <v>2180.9073200000003</v>
      </c>
      <c r="H46" s="84">
        <f t="shared" si="0"/>
        <v>11.726540000000114</v>
      </c>
      <c r="I46" s="85">
        <f t="shared" si="7"/>
        <v>5.405976352049419E-3</v>
      </c>
      <c r="J46" s="86">
        <f t="shared" si="1"/>
        <v>0.166786999875011</v>
      </c>
    </row>
    <row r="47" spans="1:10" x14ac:dyDescent="0.2">
      <c r="A47" s="69" t="str">
        <f>A18</f>
        <v>Wholesale Market Service Rate</v>
      </c>
      <c r="B47" s="44">
        <f>B24*Rates!D89</f>
        <v>97776</v>
      </c>
      <c r="C47" s="45">
        <f>C18</f>
        <v>5.1999999999999998E-3</v>
      </c>
      <c r="D47" s="47">
        <f>B47*C47</f>
        <v>508.43519999999995</v>
      </c>
      <c r="E47" s="44">
        <f>B24*H24</f>
        <v>97776</v>
      </c>
      <c r="F47" s="45">
        <f>D18</f>
        <v>5.1999999999999998E-3</v>
      </c>
      <c r="G47" s="47">
        <f>E47*F47</f>
        <v>508.43519999999995</v>
      </c>
      <c r="H47" s="47">
        <f t="shared" si="0"/>
        <v>0</v>
      </c>
      <c r="I47" s="48">
        <f t="shared" si="7"/>
        <v>0</v>
      </c>
      <c r="J47" s="72">
        <f t="shared" si="1"/>
        <v>3.888307442557952E-2</v>
      </c>
    </row>
    <row r="48" spans="1:10" x14ac:dyDescent="0.2">
      <c r="A48" s="61" t="str">
        <f>A19</f>
        <v>Rural Rate Protection Charge</v>
      </c>
      <c r="B48" s="39">
        <f>B24*Rates!D89</f>
        <v>97776</v>
      </c>
      <c r="C48" s="40">
        <f>C19</f>
        <v>1.1000000000000001E-3</v>
      </c>
      <c r="D48" s="41">
        <f>B48*C48</f>
        <v>107.5536</v>
      </c>
      <c r="E48" s="39">
        <f>B24*H24</f>
        <v>97776</v>
      </c>
      <c r="F48" s="40">
        <f>D19</f>
        <v>1.1000000000000001E-3</v>
      </c>
      <c r="G48" s="41">
        <f>E48*F48</f>
        <v>107.5536</v>
      </c>
      <c r="H48" s="41">
        <f t="shared" si="0"/>
        <v>0</v>
      </c>
      <c r="I48" s="42">
        <f t="shared" si="7"/>
        <v>0</v>
      </c>
      <c r="J48" s="62">
        <f t="shared" si="1"/>
        <v>8.225265743872591E-3</v>
      </c>
    </row>
    <row r="49" spans="1:10" x14ac:dyDescent="0.2">
      <c r="A49" s="63" t="s">
        <v>45</v>
      </c>
      <c r="B49" s="64">
        <f>B24*Rates!D89</f>
        <v>97776</v>
      </c>
      <c r="C49" s="65">
        <f>Rates!D40</f>
        <v>0</v>
      </c>
      <c r="D49" s="66">
        <f>B49*C49</f>
        <v>0</v>
      </c>
      <c r="E49" s="64">
        <f>B24*Rates!F89</f>
        <v>97776</v>
      </c>
      <c r="F49" s="65">
        <f>Rates!F40</f>
        <v>0</v>
      </c>
      <c r="G49" s="66">
        <f>E49*F49</f>
        <v>0</v>
      </c>
      <c r="H49" s="41">
        <f>G49-D49</f>
        <v>0</v>
      </c>
      <c r="I49" s="42">
        <f>IF(ISERROR(H49/D49),0,H49/D49)</f>
        <v>0</v>
      </c>
      <c r="J49" s="62">
        <f t="shared" si="1"/>
        <v>0</v>
      </c>
    </row>
    <row r="50" spans="1:10" ht="12.75" thickBot="1" x14ac:dyDescent="0.25">
      <c r="A50" s="63" t="str">
        <f>A21</f>
        <v>Standard Supply Service - Administarive Charge (if applicable)</v>
      </c>
      <c r="B50" s="79">
        <f>B32</f>
        <v>1</v>
      </c>
      <c r="C50" s="66">
        <f>C21</f>
        <v>0.25</v>
      </c>
      <c r="D50" s="66">
        <f>B50*C50</f>
        <v>0.25</v>
      </c>
      <c r="E50" s="64">
        <f>B32</f>
        <v>1</v>
      </c>
      <c r="F50" s="66">
        <f>D21</f>
        <v>0.25</v>
      </c>
      <c r="G50" s="66">
        <f>E50*F50</f>
        <v>0.25</v>
      </c>
      <c r="H50" s="66">
        <f t="shared" si="0"/>
        <v>0</v>
      </c>
      <c r="I50" s="67">
        <f t="shared" si="7"/>
        <v>0</v>
      </c>
      <c r="J50" s="68">
        <f t="shared" si="1"/>
        <v>1.9118992167330037E-5</v>
      </c>
    </row>
    <row r="51" spans="1:10" ht="12.75" thickBot="1" x14ac:dyDescent="0.25">
      <c r="A51" s="73" t="s">
        <v>42</v>
      </c>
      <c r="B51" s="74"/>
      <c r="C51" s="75"/>
      <c r="D51" s="76">
        <f>SUM(D47:D50)</f>
        <v>616.23879999999997</v>
      </c>
      <c r="E51" s="75"/>
      <c r="F51" s="75"/>
      <c r="G51" s="76">
        <f>SUM(G47:G50)</f>
        <v>616.23879999999997</v>
      </c>
      <c r="H51" s="76">
        <f t="shared" si="0"/>
        <v>0</v>
      </c>
      <c r="I51" s="77">
        <f t="shared" si="7"/>
        <v>0</v>
      </c>
      <c r="J51" s="78">
        <f t="shared" si="1"/>
        <v>4.7127459161619444E-2</v>
      </c>
    </row>
    <row r="52" spans="1:10" ht="12.75" thickBot="1" x14ac:dyDescent="0.25">
      <c r="A52" s="87" t="s">
        <v>19</v>
      </c>
      <c r="B52" s="88">
        <f>B24</f>
        <v>90000</v>
      </c>
      <c r="C52" s="89">
        <f>Rates!D83</f>
        <v>2E-3</v>
      </c>
      <c r="D52" s="90">
        <f>B52*C52</f>
        <v>180</v>
      </c>
      <c r="E52" s="88">
        <f>B24</f>
        <v>90000</v>
      </c>
      <c r="F52" s="89">
        <f>Rates!F83</f>
        <v>2E-3</v>
      </c>
      <c r="G52" s="90">
        <f>E52*F52</f>
        <v>180</v>
      </c>
      <c r="H52" s="90">
        <f t="shared" si="0"/>
        <v>0</v>
      </c>
      <c r="I52" s="91">
        <f t="shared" si="7"/>
        <v>0</v>
      </c>
      <c r="J52" s="92">
        <f t="shared" si="1"/>
        <v>1.3765674360477627E-2</v>
      </c>
    </row>
    <row r="53" spans="1:10" ht="12.75" thickBot="1" x14ac:dyDescent="0.25">
      <c r="A53" s="73" t="s">
        <v>43</v>
      </c>
      <c r="B53" s="74"/>
      <c r="C53" s="75"/>
      <c r="D53" s="76">
        <f>D31+D46+D51+D52</f>
        <v>11559.957579999998</v>
      </c>
      <c r="E53" s="75"/>
      <c r="F53" s="75"/>
      <c r="G53" s="76">
        <f>G31+G46+G51+G52</f>
        <v>11571.684119999998</v>
      </c>
      <c r="H53" s="76">
        <f t="shared" si="0"/>
        <v>11.726539999999659</v>
      </c>
      <c r="I53" s="77">
        <f t="shared" si="7"/>
        <v>1.0144102968239145E-3</v>
      </c>
      <c r="J53" s="78">
        <f t="shared" si="1"/>
        <v>0.88495575221238931</v>
      </c>
    </row>
    <row r="54" spans="1:10" ht="12.75" thickBot="1" x14ac:dyDescent="0.25">
      <c r="A54" s="93" t="s">
        <v>46</v>
      </c>
      <c r="B54" s="94"/>
      <c r="C54" s="95">
        <f>Rates!D90</f>
        <v>0.13</v>
      </c>
      <c r="D54" s="90">
        <f>C54*D53</f>
        <v>1502.7944853999998</v>
      </c>
      <c r="E54" s="96"/>
      <c r="F54" s="95">
        <f>Rates!F90</f>
        <v>0.13</v>
      </c>
      <c r="G54" s="90">
        <f>F54*G53</f>
        <v>1504.3189355999998</v>
      </c>
      <c r="H54" s="90">
        <f t="shared" si="0"/>
        <v>1.5244502000000466</v>
      </c>
      <c r="I54" s="91">
        <f t="shared" si="7"/>
        <v>1.014410296823975E-3</v>
      </c>
      <c r="J54" s="92">
        <f t="shared" si="1"/>
        <v>0.11504424778761062</v>
      </c>
    </row>
    <row r="55" spans="1:10" ht="12.75" thickBot="1" x14ac:dyDescent="0.25">
      <c r="A55" s="81" t="s">
        <v>33</v>
      </c>
      <c r="B55" s="82"/>
      <c r="C55" s="83"/>
      <c r="D55" s="104">
        <f>D53+D54</f>
        <v>13062.752065399998</v>
      </c>
      <c r="E55" s="83"/>
      <c r="F55" s="83"/>
      <c r="G55" s="104">
        <f>G53+G54</f>
        <v>13076.003055599998</v>
      </c>
      <c r="H55" s="104">
        <f t="shared" si="0"/>
        <v>13.25099020000016</v>
      </c>
      <c r="I55" s="85">
        <f t="shared" si="7"/>
        <v>1.0144102968239564E-3</v>
      </c>
      <c r="J55" s="86">
        <f t="shared" si="1"/>
        <v>1</v>
      </c>
    </row>
  </sheetData>
  <mergeCells count="4">
    <mergeCell ref="A27:A28"/>
    <mergeCell ref="B27:B28"/>
    <mergeCell ref="E27:E28"/>
    <mergeCell ref="H27:J27"/>
  </mergeCells>
  <phoneticPr fontId="2" type="noConversion"/>
  <pageMargins left="0.75" right="0.75" top="1" bottom="1" header="0.5" footer="0.5"/>
  <pageSetup scale="68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5"/>
  <sheetViews>
    <sheetView zoomScaleNormal="100" workbookViewId="0">
      <selection activeCell="G6" sqref="G6"/>
    </sheetView>
  </sheetViews>
  <sheetFormatPr defaultRowHeight="12" x14ac:dyDescent="0.2"/>
  <cols>
    <col min="1" max="1" width="81.85546875" style="8" bestFit="1" customWidth="1"/>
    <col min="2" max="2" width="9" style="11" bestFit="1" customWidth="1"/>
    <col min="3" max="3" width="9.85546875" style="8" bestFit="1" customWidth="1"/>
    <col min="4" max="4" width="11" style="8" bestFit="1" customWidth="1"/>
    <col min="5" max="6" width="9.140625" style="8"/>
    <col min="7" max="7" width="11" style="8" bestFit="1" customWidth="1"/>
    <col min="8" max="8" width="10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2.75" thickBot="1" x14ac:dyDescent="0.25"/>
    <row r="3" spans="1:4" ht="36.75" thickBot="1" x14ac:dyDescent="0.25">
      <c r="A3" s="14" t="str">
        <f>Rates!A23</f>
        <v>Residential - R2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Rates!A24</f>
        <v>Monthly Service Charge</v>
      </c>
      <c r="B4" s="24" t="str">
        <f>Rates!B24</f>
        <v>$</v>
      </c>
      <c r="C4" s="25">
        <f>Rates!D24</f>
        <v>596.12</v>
      </c>
      <c r="D4" s="26">
        <f>Rates!F24</f>
        <v>596.12</v>
      </c>
    </row>
    <row r="5" spans="1:4" x14ac:dyDescent="0.2">
      <c r="A5" s="27" t="str">
        <f>Rates!A25</f>
        <v>Smart Meter Rate Adder</v>
      </c>
      <c r="B5" s="28" t="str">
        <f>Rates!B25</f>
        <v>$</v>
      </c>
      <c r="C5" s="29">
        <f>Rates!D25</f>
        <v>1</v>
      </c>
      <c r="D5" s="30">
        <f>Rates!F25</f>
        <v>0</v>
      </c>
    </row>
    <row r="6" spans="1:4" x14ac:dyDescent="0.2">
      <c r="A6" s="27" t="str">
        <f>Rates!A26</f>
        <v>Distribution Volumetric Rate</v>
      </c>
      <c r="B6" s="28" t="str">
        <f>Rates!B26</f>
        <v>$/kW</v>
      </c>
      <c r="C6" s="31">
        <f>Rates!D26</f>
        <v>2.7086000000000001</v>
      </c>
      <c r="D6" s="32">
        <f>Rates!F26</f>
        <v>2.8481999999999998</v>
      </c>
    </row>
    <row r="7" spans="1:4" x14ac:dyDescent="0.2">
      <c r="A7" s="27" t="str">
        <f>Rates!A27</f>
        <v>Rate Rider for Foregone Revenue Recovery - effective until December 31, 2012</v>
      </c>
      <c r="B7" s="28" t="str">
        <f>Rates!B27</f>
        <v>$/kW</v>
      </c>
      <c r="C7" s="31">
        <f>Rates!D27</f>
        <v>2.7199999999999998E-2</v>
      </c>
      <c r="D7" s="32">
        <f>Rates!F27</f>
        <v>0</v>
      </c>
    </row>
    <row r="8" spans="1:4" x14ac:dyDescent="0.2">
      <c r="A8" s="27" t="str">
        <f>Rates!A28</f>
        <v>Rate Rider for Deferral/Variance Account Disposition - effective until May 31, 2013</v>
      </c>
      <c r="B8" s="28" t="str">
        <f>Rates!B28</f>
        <v>$/kW</v>
      </c>
      <c r="C8" s="31">
        <f>Rates!D28</f>
        <v>2.2664</v>
      </c>
      <c r="D8" s="32">
        <f>Rates!F28</f>
        <v>2.2664</v>
      </c>
    </row>
    <row r="9" spans="1:4" x14ac:dyDescent="0.2">
      <c r="A9" s="27" t="str">
        <f>Rates!A29</f>
        <v>Rate Rider for Deferral/Variance Account Disposition - effective until May 31, 2013</v>
      </c>
      <c r="B9" s="28" t="str">
        <f>Rates!B29</f>
        <v>$/kW</v>
      </c>
      <c r="C9" s="31">
        <f>Rates!D29</f>
        <v>-2.8218999999999999</v>
      </c>
      <c r="D9" s="32">
        <f>Rates!F29</f>
        <v>-2.8218999999999999</v>
      </c>
    </row>
    <row r="10" spans="1:4" x14ac:dyDescent="0.2">
      <c r="A10" s="27" t="str">
        <f>Rates!A30</f>
        <v>Rate Rider for Deferral/Variance Account Disposition (2012) - effective until December 31, 2013</v>
      </c>
      <c r="B10" s="28" t="str">
        <f>Rates!B30</f>
        <v>$/kW</v>
      </c>
      <c r="C10" s="31">
        <f>Rates!D30</f>
        <v>0</v>
      </c>
      <c r="D10" s="32">
        <f>Rates!F30</f>
        <v>0.1096</v>
      </c>
    </row>
    <row r="11" spans="1:4" x14ac:dyDescent="0.2">
      <c r="A11" s="27" t="str">
        <f>Rates!A31</f>
        <v>Rate Rider for Global Adjustment Sub-Account Disposition (2012) - effective until December 31, 2013</v>
      </c>
      <c r="B11" s="28" t="str">
        <f>Rates!B31</f>
        <v>$/kW</v>
      </c>
      <c r="C11" s="31">
        <f>Rates!D31</f>
        <v>0</v>
      </c>
      <c r="D11" s="32">
        <f>Rates!F31</f>
        <v>0.46450000000000002</v>
      </c>
    </row>
    <row r="12" spans="1:4" x14ac:dyDescent="0.2">
      <c r="A12" s="27" t="str">
        <f>Rates!A32</f>
        <v>Rate Rider for PILs - effective until December 31, 2013</v>
      </c>
      <c r="B12" s="28" t="str">
        <f>Rates!B32</f>
        <v>$/kW</v>
      </c>
      <c r="C12" s="31">
        <f>Rates!D32</f>
        <v>0</v>
      </c>
      <c r="D12" s="32">
        <f>Rates!F32</f>
        <v>0</v>
      </c>
    </row>
    <row r="13" spans="1:4" x14ac:dyDescent="0.2">
      <c r="A13" s="27" t="str">
        <f>Rates!A33</f>
        <v>Rate Rider for Tax Changes - effective until December 31, 2012</v>
      </c>
      <c r="B13" s="28" t="str">
        <f>Rates!B33</f>
        <v>$/kW</v>
      </c>
      <c r="C13" s="31">
        <f>Rates!D33</f>
        <v>-2.7300000000000001E-2</v>
      </c>
      <c r="D13" s="32">
        <f>Rates!F33</f>
        <v>-0.02</v>
      </c>
    </row>
    <row r="14" spans="1:4" x14ac:dyDescent="0.2">
      <c r="A14" s="27" t="str">
        <f>Rates!A34</f>
        <v>Retail Transmission Rate - Network Service Rate</v>
      </c>
      <c r="B14" s="28" t="str">
        <f>Rates!B34</f>
        <v>$/kW</v>
      </c>
      <c r="C14" s="31">
        <f>Rates!D34</f>
        <v>2.6396000000000002</v>
      </c>
      <c r="D14" s="32">
        <f>Rates!F34</f>
        <v>2.5209000000000001</v>
      </c>
    </row>
    <row r="15" spans="1:4" x14ac:dyDescent="0.2">
      <c r="A15" s="27" t="str">
        <f>Rates!A35</f>
        <v>Retail Transmission Rate - Line and Transformation Connection Service Rate</v>
      </c>
      <c r="B15" s="28" t="str">
        <f>Rates!B35</f>
        <v>$/kW</v>
      </c>
      <c r="C15" s="31">
        <f>Rates!D35</f>
        <v>1.8099000000000001</v>
      </c>
      <c r="D15" s="32">
        <f>Rates!F35</f>
        <v>1.7696000000000001</v>
      </c>
    </row>
    <row r="16" spans="1:4" x14ac:dyDescent="0.2">
      <c r="A16" s="19" t="str">
        <f>Rates!A36</f>
        <v>Retail Transmission Rate - Network Service Rate - Interval Meter &gt; 1,000 kW</v>
      </c>
      <c r="B16" s="20" t="str">
        <f>Rates!B36</f>
        <v>$/kW</v>
      </c>
      <c r="C16" s="21">
        <f>Rates!D36</f>
        <v>2.8001</v>
      </c>
      <c r="D16" s="22">
        <f>Rates!F36</f>
        <v>2.6741999999999999</v>
      </c>
    </row>
    <row r="17" spans="1:10" x14ac:dyDescent="0.2">
      <c r="A17" s="19" t="str">
        <f>Rates!A37</f>
        <v>Retail Transmission Rate - Line and Transformation Connection Service Rate - Interval &gt; 1,000 kW</v>
      </c>
      <c r="B17" s="20" t="str">
        <f>Rates!B37</f>
        <v>$/kW</v>
      </c>
      <c r="C17" s="21">
        <f>Rates!D37</f>
        <v>2.0003000000000002</v>
      </c>
      <c r="D17" s="22">
        <f>Rates!F37</f>
        <v>1.9558</v>
      </c>
    </row>
    <row r="18" spans="1:10" x14ac:dyDescent="0.2">
      <c r="A18" s="19" t="str">
        <f>Rates!A38</f>
        <v>Wholesale Market Service Rate</v>
      </c>
      <c r="B18" s="20" t="str">
        <f>Rates!B38</f>
        <v>$/kWh</v>
      </c>
      <c r="C18" s="21">
        <f>Rates!D38</f>
        <v>5.1999999999999998E-3</v>
      </c>
      <c r="D18" s="22">
        <f>Rates!F38</f>
        <v>5.1999999999999998E-3</v>
      </c>
    </row>
    <row r="19" spans="1:10" x14ac:dyDescent="0.2">
      <c r="A19" s="19" t="str">
        <f>Rates!A39</f>
        <v>Rural Rate Protection Charge</v>
      </c>
      <c r="B19" s="20" t="str">
        <f>Rates!B39</f>
        <v>$/kWh</v>
      </c>
      <c r="C19" s="21">
        <f>Rates!D39</f>
        <v>1.1000000000000001E-3</v>
      </c>
      <c r="D19" s="22">
        <f>Rates!F39</f>
        <v>1.1000000000000001E-3</v>
      </c>
    </row>
    <row r="20" spans="1:10" x14ac:dyDescent="0.2">
      <c r="A20" s="27" t="str">
        <f>Rates!A40</f>
        <v>Special Purpose Charge</v>
      </c>
      <c r="B20" s="28" t="str">
        <f>Rates!B40</f>
        <v>$/kWh</v>
      </c>
      <c r="C20" s="31">
        <f>Rates!D40</f>
        <v>0</v>
      </c>
      <c r="D20" s="32">
        <f>Rates!F40</f>
        <v>0</v>
      </c>
    </row>
    <row r="21" spans="1:10" ht="12.75" thickBot="1" x14ac:dyDescent="0.25">
      <c r="A21" s="12" t="str">
        <f>Rates!A41</f>
        <v>Standard Supply Service - Administarive Charge (if applicable)</v>
      </c>
      <c r="B21" s="17" t="str">
        <f>Rates!B41</f>
        <v>$</v>
      </c>
      <c r="C21" s="18">
        <f>Rates!D41</f>
        <v>0.25</v>
      </c>
      <c r="D21" s="13">
        <f>Rates!F41</f>
        <v>0.25</v>
      </c>
    </row>
    <row r="23" spans="1:10" ht="12.75" thickBot="1" x14ac:dyDescent="0.25"/>
    <row r="24" spans="1:10" ht="13.5" thickBot="1" x14ac:dyDescent="0.25">
      <c r="A24" s="33" t="s">
        <v>26</v>
      </c>
      <c r="B24" s="34">
        <v>90000</v>
      </c>
      <c r="C24" s="35" t="s">
        <v>27</v>
      </c>
      <c r="D24" s="36">
        <v>225</v>
      </c>
      <c r="E24" s="35" t="s">
        <v>28</v>
      </c>
      <c r="G24" s="37" t="s">
        <v>23</v>
      </c>
      <c r="H24" s="53">
        <f>Rates!F89</f>
        <v>1.0864</v>
      </c>
    </row>
    <row r="25" spans="1:10" ht="13.5" thickBot="1" x14ac:dyDescent="0.25">
      <c r="A25" s="33" t="s">
        <v>29</v>
      </c>
      <c r="B25" s="34">
        <v>750</v>
      </c>
      <c r="C25" s="35" t="s">
        <v>27</v>
      </c>
      <c r="D25" s="37" t="s">
        <v>30</v>
      </c>
      <c r="E25" s="97">
        <f>IF(D24&gt;0,B24/(D24*24*30.4)," ")</f>
        <v>0.54824561403508776</v>
      </c>
    </row>
    <row r="26" spans="1:10" ht="12.75" thickBot="1" x14ac:dyDescent="0.25"/>
    <row r="27" spans="1:10" ht="12.75" customHeight="1" x14ac:dyDescent="0.2">
      <c r="A27" s="149" t="str">
        <f>A3</f>
        <v>Residential - R2</v>
      </c>
      <c r="B27" s="151" t="s">
        <v>31</v>
      </c>
      <c r="C27" s="142" t="s">
        <v>37</v>
      </c>
      <c r="D27" s="142" t="s">
        <v>38</v>
      </c>
      <c r="E27" s="151" t="s">
        <v>31</v>
      </c>
      <c r="F27" s="142" t="s">
        <v>37</v>
      </c>
      <c r="G27" s="142" t="s">
        <v>38</v>
      </c>
      <c r="H27" s="153" t="s">
        <v>44</v>
      </c>
      <c r="I27" s="153"/>
      <c r="J27" s="154"/>
    </row>
    <row r="28" spans="1:10" ht="12.75" thickBot="1" x14ac:dyDescent="0.25">
      <c r="A28" s="150"/>
      <c r="B28" s="152"/>
      <c r="C28" s="50" t="s">
        <v>15</v>
      </c>
      <c r="D28" s="50" t="s">
        <v>15</v>
      </c>
      <c r="E28" s="152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 x14ac:dyDescent="0.2">
      <c r="A29" s="54" t="s">
        <v>35</v>
      </c>
      <c r="B29" s="55">
        <f>IF(B24*Rates!D89&gt;B25,B25,B24*Rates!D89)</f>
        <v>750</v>
      </c>
      <c r="C29" s="56">
        <f>Rates!D84</f>
        <v>7.4999999999999997E-2</v>
      </c>
      <c r="D29" s="57">
        <f>B29*C29</f>
        <v>56.25</v>
      </c>
      <c r="E29" s="55">
        <f>IF(B24*H24&gt;B25,B25,B24*H24)</f>
        <v>750</v>
      </c>
      <c r="F29" s="56">
        <f>Rates!F84</f>
        <v>7.4999999999999997E-2</v>
      </c>
      <c r="G29" s="57">
        <f>E29*F29</f>
        <v>56.25</v>
      </c>
      <c r="H29" s="58">
        <f t="shared" ref="H29:H55" si="0">G29-D29</f>
        <v>0</v>
      </c>
      <c r="I29" s="59">
        <f>IF(ISERROR(H29/D29),1,H29/D29)</f>
        <v>0</v>
      </c>
      <c r="J29" s="60">
        <f t="shared" ref="J29:J55" si="1">IF(ISERROR(G29/G$55),0,G29/G$55)</f>
        <v>4.2632684839069542E-3</v>
      </c>
    </row>
    <row r="30" spans="1:10" ht="12.75" thickBot="1" x14ac:dyDescent="0.25">
      <c r="A30" s="63" t="s">
        <v>36</v>
      </c>
      <c r="B30" s="64">
        <f>IF(B24*Rates!D89&gt;=B25,B24*Rates!D89-B25,0)</f>
        <v>97026</v>
      </c>
      <c r="C30" s="65">
        <f>Rates!D85</f>
        <v>8.7999999999999995E-2</v>
      </c>
      <c r="D30" s="66">
        <f>B30*C30</f>
        <v>8538.2879999999986</v>
      </c>
      <c r="E30" s="64">
        <f>IF(B24*H24&gt;=B25,B24*H24-B25,0)</f>
        <v>97026</v>
      </c>
      <c r="F30" s="65">
        <f>Rates!F85</f>
        <v>8.7999999999999995E-2</v>
      </c>
      <c r="G30" s="66">
        <f>E30*F30</f>
        <v>8538.2879999999986</v>
      </c>
      <c r="H30" s="66">
        <f t="shared" si="0"/>
        <v>0</v>
      </c>
      <c r="I30" s="67">
        <f>IF(ISERROR(H30/D30),0,H30/D30)</f>
        <v>0</v>
      </c>
      <c r="J30" s="68">
        <f t="shared" si="1"/>
        <v>0.6471291402119278</v>
      </c>
    </row>
    <row r="31" spans="1:10" ht="12.75" thickBot="1" x14ac:dyDescent="0.25">
      <c r="A31" s="73" t="s">
        <v>39</v>
      </c>
      <c r="B31" s="74"/>
      <c r="C31" s="75"/>
      <c r="D31" s="76">
        <f>SUM(D29:D30)</f>
        <v>8594.5379999999986</v>
      </c>
      <c r="E31" s="75"/>
      <c r="F31" s="75"/>
      <c r="G31" s="76">
        <f>SUM(G29:G30)</f>
        <v>8594.5379999999986</v>
      </c>
      <c r="H31" s="76">
        <f t="shared" si="0"/>
        <v>0</v>
      </c>
      <c r="I31" s="77">
        <f>IF(ISERROR(H31/D31),0,H31/D31)</f>
        <v>0</v>
      </c>
      <c r="J31" s="78">
        <f t="shared" si="1"/>
        <v>0.6513924086958347</v>
      </c>
    </row>
    <row r="32" spans="1:10" x14ac:dyDescent="0.2">
      <c r="A32" s="69" t="str">
        <f t="shared" ref="A32:A37" si="2">A4</f>
        <v>Monthly Service Charge</v>
      </c>
      <c r="B32" s="70">
        <v>1</v>
      </c>
      <c r="C32" s="46">
        <f t="shared" ref="C32:C37" si="3">C4</f>
        <v>596.12</v>
      </c>
      <c r="D32" s="46">
        <f t="shared" ref="D32:D41" si="4">B32*C32</f>
        <v>596.12</v>
      </c>
      <c r="E32" s="71">
        <f>B32</f>
        <v>1</v>
      </c>
      <c r="F32" s="47">
        <f t="shared" ref="F32:F37" si="5">D4</f>
        <v>596.12</v>
      </c>
      <c r="G32" s="47">
        <f t="shared" ref="G32:G41" si="6">E32*F32</f>
        <v>596.12</v>
      </c>
      <c r="H32" s="47">
        <f t="shared" si="0"/>
        <v>0</v>
      </c>
      <c r="I32" s="48">
        <f>IF(ISERROR(H32/D32),0,H32/D32)</f>
        <v>0</v>
      </c>
      <c r="J32" s="72">
        <f t="shared" si="1"/>
        <v>4.5180793042250908E-2</v>
      </c>
    </row>
    <row r="33" spans="1:10" x14ac:dyDescent="0.2">
      <c r="A33" s="61" t="str">
        <f t="shared" si="2"/>
        <v>Smart Meter Rate Adder</v>
      </c>
      <c r="B33" s="43">
        <f>B32</f>
        <v>1</v>
      </c>
      <c r="C33" s="41">
        <f t="shared" si="3"/>
        <v>1</v>
      </c>
      <c r="D33" s="41">
        <f t="shared" si="4"/>
        <v>1</v>
      </c>
      <c r="E33" s="43">
        <f>B33</f>
        <v>1</v>
      </c>
      <c r="F33" s="41">
        <f t="shared" si="5"/>
        <v>0</v>
      </c>
      <c r="G33" s="41">
        <f t="shared" si="6"/>
        <v>0</v>
      </c>
      <c r="H33" s="41">
        <f t="shared" si="0"/>
        <v>-1</v>
      </c>
      <c r="I33" s="42">
        <f>IF(ISERROR(H33/D33),1,H33/D33)</f>
        <v>-1</v>
      </c>
      <c r="J33" s="62">
        <f t="shared" si="1"/>
        <v>0</v>
      </c>
    </row>
    <row r="34" spans="1:10" x14ac:dyDescent="0.2">
      <c r="A34" s="61" t="str">
        <f t="shared" si="2"/>
        <v>Distribution Volumetric Rate</v>
      </c>
      <c r="B34" s="43">
        <f>D24</f>
        <v>225</v>
      </c>
      <c r="C34" s="40">
        <f t="shared" si="3"/>
        <v>2.7086000000000001</v>
      </c>
      <c r="D34" s="41">
        <f t="shared" si="4"/>
        <v>609.43500000000006</v>
      </c>
      <c r="E34" s="43">
        <f>D24</f>
        <v>225</v>
      </c>
      <c r="F34" s="40">
        <f t="shared" si="5"/>
        <v>2.8481999999999998</v>
      </c>
      <c r="G34" s="41">
        <f t="shared" si="6"/>
        <v>640.84499999999991</v>
      </c>
      <c r="H34" s="41">
        <f t="shared" si="0"/>
        <v>31.409999999999854</v>
      </c>
      <c r="I34" s="42">
        <f t="shared" ref="I34:I55" si="7">IF(ISERROR(H34/D34),0,H34/D34)</f>
        <v>5.1539540722144041E-2</v>
      </c>
      <c r="J34" s="62">
        <f t="shared" si="1"/>
        <v>4.8570565183455143E-2</v>
      </c>
    </row>
    <row r="35" spans="1:10" x14ac:dyDescent="0.2">
      <c r="A35" s="61" t="str">
        <f t="shared" si="2"/>
        <v>Rate Rider for Foregone Revenue Recovery - effective until December 31, 2012</v>
      </c>
      <c r="B35" s="43">
        <f>D24</f>
        <v>225</v>
      </c>
      <c r="C35" s="40">
        <f t="shared" si="3"/>
        <v>2.7199999999999998E-2</v>
      </c>
      <c r="D35" s="41">
        <f t="shared" si="4"/>
        <v>6.1199999999999992</v>
      </c>
      <c r="E35" s="43">
        <f>D24</f>
        <v>225</v>
      </c>
      <c r="F35" s="40">
        <f t="shared" si="5"/>
        <v>0</v>
      </c>
      <c r="G35" s="41">
        <f>E35*F35</f>
        <v>0</v>
      </c>
      <c r="H35" s="41">
        <f>G35-D35</f>
        <v>-6.1199999999999992</v>
      </c>
      <c r="I35" s="42">
        <f>IF(ISERROR(H35/D35),0,H35/D35)</f>
        <v>-1</v>
      </c>
      <c r="J35" s="62">
        <f t="shared" si="1"/>
        <v>0</v>
      </c>
    </row>
    <row r="36" spans="1:10" x14ac:dyDescent="0.2">
      <c r="A36" s="61" t="str">
        <f t="shared" si="2"/>
        <v>Rate Rider for Deferral/Variance Account Disposition - effective until May 31, 2013</v>
      </c>
      <c r="B36" s="43">
        <f>D24</f>
        <v>225</v>
      </c>
      <c r="C36" s="40">
        <f t="shared" si="3"/>
        <v>2.2664</v>
      </c>
      <c r="D36" s="41">
        <f t="shared" si="4"/>
        <v>509.94</v>
      </c>
      <c r="E36" s="43">
        <f>D24</f>
        <v>225</v>
      </c>
      <c r="F36" s="40">
        <f t="shared" si="5"/>
        <v>2.2664</v>
      </c>
      <c r="G36" s="41">
        <f t="shared" si="6"/>
        <v>509.94</v>
      </c>
      <c r="H36" s="41">
        <f t="shared" si="0"/>
        <v>0</v>
      </c>
      <c r="I36" s="42">
        <f t="shared" si="7"/>
        <v>0</v>
      </c>
      <c r="J36" s="62">
        <f t="shared" si="1"/>
        <v>3.8649086767706883E-2</v>
      </c>
    </row>
    <row r="37" spans="1:10" x14ac:dyDescent="0.2">
      <c r="A37" s="61" t="str">
        <f t="shared" si="2"/>
        <v>Rate Rider for Deferral/Variance Account Disposition - effective until May 31, 2013</v>
      </c>
      <c r="B37" s="43">
        <f>D24</f>
        <v>225</v>
      </c>
      <c r="C37" s="40">
        <f t="shared" si="3"/>
        <v>-2.8218999999999999</v>
      </c>
      <c r="D37" s="41">
        <f t="shared" si="4"/>
        <v>-634.92750000000001</v>
      </c>
      <c r="E37" s="43">
        <f>D24</f>
        <v>225</v>
      </c>
      <c r="F37" s="40">
        <f t="shared" si="5"/>
        <v>-2.8218999999999999</v>
      </c>
      <c r="G37" s="41">
        <f>E37*F37</f>
        <v>-634.92750000000001</v>
      </c>
      <c r="H37" s="41">
        <f>G37-D37</f>
        <v>0</v>
      </c>
      <c r="I37" s="42">
        <f>IF(ISERROR(H37/D37),0,H37/D37)</f>
        <v>0</v>
      </c>
      <c r="J37" s="62">
        <f t="shared" si="1"/>
        <v>-4.8122069338948137E-2</v>
      </c>
    </row>
    <row r="38" spans="1:10" x14ac:dyDescent="0.2">
      <c r="A38" s="61" t="str">
        <f>A10</f>
        <v>Rate Rider for Deferral/Variance Account Disposition (2012) - effective until December 31, 2013</v>
      </c>
      <c r="B38" s="43">
        <f>D24</f>
        <v>225</v>
      </c>
      <c r="C38" s="40">
        <f>C10</f>
        <v>0</v>
      </c>
      <c r="D38" s="41">
        <f t="shared" si="4"/>
        <v>0</v>
      </c>
      <c r="E38" s="43">
        <f>D24</f>
        <v>225</v>
      </c>
      <c r="F38" s="40">
        <f>D10</f>
        <v>0.1096</v>
      </c>
      <c r="G38" s="41">
        <f>E38*F38</f>
        <v>24.66</v>
      </c>
      <c r="H38" s="41">
        <f>G38-D38</f>
        <v>24.66</v>
      </c>
      <c r="I38" s="42">
        <f>IF(ISERROR(H38/D38),0,H38/D38)</f>
        <v>0</v>
      </c>
      <c r="J38" s="62">
        <f t="shared" si="1"/>
        <v>1.8690169033448089E-3</v>
      </c>
    </row>
    <row r="39" spans="1:10" x14ac:dyDescent="0.2">
      <c r="A39" s="61" t="str">
        <f>A11</f>
        <v>Rate Rider for Global Adjustment Sub-Account Disposition (2012) - effective until December 31, 2013</v>
      </c>
      <c r="B39" s="43">
        <f>D24</f>
        <v>225</v>
      </c>
      <c r="C39" s="40">
        <f>C11</f>
        <v>0</v>
      </c>
      <c r="D39" s="41">
        <f t="shared" si="4"/>
        <v>0</v>
      </c>
      <c r="E39" s="43">
        <f>D24</f>
        <v>225</v>
      </c>
      <c r="F39" s="40">
        <f>D11</f>
        <v>0.46450000000000002</v>
      </c>
      <c r="G39" s="41">
        <f>E39*F39</f>
        <v>104.5125</v>
      </c>
      <c r="H39" s="41">
        <f>G39-D39</f>
        <v>104.5125</v>
      </c>
      <c r="I39" s="42">
        <f>IF(ISERROR(H39/D39),0,H39/D39)</f>
        <v>0</v>
      </c>
      <c r="J39" s="62">
        <f t="shared" si="1"/>
        <v>7.9211528430991225E-3</v>
      </c>
    </row>
    <row r="40" spans="1:10" x14ac:dyDescent="0.2">
      <c r="A40" s="61" t="str">
        <f>A12</f>
        <v>Rate Rider for PILs - effective until December 31, 2013</v>
      </c>
      <c r="B40" s="43">
        <f>D24</f>
        <v>225</v>
      </c>
      <c r="C40" s="40">
        <f>C12</f>
        <v>0</v>
      </c>
      <c r="D40" s="41">
        <f t="shared" si="4"/>
        <v>0</v>
      </c>
      <c r="E40" s="43">
        <f>D24</f>
        <v>225</v>
      </c>
      <c r="F40" s="40">
        <f>D12</f>
        <v>0</v>
      </c>
      <c r="G40" s="41">
        <f>E40*F40</f>
        <v>0</v>
      </c>
      <c r="H40" s="41">
        <f>G40-D40</f>
        <v>0</v>
      </c>
      <c r="I40" s="42">
        <f>IF(ISERROR(H40/D40),0,H40/D40)</f>
        <v>0</v>
      </c>
      <c r="J40" s="62">
        <f t="shared" si="1"/>
        <v>0</v>
      </c>
    </row>
    <row r="41" spans="1:10" ht="12.75" thickBot="1" x14ac:dyDescent="0.25">
      <c r="A41" s="61" t="str">
        <f t="shared" ref="A41" si="8">A13</f>
        <v>Rate Rider for Tax Changes - effective until December 31, 2012</v>
      </c>
      <c r="B41" s="43">
        <f>D24</f>
        <v>225</v>
      </c>
      <c r="C41" s="40">
        <f t="shared" ref="C41" si="9">C13</f>
        <v>-2.7300000000000001E-2</v>
      </c>
      <c r="D41" s="41">
        <f t="shared" si="4"/>
        <v>-6.1425000000000001</v>
      </c>
      <c r="E41" s="43">
        <f>D24</f>
        <v>225</v>
      </c>
      <c r="F41" s="40">
        <f t="shared" ref="F41" si="10">D13</f>
        <v>-0.02</v>
      </c>
      <c r="G41" s="41">
        <f t="shared" si="6"/>
        <v>-4.5</v>
      </c>
      <c r="H41" s="41">
        <f t="shared" si="0"/>
        <v>1.6425000000000001</v>
      </c>
      <c r="I41" s="42">
        <f t="shared" si="7"/>
        <v>-0.26739926739926739</v>
      </c>
      <c r="J41" s="62">
        <f t="shared" si="1"/>
        <v>-3.4106147871255634E-4</v>
      </c>
    </row>
    <row r="42" spans="1:10" ht="12.75" thickBot="1" x14ac:dyDescent="0.25">
      <c r="A42" s="73" t="s">
        <v>40</v>
      </c>
      <c r="B42" s="74"/>
      <c r="C42" s="75"/>
      <c r="D42" s="80">
        <f>SUM(D32:D41)</f>
        <v>1081.5450000000001</v>
      </c>
      <c r="E42" s="75"/>
      <c r="F42" s="75"/>
      <c r="G42" s="76">
        <f>SUM(G32:G41)</f>
        <v>1236.6500000000001</v>
      </c>
      <c r="H42" s="76">
        <f t="shared" si="0"/>
        <v>155.10500000000002</v>
      </c>
      <c r="I42" s="77">
        <f t="shared" si="7"/>
        <v>0.14341058393316969</v>
      </c>
      <c r="J42" s="78">
        <f t="shared" si="1"/>
        <v>9.3727483922196195E-2</v>
      </c>
    </row>
    <row r="43" spans="1:10" x14ac:dyDescent="0.2">
      <c r="A43" s="69" t="str">
        <f>A14</f>
        <v>Retail Transmission Rate - Network Service Rate</v>
      </c>
      <c r="B43" s="44">
        <f>D24*Rates!D89</f>
        <v>244.44</v>
      </c>
      <c r="C43" s="45">
        <f>C14</f>
        <v>2.6396000000000002</v>
      </c>
      <c r="D43" s="47">
        <f>B43*C43</f>
        <v>645.22382400000004</v>
      </c>
      <c r="E43" s="44">
        <f>D24*H24</f>
        <v>244.44</v>
      </c>
      <c r="F43" s="45">
        <f>D14</f>
        <v>2.5209000000000001</v>
      </c>
      <c r="G43" s="47">
        <f>E43*F43</f>
        <v>616.20879600000001</v>
      </c>
      <c r="H43" s="47">
        <f t="shared" si="0"/>
        <v>-29.015028000000029</v>
      </c>
      <c r="I43" s="48">
        <f t="shared" si="7"/>
        <v>-4.4968934687073844E-2</v>
      </c>
      <c r="J43" s="72">
        <f t="shared" si="1"/>
        <v>4.6703351813209774E-2</v>
      </c>
    </row>
    <row r="44" spans="1:10" ht="12.75" thickBot="1" x14ac:dyDescent="0.25">
      <c r="A44" s="63" t="str">
        <f>A15</f>
        <v>Retail Transmission Rate - Line and Transformation Connection Service Rate</v>
      </c>
      <c r="B44" s="64">
        <f>D24*Rates!D89</f>
        <v>244.44</v>
      </c>
      <c r="C44" s="65">
        <f>C15</f>
        <v>1.8099000000000001</v>
      </c>
      <c r="D44" s="66">
        <f>B44*C44</f>
        <v>442.41195600000003</v>
      </c>
      <c r="E44" s="64">
        <f>D24*H24</f>
        <v>244.44</v>
      </c>
      <c r="F44" s="65">
        <f>D15</f>
        <v>1.7696000000000001</v>
      </c>
      <c r="G44" s="66">
        <f>E44*F44</f>
        <v>432.56102400000003</v>
      </c>
      <c r="H44" s="66">
        <f t="shared" si="0"/>
        <v>-9.8509320000000002</v>
      </c>
      <c r="I44" s="67">
        <f t="shared" si="7"/>
        <v>-2.226642355931267E-2</v>
      </c>
      <c r="J44" s="68">
        <f t="shared" si="1"/>
        <v>3.2784422773079462E-2</v>
      </c>
    </row>
    <row r="45" spans="1:10" ht="12.75" thickBot="1" x14ac:dyDescent="0.25">
      <c r="A45" s="73" t="s">
        <v>32</v>
      </c>
      <c r="B45" s="74"/>
      <c r="C45" s="75"/>
      <c r="D45" s="76">
        <f>SUM(D43:D44)</f>
        <v>1087.6357800000001</v>
      </c>
      <c r="E45" s="75"/>
      <c r="F45" s="75"/>
      <c r="G45" s="76">
        <f>SUM(G43:G44)</f>
        <v>1048.76982</v>
      </c>
      <c r="H45" s="76">
        <f t="shared" si="0"/>
        <v>-38.865960000000086</v>
      </c>
      <c r="I45" s="77">
        <f t="shared" si="7"/>
        <v>-3.5734352174401698E-2</v>
      </c>
      <c r="J45" s="78">
        <f t="shared" si="1"/>
        <v>7.9487774586289237E-2</v>
      </c>
    </row>
    <row r="46" spans="1:10" ht="12.75" thickBot="1" x14ac:dyDescent="0.25">
      <c r="A46" s="81" t="s">
        <v>41</v>
      </c>
      <c r="B46" s="82"/>
      <c r="C46" s="83"/>
      <c r="D46" s="84">
        <f>D42+D45</f>
        <v>2169.1807800000001</v>
      </c>
      <c r="E46" s="83"/>
      <c r="F46" s="83"/>
      <c r="G46" s="84">
        <f>G42+G45</f>
        <v>2285.4198200000001</v>
      </c>
      <c r="H46" s="84">
        <f t="shared" si="0"/>
        <v>116.23903999999993</v>
      </c>
      <c r="I46" s="85">
        <f t="shared" si="7"/>
        <v>5.3586607935923132E-2</v>
      </c>
      <c r="J46" s="86">
        <f t="shared" si="1"/>
        <v>0.17321525850848543</v>
      </c>
    </row>
    <row r="47" spans="1:10" x14ac:dyDescent="0.2">
      <c r="A47" s="69" t="str">
        <f>A18</f>
        <v>Wholesale Market Service Rate</v>
      </c>
      <c r="B47" s="44">
        <f>B24*Rates!D89</f>
        <v>97776</v>
      </c>
      <c r="C47" s="45">
        <f>C18</f>
        <v>5.1999999999999998E-3</v>
      </c>
      <c r="D47" s="47">
        <f>B47*C47</f>
        <v>508.43519999999995</v>
      </c>
      <c r="E47" s="44">
        <f>B24*H24</f>
        <v>97776</v>
      </c>
      <c r="F47" s="45">
        <f>D18</f>
        <v>5.1999999999999998E-3</v>
      </c>
      <c r="G47" s="47">
        <f>E47*F47</f>
        <v>508.43519999999995</v>
      </c>
      <c r="H47" s="47">
        <f t="shared" si="0"/>
        <v>0</v>
      </c>
      <c r="I47" s="48">
        <f t="shared" si="7"/>
        <v>0</v>
      </c>
      <c r="J47" s="72">
        <f t="shared" si="1"/>
        <v>3.8535035809225404E-2</v>
      </c>
    </row>
    <row r="48" spans="1:10" x14ac:dyDescent="0.2">
      <c r="A48" s="61" t="str">
        <f>A19</f>
        <v>Rural Rate Protection Charge</v>
      </c>
      <c r="B48" s="39">
        <f>B24*Rates!D89</f>
        <v>97776</v>
      </c>
      <c r="C48" s="40">
        <f>C19</f>
        <v>1.1000000000000001E-3</v>
      </c>
      <c r="D48" s="41">
        <f>B48*C48</f>
        <v>107.5536</v>
      </c>
      <c r="E48" s="39">
        <f>B24*H24</f>
        <v>97776</v>
      </c>
      <c r="F48" s="40">
        <f>D19</f>
        <v>1.1000000000000001E-3</v>
      </c>
      <c r="G48" s="41">
        <f>E48*F48</f>
        <v>107.5536</v>
      </c>
      <c r="H48" s="41">
        <f t="shared" si="0"/>
        <v>0</v>
      </c>
      <c r="I48" s="42">
        <f t="shared" si="7"/>
        <v>0</v>
      </c>
      <c r="J48" s="62">
        <f t="shared" si="1"/>
        <v>8.1516421904130679E-3</v>
      </c>
    </row>
    <row r="49" spans="1:10" x14ac:dyDescent="0.2">
      <c r="A49" s="63" t="s">
        <v>45</v>
      </c>
      <c r="B49" s="64">
        <f>B24*Rates!D89</f>
        <v>97776</v>
      </c>
      <c r="C49" s="65">
        <f>Rates!D40</f>
        <v>0</v>
      </c>
      <c r="D49" s="66">
        <f>B49*C49</f>
        <v>0</v>
      </c>
      <c r="E49" s="64">
        <f>B24*Rates!F89</f>
        <v>97776</v>
      </c>
      <c r="F49" s="65">
        <f>Rates!F40</f>
        <v>0</v>
      </c>
      <c r="G49" s="66">
        <f>E49*F49</f>
        <v>0</v>
      </c>
      <c r="H49" s="41">
        <f>G49-D49</f>
        <v>0</v>
      </c>
      <c r="I49" s="42">
        <f>IF(ISERROR(H49/D49),0,H49/D49)</f>
        <v>0</v>
      </c>
      <c r="J49" s="62">
        <f t="shared" si="1"/>
        <v>0</v>
      </c>
    </row>
    <row r="50" spans="1:10" ht="12.75" thickBot="1" x14ac:dyDescent="0.25">
      <c r="A50" s="63" t="str">
        <f>A21</f>
        <v>Standard Supply Service - Administarive Charge (if applicable)</v>
      </c>
      <c r="B50" s="79">
        <f>B32</f>
        <v>1</v>
      </c>
      <c r="C50" s="66">
        <f>C21</f>
        <v>0.25</v>
      </c>
      <c r="D50" s="66">
        <f>B50*C50</f>
        <v>0.25</v>
      </c>
      <c r="E50" s="64">
        <f>B32</f>
        <v>1</v>
      </c>
      <c r="F50" s="66">
        <f>D21</f>
        <v>0.25</v>
      </c>
      <c r="G50" s="66">
        <f>E50*F50</f>
        <v>0.25</v>
      </c>
      <c r="H50" s="66">
        <f t="shared" si="0"/>
        <v>0</v>
      </c>
      <c r="I50" s="67">
        <f t="shared" si="7"/>
        <v>0</v>
      </c>
      <c r="J50" s="68">
        <f t="shared" si="1"/>
        <v>1.8947859928475355E-5</v>
      </c>
    </row>
    <row r="51" spans="1:10" ht="12.75" thickBot="1" x14ac:dyDescent="0.25">
      <c r="A51" s="73" t="s">
        <v>42</v>
      </c>
      <c r="B51" s="74"/>
      <c r="C51" s="75"/>
      <c r="D51" s="76">
        <f>SUM(D47:D50)</f>
        <v>616.23879999999997</v>
      </c>
      <c r="E51" s="75"/>
      <c r="F51" s="75"/>
      <c r="G51" s="76">
        <f>SUM(G47:G50)</f>
        <v>616.23879999999997</v>
      </c>
      <c r="H51" s="76">
        <f t="shared" si="0"/>
        <v>0</v>
      </c>
      <c r="I51" s="77">
        <f t="shared" si="7"/>
        <v>0</v>
      </c>
      <c r="J51" s="78">
        <f t="shared" si="1"/>
        <v>4.6705625859566946E-2</v>
      </c>
    </row>
    <row r="52" spans="1:10" ht="12.75" thickBot="1" x14ac:dyDescent="0.25">
      <c r="A52" s="87" t="s">
        <v>19</v>
      </c>
      <c r="B52" s="88">
        <f>B24</f>
        <v>90000</v>
      </c>
      <c r="C52" s="89">
        <f>Rates!D83</f>
        <v>2E-3</v>
      </c>
      <c r="D52" s="90">
        <f>B52*C52</f>
        <v>180</v>
      </c>
      <c r="E52" s="88">
        <f>B24</f>
        <v>90000</v>
      </c>
      <c r="F52" s="89">
        <f>Rates!F83</f>
        <v>2E-3</v>
      </c>
      <c r="G52" s="90">
        <f>E52*F52</f>
        <v>180</v>
      </c>
      <c r="H52" s="90">
        <f t="shared" si="0"/>
        <v>0</v>
      </c>
      <c r="I52" s="91">
        <f t="shared" si="7"/>
        <v>0</v>
      </c>
      <c r="J52" s="92">
        <f t="shared" si="1"/>
        <v>1.3642459148502255E-2</v>
      </c>
    </row>
    <row r="53" spans="1:10" ht="12.75" thickBot="1" x14ac:dyDescent="0.25">
      <c r="A53" s="73" t="s">
        <v>43</v>
      </c>
      <c r="B53" s="74"/>
      <c r="C53" s="75"/>
      <c r="D53" s="76">
        <f>D31+D46+D51+D52</f>
        <v>11559.957579999998</v>
      </c>
      <c r="E53" s="75"/>
      <c r="F53" s="75"/>
      <c r="G53" s="76">
        <f>G31+G46+G51+G52</f>
        <v>11676.196619999999</v>
      </c>
      <c r="H53" s="76">
        <f t="shared" si="0"/>
        <v>116.23904000000039</v>
      </c>
      <c r="I53" s="77">
        <f t="shared" si="7"/>
        <v>1.0055317175307525E-2</v>
      </c>
      <c r="J53" s="78">
        <f t="shared" si="1"/>
        <v>0.88495575221238931</v>
      </c>
    </row>
    <row r="54" spans="1:10" ht="12.75" thickBot="1" x14ac:dyDescent="0.25">
      <c r="A54" s="93" t="s">
        <v>46</v>
      </c>
      <c r="B54" s="94"/>
      <c r="C54" s="95">
        <f>Rates!D90</f>
        <v>0.13</v>
      </c>
      <c r="D54" s="90">
        <f>C54*D53</f>
        <v>1502.7944853999998</v>
      </c>
      <c r="E54" s="96"/>
      <c r="F54" s="95">
        <f>Rates!F90</f>
        <v>0.13</v>
      </c>
      <c r="G54" s="90">
        <f>F54*G53</f>
        <v>1517.9055605999999</v>
      </c>
      <c r="H54" s="90">
        <f t="shared" si="0"/>
        <v>15.111075200000187</v>
      </c>
      <c r="I54" s="91">
        <f t="shared" si="7"/>
        <v>1.0055317175307615E-2</v>
      </c>
      <c r="J54" s="92">
        <f t="shared" si="1"/>
        <v>0.11504424778761062</v>
      </c>
    </row>
    <row r="55" spans="1:10" ht="12.75" thickBot="1" x14ac:dyDescent="0.25">
      <c r="A55" s="81" t="s">
        <v>33</v>
      </c>
      <c r="B55" s="82"/>
      <c r="C55" s="83"/>
      <c r="D55" s="104">
        <f>D53+D54</f>
        <v>13062.752065399998</v>
      </c>
      <c r="E55" s="83"/>
      <c r="F55" s="83"/>
      <c r="G55" s="104">
        <f>G53+G54</f>
        <v>13194.102180599999</v>
      </c>
      <c r="H55" s="104">
        <f t="shared" si="0"/>
        <v>131.3501152000008</v>
      </c>
      <c r="I55" s="85">
        <f t="shared" si="7"/>
        <v>1.0055317175307553E-2</v>
      </c>
      <c r="J55" s="86">
        <f t="shared" si="1"/>
        <v>1</v>
      </c>
    </row>
  </sheetData>
  <mergeCells count="4">
    <mergeCell ref="A27:A28"/>
    <mergeCell ref="B27:B28"/>
    <mergeCell ref="E27:E28"/>
    <mergeCell ref="H27:J27"/>
  </mergeCells>
  <pageMargins left="0.75" right="0.75" top="1" bottom="1" header="0.5" footer="0.5"/>
  <pageSetup scale="68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55"/>
  <sheetViews>
    <sheetView zoomScaleNormal="100" workbookViewId="0">
      <selection activeCell="D11" sqref="D11"/>
    </sheetView>
  </sheetViews>
  <sheetFormatPr defaultRowHeight="12" x14ac:dyDescent="0.2"/>
  <cols>
    <col min="1" max="1" width="81.85546875" style="8" bestFit="1" customWidth="1"/>
    <col min="2" max="2" width="10" style="11" bestFit="1" customWidth="1"/>
    <col min="3" max="3" width="9.85546875" style="8" bestFit="1" customWidth="1"/>
    <col min="4" max="4" width="12" style="8" bestFit="1" customWidth="1"/>
    <col min="5" max="6" width="9.140625" style="8"/>
    <col min="7" max="7" width="12" style="8" bestFit="1" customWidth="1"/>
    <col min="8" max="8" width="10.5703125" style="8" bestFit="1" customWidth="1"/>
    <col min="9" max="9" width="9.140625" style="8"/>
    <col min="10" max="10" width="11.5703125" style="8" bestFit="1" customWidth="1"/>
    <col min="11" max="16384" width="9.140625" style="8"/>
  </cols>
  <sheetData>
    <row r="2" spans="1:4" ht="18.75" thickBot="1" x14ac:dyDescent="0.3">
      <c r="A2" s="107" t="s">
        <v>48</v>
      </c>
    </row>
    <row r="3" spans="1:4" ht="36.75" thickBot="1" x14ac:dyDescent="0.25">
      <c r="A3" s="14" t="str">
        <f>Rates!A23</f>
        <v>Residential - R2</v>
      </c>
      <c r="B3" s="16" t="str">
        <f>Rates!B3</f>
        <v>Metric</v>
      </c>
      <c r="C3" s="15" t="str">
        <f>Rates!D3</f>
        <v>Current Approved Rates</v>
      </c>
      <c r="D3" s="15" t="str">
        <f>Rates!F3</f>
        <v>Proposed January 1, 2013</v>
      </c>
    </row>
    <row r="4" spans="1:4" x14ac:dyDescent="0.2">
      <c r="A4" s="23" t="str">
        <f>Rates!A24</f>
        <v>Monthly Service Charge</v>
      </c>
      <c r="B4" s="24" t="str">
        <f>Rates!B24</f>
        <v>$</v>
      </c>
      <c r="C4" s="25">
        <f>Rates!D24</f>
        <v>596.12</v>
      </c>
      <c r="D4" s="26">
        <f>Rates!F24</f>
        <v>596.12</v>
      </c>
    </row>
    <row r="5" spans="1:4" x14ac:dyDescent="0.2">
      <c r="A5" s="27" t="str">
        <f>Rates!A25</f>
        <v>Smart Meter Rate Adder</v>
      </c>
      <c r="B5" s="28" t="str">
        <f>Rates!B25</f>
        <v>$</v>
      </c>
      <c r="C5" s="29">
        <f>Rates!D25</f>
        <v>1</v>
      </c>
      <c r="D5" s="30">
        <f>Rates!F25</f>
        <v>0</v>
      </c>
    </row>
    <row r="6" spans="1:4" x14ac:dyDescent="0.2">
      <c r="A6" s="27" t="str">
        <f>Rates!A26</f>
        <v>Distribution Volumetric Rate</v>
      </c>
      <c r="B6" s="28" t="str">
        <f>Rates!B26</f>
        <v>$/kW</v>
      </c>
      <c r="C6" s="31">
        <f>Rates!D26</f>
        <v>2.7086000000000001</v>
      </c>
      <c r="D6" s="32">
        <f>Rates!F26</f>
        <v>2.8481999999999998</v>
      </c>
    </row>
    <row r="7" spans="1:4" x14ac:dyDescent="0.2">
      <c r="A7" s="27" t="str">
        <f>Rates!A27</f>
        <v>Rate Rider for Foregone Revenue Recovery - effective until December 31, 2012</v>
      </c>
      <c r="B7" s="28" t="str">
        <f>Rates!B27</f>
        <v>$/kW</v>
      </c>
      <c r="C7" s="31">
        <f>Rates!D27</f>
        <v>2.7199999999999998E-2</v>
      </c>
      <c r="D7" s="32">
        <f>Rates!F27</f>
        <v>0</v>
      </c>
    </row>
    <row r="8" spans="1:4" x14ac:dyDescent="0.2">
      <c r="A8" s="27" t="str">
        <f>Rates!A28</f>
        <v>Rate Rider for Deferral/Variance Account Disposition - effective until May 31, 2013</v>
      </c>
      <c r="B8" s="28" t="str">
        <f>Rates!B28</f>
        <v>$/kW</v>
      </c>
      <c r="C8" s="31">
        <f>Rates!D28</f>
        <v>2.2664</v>
      </c>
      <c r="D8" s="32">
        <f>Rates!F28</f>
        <v>2.2664</v>
      </c>
    </row>
    <row r="9" spans="1:4" x14ac:dyDescent="0.2">
      <c r="A9" s="27" t="str">
        <f>Rates!A29</f>
        <v>Rate Rider for Deferral/Variance Account Disposition - effective until May 31, 2013</v>
      </c>
      <c r="B9" s="28" t="str">
        <f>Rates!B29</f>
        <v>$/kW</v>
      </c>
      <c r="C9" s="31">
        <f>Rates!D29</f>
        <v>-2.8218999999999999</v>
      </c>
      <c r="D9" s="32">
        <f>Rates!F29</f>
        <v>-2.8218999999999999</v>
      </c>
    </row>
    <row r="10" spans="1:4" x14ac:dyDescent="0.2">
      <c r="A10" s="27" t="str">
        <f>Rates!A30</f>
        <v>Rate Rider for Deferral/Variance Account Disposition (2012) - effective until December 31, 2013</v>
      </c>
      <c r="B10" s="28" t="str">
        <f>Rates!B30</f>
        <v>$/kW</v>
      </c>
      <c r="C10" s="31">
        <f>Rates!D30</f>
        <v>0</v>
      </c>
      <c r="D10" s="32">
        <f>Rates!F30</f>
        <v>0.1096</v>
      </c>
    </row>
    <row r="11" spans="1:4" x14ac:dyDescent="0.2">
      <c r="A11" s="27" t="str">
        <f>Rates!A31</f>
        <v>Rate Rider for Global Adjustment Sub-Account Disposition (2012) - effective until December 31, 2013</v>
      </c>
      <c r="B11" s="28" t="str">
        <f>Rates!B31</f>
        <v>$/kW</v>
      </c>
      <c r="C11" s="31">
        <f>Rates!D31</f>
        <v>0</v>
      </c>
      <c r="D11" s="32"/>
    </row>
    <row r="12" spans="1:4" x14ac:dyDescent="0.2">
      <c r="A12" s="27" t="str">
        <f>Rates!A32</f>
        <v>Rate Rider for PILs - effective until December 31, 2013</v>
      </c>
      <c r="B12" s="28" t="str">
        <f>Rates!B32</f>
        <v>$/kW</v>
      </c>
      <c r="C12" s="31">
        <f>Rates!D32</f>
        <v>0</v>
      </c>
      <c r="D12" s="32">
        <f>Rates!F32</f>
        <v>0</v>
      </c>
    </row>
    <row r="13" spans="1:4" x14ac:dyDescent="0.2">
      <c r="A13" s="27" t="str">
        <f>Rates!A33</f>
        <v>Rate Rider for Tax Changes - effective until December 31, 2012</v>
      </c>
      <c r="B13" s="28" t="str">
        <f>Rates!B33</f>
        <v>$/kW</v>
      </c>
      <c r="C13" s="31">
        <f>Rates!D33</f>
        <v>-2.7300000000000001E-2</v>
      </c>
      <c r="D13" s="32">
        <f>Rates!F33</f>
        <v>-0.02</v>
      </c>
    </row>
    <row r="14" spans="1:4" x14ac:dyDescent="0.2">
      <c r="A14" s="27" t="str">
        <f>Rates!A34</f>
        <v>Retail Transmission Rate - Network Service Rate</v>
      </c>
      <c r="B14" s="28" t="str">
        <f>Rates!B34</f>
        <v>$/kW</v>
      </c>
      <c r="C14" s="31">
        <f>Rates!D34</f>
        <v>2.6396000000000002</v>
      </c>
      <c r="D14" s="32">
        <f>Rates!F34</f>
        <v>2.5209000000000001</v>
      </c>
    </row>
    <row r="15" spans="1:4" x14ac:dyDescent="0.2">
      <c r="A15" s="27" t="str">
        <f>Rates!A35</f>
        <v>Retail Transmission Rate - Line and Transformation Connection Service Rate</v>
      </c>
      <c r="B15" s="28" t="str">
        <f>Rates!B35</f>
        <v>$/kW</v>
      </c>
      <c r="C15" s="31">
        <f>Rates!D35</f>
        <v>1.8099000000000001</v>
      </c>
      <c r="D15" s="32">
        <f>Rates!F35</f>
        <v>1.7696000000000001</v>
      </c>
    </row>
    <row r="16" spans="1:4" x14ac:dyDescent="0.2">
      <c r="A16" s="19" t="str">
        <f>Rates!A36</f>
        <v>Retail Transmission Rate - Network Service Rate - Interval Meter &gt; 1,000 kW</v>
      </c>
      <c r="B16" s="20" t="str">
        <f>Rates!B36</f>
        <v>$/kW</v>
      </c>
      <c r="C16" s="21">
        <f>Rates!D36</f>
        <v>2.8001</v>
      </c>
      <c r="D16" s="22">
        <f>Rates!F36</f>
        <v>2.6741999999999999</v>
      </c>
    </row>
    <row r="17" spans="1:10" x14ac:dyDescent="0.2">
      <c r="A17" s="19" t="str">
        <f>Rates!A37</f>
        <v>Retail Transmission Rate - Line and Transformation Connection Service Rate - Interval &gt; 1,000 kW</v>
      </c>
      <c r="B17" s="20" t="str">
        <f>Rates!B37</f>
        <v>$/kW</v>
      </c>
      <c r="C17" s="21">
        <f>Rates!D37</f>
        <v>2.0003000000000002</v>
      </c>
      <c r="D17" s="22">
        <f>Rates!F37</f>
        <v>1.9558</v>
      </c>
    </row>
    <row r="18" spans="1:10" x14ac:dyDescent="0.2">
      <c r="A18" s="19" t="str">
        <f>Rates!A38</f>
        <v>Wholesale Market Service Rate</v>
      </c>
      <c r="B18" s="20" t="str">
        <f>Rates!B38</f>
        <v>$/kWh</v>
      </c>
      <c r="C18" s="21">
        <f>Rates!D38</f>
        <v>5.1999999999999998E-3</v>
      </c>
      <c r="D18" s="22">
        <f>Rates!F38</f>
        <v>5.1999999999999998E-3</v>
      </c>
    </row>
    <row r="19" spans="1:10" x14ac:dyDescent="0.2">
      <c r="A19" s="19" t="str">
        <f>Rates!A39</f>
        <v>Rural Rate Protection Charge</v>
      </c>
      <c r="B19" s="20" t="str">
        <f>Rates!B39</f>
        <v>$/kWh</v>
      </c>
      <c r="C19" s="21">
        <f>Rates!D39</f>
        <v>1.1000000000000001E-3</v>
      </c>
      <c r="D19" s="22">
        <f>Rates!F39</f>
        <v>1.1000000000000001E-3</v>
      </c>
    </row>
    <row r="20" spans="1:10" x14ac:dyDescent="0.2">
      <c r="A20" s="27" t="str">
        <f>Rates!A40</f>
        <v>Special Purpose Charge</v>
      </c>
      <c r="B20" s="28" t="str">
        <f>Rates!B40</f>
        <v>$/kWh</v>
      </c>
      <c r="C20" s="31">
        <f>Rates!D40</f>
        <v>0</v>
      </c>
      <c r="D20" s="32">
        <f>Rates!F40</f>
        <v>0</v>
      </c>
    </row>
    <row r="21" spans="1:10" ht="12.75" thickBot="1" x14ac:dyDescent="0.25">
      <c r="A21" s="12" t="str">
        <f>Rates!A41</f>
        <v>Standard Supply Service - Administarive Charge (if applicable)</v>
      </c>
      <c r="B21" s="17" t="str">
        <f>Rates!B41</f>
        <v>$</v>
      </c>
      <c r="C21" s="18">
        <f>Rates!D41</f>
        <v>0.25</v>
      </c>
      <c r="D21" s="13">
        <f>Rates!F41</f>
        <v>0.25</v>
      </c>
    </row>
    <row r="23" spans="1:10" ht="12.75" thickBot="1" x14ac:dyDescent="0.25"/>
    <row r="24" spans="1:10" ht="13.5" thickBot="1" x14ac:dyDescent="0.25">
      <c r="A24" s="33" t="s">
        <v>26</v>
      </c>
      <c r="B24" s="34">
        <v>1100000</v>
      </c>
      <c r="C24" s="35" t="s">
        <v>27</v>
      </c>
      <c r="D24" s="36">
        <v>2500</v>
      </c>
      <c r="E24" s="35" t="s">
        <v>28</v>
      </c>
      <c r="G24" s="37" t="s">
        <v>23</v>
      </c>
      <c r="H24" s="53">
        <f>Rates!F89</f>
        <v>1.0864</v>
      </c>
    </row>
    <row r="25" spans="1:10" ht="13.5" thickBot="1" x14ac:dyDescent="0.25">
      <c r="A25" s="33" t="s">
        <v>29</v>
      </c>
      <c r="B25" s="34">
        <v>750</v>
      </c>
      <c r="C25" s="35" t="s">
        <v>27</v>
      </c>
      <c r="D25" s="37" t="s">
        <v>30</v>
      </c>
      <c r="E25" s="97">
        <f>IF(D24&gt;0,B24/(D24*24*30.4)," ")</f>
        <v>0.60307017543859653</v>
      </c>
    </row>
    <row r="26" spans="1:10" ht="12.75" thickBot="1" x14ac:dyDescent="0.25"/>
    <row r="27" spans="1:10" ht="12.75" customHeight="1" x14ac:dyDescent="0.2">
      <c r="A27" s="149" t="str">
        <f>A3</f>
        <v>Residential - R2</v>
      </c>
      <c r="B27" s="151" t="s">
        <v>31</v>
      </c>
      <c r="C27" s="49" t="s">
        <v>37</v>
      </c>
      <c r="D27" s="49" t="s">
        <v>38</v>
      </c>
      <c r="E27" s="151" t="s">
        <v>31</v>
      </c>
      <c r="F27" s="49" t="s">
        <v>37</v>
      </c>
      <c r="G27" s="49" t="s">
        <v>38</v>
      </c>
      <c r="H27" s="153" t="s">
        <v>44</v>
      </c>
      <c r="I27" s="153"/>
      <c r="J27" s="154"/>
    </row>
    <row r="28" spans="1:10" ht="12.75" thickBot="1" x14ac:dyDescent="0.25">
      <c r="A28" s="150"/>
      <c r="B28" s="152"/>
      <c r="C28" s="50" t="s">
        <v>15</v>
      </c>
      <c r="D28" s="50" t="s">
        <v>15</v>
      </c>
      <c r="E28" s="152"/>
      <c r="F28" s="50" t="s">
        <v>15</v>
      </c>
      <c r="G28" s="50" t="s">
        <v>15</v>
      </c>
      <c r="H28" s="50" t="s">
        <v>15</v>
      </c>
      <c r="I28" s="51" t="s">
        <v>22</v>
      </c>
      <c r="J28" s="52" t="s">
        <v>34</v>
      </c>
    </row>
    <row r="29" spans="1:10" x14ac:dyDescent="0.2">
      <c r="A29" s="54" t="s">
        <v>35</v>
      </c>
      <c r="B29" s="55">
        <f>IF(B24*Rates!D89&gt;B25,B25,B24*Rates!D89)</f>
        <v>750</v>
      </c>
      <c r="C29" s="56">
        <f>Rates!D84</f>
        <v>7.4999999999999997E-2</v>
      </c>
      <c r="D29" s="57">
        <f>B29*C29</f>
        <v>56.25</v>
      </c>
      <c r="E29" s="55">
        <f>IF(B24*H24&gt;B25,B25,B24*H24)</f>
        <v>750</v>
      </c>
      <c r="F29" s="56">
        <f>Rates!F84</f>
        <v>7.4999999999999997E-2</v>
      </c>
      <c r="G29" s="57">
        <f>E29*F29</f>
        <v>56.25</v>
      </c>
      <c r="H29" s="58">
        <f t="shared" ref="H29:H55" si="0">G29-D29</f>
        <v>0</v>
      </c>
      <c r="I29" s="59">
        <f>IF(ISERROR(H29/D29),1,H29/D29)</f>
        <v>0</v>
      </c>
      <c r="J29" s="60">
        <f t="shared" ref="J29:J55" si="1">IF(ISERROR(G29/G$55),0,G29/G$55)</f>
        <v>3.7145634151787067E-4</v>
      </c>
    </row>
    <row r="30" spans="1:10" ht="12.75" thickBot="1" x14ac:dyDescent="0.25">
      <c r="A30" s="63" t="s">
        <v>36</v>
      </c>
      <c r="B30" s="64">
        <f>IF(B24*Rates!D89&gt;=B25,B24*Rates!D89-B25,0)</f>
        <v>1194290</v>
      </c>
      <c r="C30" s="65">
        <f>Rates!D85</f>
        <v>8.7999999999999995E-2</v>
      </c>
      <c r="D30" s="66">
        <f>B30*C30</f>
        <v>105097.51999999999</v>
      </c>
      <c r="E30" s="64">
        <f>IF(B24*H24&gt;=B25,B24*H24-B25,0)</f>
        <v>1194290</v>
      </c>
      <c r="F30" s="65">
        <f>Rates!F85</f>
        <v>8.7999999999999995E-2</v>
      </c>
      <c r="G30" s="66">
        <f>E30*F30</f>
        <v>105097.51999999999</v>
      </c>
      <c r="H30" s="66">
        <f t="shared" si="0"/>
        <v>0</v>
      </c>
      <c r="I30" s="67">
        <f>IF(ISERROR(H30/D30),0,H30/D30)</f>
        <v>0</v>
      </c>
      <c r="J30" s="68">
        <f t="shared" si="1"/>
        <v>0.69402916056535535</v>
      </c>
    </row>
    <row r="31" spans="1:10" ht="12.75" thickBot="1" x14ac:dyDescent="0.25">
      <c r="A31" s="73" t="s">
        <v>39</v>
      </c>
      <c r="B31" s="74"/>
      <c r="C31" s="75"/>
      <c r="D31" s="76">
        <f>SUM(D29:D30)</f>
        <v>105153.76999999999</v>
      </c>
      <c r="E31" s="75"/>
      <c r="F31" s="75"/>
      <c r="G31" s="76">
        <f>SUM(G29:G30)</f>
        <v>105153.76999999999</v>
      </c>
      <c r="H31" s="76">
        <f t="shared" si="0"/>
        <v>0</v>
      </c>
      <c r="I31" s="77">
        <f>IF(ISERROR(H31/D31),0,H31/D31)</f>
        <v>0</v>
      </c>
      <c r="J31" s="78">
        <f t="shared" si="1"/>
        <v>0.69440061690687327</v>
      </c>
    </row>
    <row r="32" spans="1:10" x14ac:dyDescent="0.2">
      <c r="A32" s="69" t="str">
        <f t="shared" ref="A32:A37" si="2">A4</f>
        <v>Monthly Service Charge</v>
      </c>
      <c r="B32" s="70">
        <v>1</v>
      </c>
      <c r="C32" s="46">
        <f t="shared" ref="C32:C37" si="3">C4</f>
        <v>596.12</v>
      </c>
      <c r="D32" s="46">
        <f t="shared" ref="D32:D41" si="4">B32*C32</f>
        <v>596.12</v>
      </c>
      <c r="E32" s="71">
        <f>B32</f>
        <v>1</v>
      </c>
      <c r="F32" s="47">
        <f t="shared" ref="F32:F37" si="5">D4</f>
        <v>596.12</v>
      </c>
      <c r="G32" s="47">
        <f t="shared" ref="G32:G41" si="6">E32*F32</f>
        <v>596.12</v>
      </c>
      <c r="H32" s="47">
        <f t="shared" si="0"/>
        <v>0</v>
      </c>
      <c r="I32" s="48">
        <f>IF(ISERROR(H32/D32),0,H32/D32)</f>
        <v>0</v>
      </c>
      <c r="J32" s="72">
        <f t="shared" si="1"/>
        <v>3.9365787432112543E-3</v>
      </c>
    </row>
    <row r="33" spans="1:10" x14ac:dyDescent="0.2">
      <c r="A33" s="61" t="str">
        <f t="shared" si="2"/>
        <v>Smart Meter Rate Adder</v>
      </c>
      <c r="B33" s="43">
        <f>B32</f>
        <v>1</v>
      </c>
      <c r="C33" s="41">
        <f t="shared" si="3"/>
        <v>1</v>
      </c>
      <c r="D33" s="41">
        <f t="shared" si="4"/>
        <v>1</v>
      </c>
      <c r="E33" s="43">
        <f>B33</f>
        <v>1</v>
      </c>
      <c r="F33" s="41">
        <f t="shared" si="5"/>
        <v>0</v>
      </c>
      <c r="G33" s="41">
        <f t="shared" si="6"/>
        <v>0</v>
      </c>
      <c r="H33" s="41">
        <f t="shared" si="0"/>
        <v>-1</v>
      </c>
      <c r="I33" s="42">
        <f>IF(ISERROR(H33/D33),1,H33/D33)</f>
        <v>-1</v>
      </c>
      <c r="J33" s="62">
        <f t="shared" si="1"/>
        <v>0</v>
      </c>
    </row>
    <row r="34" spans="1:10" x14ac:dyDescent="0.2">
      <c r="A34" s="61" t="str">
        <f t="shared" si="2"/>
        <v>Distribution Volumetric Rate</v>
      </c>
      <c r="B34" s="43">
        <f>D24</f>
        <v>2500</v>
      </c>
      <c r="C34" s="40">
        <f t="shared" si="3"/>
        <v>2.7086000000000001</v>
      </c>
      <c r="D34" s="41">
        <f t="shared" si="4"/>
        <v>6771.5</v>
      </c>
      <c r="E34" s="43">
        <f>D24</f>
        <v>2500</v>
      </c>
      <c r="F34" s="40">
        <f t="shared" si="5"/>
        <v>2.8481999999999998</v>
      </c>
      <c r="G34" s="41">
        <f t="shared" si="6"/>
        <v>7120.5</v>
      </c>
      <c r="H34" s="41">
        <f t="shared" si="0"/>
        <v>349</v>
      </c>
      <c r="I34" s="42">
        <f t="shared" ref="I34:I55" si="7">IF(ISERROR(H34/D34),0,H34/D34)</f>
        <v>5.1539540722144284E-2</v>
      </c>
      <c r="J34" s="62">
        <f t="shared" si="1"/>
        <v>4.7021420084942187E-2</v>
      </c>
    </row>
    <row r="35" spans="1:10" x14ac:dyDescent="0.2">
      <c r="A35" s="61" t="str">
        <f t="shared" si="2"/>
        <v>Rate Rider for Foregone Revenue Recovery - effective until December 31, 2012</v>
      </c>
      <c r="B35" s="43">
        <f>D24</f>
        <v>2500</v>
      </c>
      <c r="C35" s="40">
        <f t="shared" si="3"/>
        <v>2.7199999999999998E-2</v>
      </c>
      <c r="D35" s="41">
        <f t="shared" si="4"/>
        <v>68</v>
      </c>
      <c r="E35" s="43">
        <f>D24</f>
        <v>2500</v>
      </c>
      <c r="F35" s="40">
        <f t="shared" si="5"/>
        <v>0</v>
      </c>
      <c r="G35" s="41">
        <f>E35*F35</f>
        <v>0</v>
      </c>
      <c r="H35" s="41">
        <f>G35-D35</f>
        <v>-68</v>
      </c>
      <c r="I35" s="42">
        <f>IF(ISERROR(H35/D35),0,H35/D35)</f>
        <v>-1</v>
      </c>
      <c r="J35" s="62">
        <f t="shared" si="1"/>
        <v>0</v>
      </c>
    </row>
    <row r="36" spans="1:10" x14ac:dyDescent="0.2">
      <c r="A36" s="61" t="str">
        <f t="shared" si="2"/>
        <v>Rate Rider for Deferral/Variance Account Disposition - effective until May 31, 2013</v>
      </c>
      <c r="B36" s="43">
        <f>D24</f>
        <v>2500</v>
      </c>
      <c r="C36" s="40">
        <f t="shared" si="3"/>
        <v>2.2664</v>
      </c>
      <c r="D36" s="41">
        <f t="shared" si="4"/>
        <v>5666</v>
      </c>
      <c r="E36" s="43">
        <f>D24</f>
        <v>2500</v>
      </c>
      <c r="F36" s="40">
        <f t="shared" si="5"/>
        <v>2.2664</v>
      </c>
      <c r="G36" s="41">
        <f t="shared" si="6"/>
        <v>5666</v>
      </c>
      <c r="H36" s="41">
        <f t="shared" si="0"/>
        <v>0</v>
      </c>
      <c r="I36" s="42">
        <f t="shared" si="7"/>
        <v>0</v>
      </c>
      <c r="J36" s="62">
        <f t="shared" si="1"/>
        <v>3.7416384551826762E-2</v>
      </c>
    </row>
    <row r="37" spans="1:10" x14ac:dyDescent="0.2">
      <c r="A37" s="61" t="str">
        <f t="shared" si="2"/>
        <v>Rate Rider for Deferral/Variance Account Disposition - effective until May 31, 2013</v>
      </c>
      <c r="B37" s="43">
        <f>D24</f>
        <v>2500</v>
      </c>
      <c r="C37" s="40">
        <f t="shared" si="3"/>
        <v>-2.8218999999999999</v>
      </c>
      <c r="D37" s="41">
        <f t="shared" si="4"/>
        <v>-7054.75</v>
      </c>
      <c r="E37" s="43">
        <f>D24</f>
        <v>2500</v>
      </c>
      <c r="F37" s="40">
        <f t="shared" si="5"/>
        <v>-2.8218999999999999</v>
      </c>
      <c r="G37" s="41">
        <f>E37*F37</f>
        <v>-7054.75</v>
      </c>
      <c r="H37" s="41">
        <f>G37-D37</f>
        <v>0</v>
      </c>
      <c r="I37" s="42">
        <f>IF(ISERROR(H37/D37),0,H37/D37)</f>
        <v>0</v>
      </c>
      <c r="J37" s="62">
        <f t="shared" si="1"/>
        <v>-4.6587228894634632E-2</v>
      </c>
    </row>
    <row r="38" spans="1:10" x14ac:dyDescent="0.2">
      <c r="A38" s="61" t="str">
        <f>A10</f>
        <v>Rate Rider for Deferral/Variance Account Disposition (2012) - effective until December 31, 2013</v>
      </c>
      <c r="B38" s="43">
        <f>D24</f>
        <v>2500</v>
      </c>
      <c r="C38" s="40">
        <f>C10</f>
        <v>0</v>
      </c>
      <c r="D38" s="41">
        <f t="shared" si="4"/>
        <v>0</v>
      </c>
      <c r="E38" s="43">
        <f>D24</f>
        <v>2500</v>
      </c>
      <c r="F38" s="40">
        <f>D10</f>
        <v>0.1096</v>
      </c>
      <c r="G38" s="41">
        <f>E38*F38</f>
        <v>274</v>
      </c>
      <c r="H38" s="41">
        <f>G38-D38</f>
        <v>274</v>
      </c>
      <c r="I38" s="42">
        <f>IF(ISERROR(H38/D38),0,H38/D38)</f>
        <v>0</v>
      </c>
      <c r="J38" s="62">
        <f t="shared" si="1"/>
        <v>1.8094051124603833E-3</v>
      </c>
    </row>
    <row r="39" spans="1:10" x14ac:dyDescent="0.2">
      <c r="A39" s="61" t="str">
        <f>A11</f>
        <v>Rate Rider for Global Adjustment Sub-Account Disposition (2012) - effective until December 31, 2013</v>
      </c>
      <c r="B39" s="43">
        <f>D24</f>
        <v>2500</v>
      </c>
      <c r="C39" s="40">
        <f>C11</f>
        <v>0</v>
      </c>
      <c r="D39" s="41">
        <f t="shared" si="4"/>
        <v>0</v>
      </c>
      <c r="E39" s="43">
        <f>D24</f>
        <v>2500</v>
      </c>
      <c r="F39" s="40">
        <f>D11</f>
        <v>0</v>
      </c>
      <c r="G39" s="41">
        <f>E39*F39</f>
        <v>0</v>
      </c>
      <c r="H39" s="41">
        <f>G39-D39</f>
        <v>0</v>
      </c>
      <c r="I39" s="42">
        <f>IF(ISERROR(H39/D39),0,H39/D39)</f>
        <v>0</v>
      </c>
      <c r="J39" s="62">
        <f t="shared" si="1"/>
        <v>0</v>
      </c>
    </row>
    <row r="40" spans="1:10" x14ac:dyDescent="0.2">
      <c r="A40" s="61" t="str">
        <f>A12</f>
        <v>Rate Rider for PILs - effective until December 31, 2013</v>
      </c>
      <c r="B40" s="43">
        <f>D24</f>
        <v>2500</v>
      </c>
      <c r="C40" s="40">
        <f>C12</f>
        <v>0</v>
      </c>
      <c r="D40" s="41">
        <f t="shared" si="4"/>
        <v>0</v>
      </c>
      <c r="E40" s="43">
        <f>D24</f>
        <v>2500</v>
      </c>
      <c r="F40" s="40">
        <f>D12</f>
        <v>0</v>
      </c>
      <c r="G40" s="41">
        <f>E40*F40</f>
        <v>0</v>
      </c>
      <c r="H40" s="41">
        <f>G40-D40</f>
        <v>0</v>
      </c>
      <c r="I40" s="42">
        <f>IF(ISERROR(H40/D40),0,H40/D40)</f>
        <v>0</v>
      </c>
      <c r="J40" s="62">
        <f t="shared" si="1"/>
        <v>0</v>
      </c>
    </row>
    <row r="41" spans="1:10" ht="12.75" thickBot="1" x14ac:dyDescent="0.25">
      <c r="A41" s="61" t="str">
        <f t="shared" ref="A41" si="8">A13</f>
        <v>Rate Rider for Tax Changes - effective until December 31, 2012</v>
      </c>
      <c r="B41" s="43">
        <f>D24</f>
        <v>2500</v>
      </c>
      <c r="C41" s="40">
        <f t="shared" ref="C41" si="9">C13</f>
        <v>-2.7300000000000001E-2</v>
      </c>
      <c r="D41" s="41">
        <f t="shared" si="4"/>
        <v>-68.25</v>
      </c>
      <c r="E41" s="43">
        <f>D24</f>
        <v>2500</v>
      </c>
      <c r="F41" s="40">
        <f t="shared" ref="F41" si="10">D13</f>
        <v>-0.02</v>
      </c>
      <c r="G41" s="41">
        <f t="shared" si="6"/>
        <v>-50</v>
      </c>
      <c r="H41" s="41">
        <f t="shared" si="0"/>
        <v>18.25</v>
      </c>
      <c r="I41" s="42">
        <f t="shared" si="7"/>
        <v>-0.26739926739926739</v>
      </c>
      <c r="J41" s="62">
        <f t="shared" si="1"/>
        <v>-3.301834146825517E-4</v>
      </c>
    </row>
    <row r="42" spans="1:10" ht="12.75" thickBot="1" x14ac:dyDescent="0.25">
      <c r="A42" s="73" t="s">
        <v>40</v>
      </c>
      <c r="B42" s="74"/>
      <c r="C42" s="75"/>
      <c r="D42" s="80">
        <f>SUM(D32:D41)</f>
        <v>5979.619999999999</v>
      </c>
      <c r="E42" s="75"/>
      <c r="F42" s="75"/>
      <c r="G42" s="76">
        <f>SUM(G32:G41)</f>
        <v>6551.869999999999</v>
      </c>
      <c r="H42" s="76">
        <f t="shared" si="0"/>
        <v>572.25</v>
      </c>
      <c r="I42" s="77">
        <f t="shared" si="7"/>
        <v>9.5700061207902865E-2</v>
      </c>
      <c r="J42" s="78">
        <f t="shared" si="1"/>
        <v>4.3266376183123394E-2</v>
      </c>
    </row>
    <row r="43" spans="1:10" x14ac:dyDescent="0.2">
      <c r="A43" s="69" t="str">
        <f>A16</f>
        <v>Retail Transmission Rate - Network Service Rate - Interval Meter &gt; 1,000 kW</v>
      </c>
      <c r="B43" s="44">
        <f>D24*Rates!D89</f>
        <v>2716</v>
      </c>
      <c r="C43" s="45">
        <f>C16</f>
        <v>2.8001</v>
      </c>
      <c r="D43" s="47">
        <f>B43*C43</f>
        <v>7605.0716000000002</v>
      </c>
      <c r="E43" s="44">
        <f>D24*H24</f>
        <v>2716</v>
      </c>
      <c r="F43" s="45">
        <f>D16</f>
        <v>2.6741999999999999</v>
      </c>
      <c r="G43" s="47">
        <f>E43*F43</f>
        <v>7263.1271999999999</v>
      </c>
      <c r="H43" s="47">
        <f t="shared" si="0"/>
        <v>-341.94440000000031</v>
      </c>
      <c r="I43" s="48">
        <f t="shared" si="7"/>
        <v>-4.496267990428917E-2</v>
      </c>
      <c r="J43" s="72">
        <f t="shared" si="1"/>
        <v>4.7963282803394416E-2</v>
      </c>
    </row>
    <row r="44" spans="1:10" ht="12.75" thickBot="1" x14ac:dyDescent="0.25">
      <c r="A44" s="63" t="str">
        <f>A17</f>
        <v>Retail Transmission Rate - Line and Transformation Connection Service Rate - Interval &gt; 1,000 kW</v>
      </c>
      <c r="B44" s="64">
        <f>D24*Rates!D89</f>
        <v>2716</v>
      </c>
      <c r="C44" s="65">
        <f>C17</f>
        <v>2.0003000000000002</v>
      </c>
      <c r="D44" s="66">
        <f>B44*C44</f>
        <v>5432.8148000000001</v>
      </c>
      <c r="E44" s="64">
        <f>D24*H24</f>
        <v>2716</v>
      </c>
      <c r="F44" s="65">
        <f>D17</f>
        <v>1.9558</v>
      </c>
      <c r="G44" s="66">
        <f>E44*F44</f>
        <v>5311.9528</v>
      </c>
      <c r="H44" s="66">
        <f t="shared" si="0"/>
        <v>-120.86200000000008</v>
      </c>
      <c r="I44" s="67">
        <f t="shared" si="7"/>
        <v>-2.2246663000549931E-2</v>
      </c>
      <c r="J44" s="68">
        <f t="shared" si="1"/>
        <v>3.5078374282730834E-2</v>
      </c>
    </row>
    <row r="45" spans="1:10" ht="12.75" thickBot="1" x14ac:dyDescent="0.25">
      <c r="A45" s="73" t="s">
        <v>32</v>
      </c>
      <c r="B45" s="74"/>
      <c r="C45" s="75"/>
      <c r="D45" s="76">
        <f>SUM(D43:D44)</f>
        <v>13037.886399999999</v>
      </c>
      <c r="E45" s="75"/>
      <c r="F45" s="75"/>
      <c r="G45" s="76">
        <f>SUM(G43:G44)</f>
        <v>12575.08</v>
      </c>
      <c r="H45" s="76">
        <f t="shared" si="0"/>
        <v>-462.80639999999948</v>
      </c>
      <c r="I45" s="77">
        <f t="shared" si="7"/>
        <v>-3.5497041913173863E-2</v>
      </c>
      <c r="J45" s="78">
        <f t="shared" si="1"/>
        <v>8.3041657086125251E-2</v>
      </c>
    </row>
    <row r="46" spans="1:10" ht="12.75" thickBot="1" x14ac:dyDescent="0.25">
      <c r="A46" s="81" t="s">
        <v>41</v>
      </c>
      <c r="B46" s="82"/>
      <c r="C46" s="83"/>
      <c r="D46" s="84">
        <f>D42+D45</f>
        <v>19017.506399999998</v>
      </c>
      <c r="E46" s="83"/>
      <c r="F46" s="83"/>
      <c r="G46" s="84">
        <f>G42+G45</f>
        <v>19126.949999999997</v>
      </c>
      <c r="H46" s="84">
        <f t="shared" si="0"/>
        <v>109.4435999999987</v>
      </c>
      <c r="I46" s="85">
        <f t="shared" si="7"/>
        <v>5.7548869813972402E-3</v>
      </c>
      <c r="J46" s="86">
        <f t="shared" si="1"/>
        <v>0.12630803326924864</v>
      </c>
    </row>
    <row r="47" spans="1:10" x14ac:dyDescent="0.2">
      <c r="A47" s="69" t="str">
        <f>A18</f>
        <v>Wholesale Market Service Rate</v>
      </c>
      <c r="B47" s="44">
        <f>B24*Rates!D89</f>
        <v>1195040</v>
      </c>
      <c r="C47" s="45">
        <f>C18</f>
        <v>5.1999999999999998E-3</v>
      </c>
      <c r="D47" s="47">
        <f>B47*C47</f>
        <v>6214.2079999999996</v>
      </c>
      <c r="E47" s="44">
        <f>B24*H24</f>
        <v>1195040</v>
      </c>
      <c r="F47" s="45">
        <f>D18</f>
        <v>5.1999999999999998E-3</v>
      </c>
      <c r="G47" s="47">
        <f>E47*F47</f>
        <v>6214.2079999999996</v>
      </c>
      <c r="H47" s="47">
        <f t="shared" si="0"/>
        <v>0</v>
      </c>
      <c r="I47" s="48">
        <f t="shared" si="7"/>
        <v>0</v>
      </c>
      <c r="J47" s="72">
        <f t="shared" si="1"/>
        <v>4.1036568339752603E-2</v>
      </c>
    </row>
    <row r="48" spans="1:10" x14ac:dyDescent="0.2">
      <c r="A48" s="61" t="str">
        <f>A19</f>
        <v>Rural Rate Protection Charge</v>
      </c>
      <c r="B48" s="39">
        <f>B24*Rates!D89</f>
        <v>1195040</v>
      </c>
      <c r="C48" s="40">
        <f>C19</f>
        <v>1.1000000000000001E-3</v>
      </c>
      <c r="D48" s="41">
        <f>B48*C48</f>
        <v>1314.5440000000001</v>
      </c>
      <c r="E48" s="39">
        <f>B24*H24</f>
        <v>1195040</v>
      </c>
      <c r="F48" s="40">
        <f>D19</f>
        <v>1.1000000000000001E-3</v>
      </c>
      <c r="G48" s="41">
        <f>E48*F48</f>
        <v>1314.5440000000001</v>
      </c>
      <c r="H48" s="41">
        <f t="shared" si="0"/>
        <v>0</v>
      </c>
      <c r="I48" s="42">
        <f t="shared" si="7"/>
        <v>0</v>
      </c>
      <c r="J48" s="62">
        <f t="shared" si="1"/>
        <v>8.6808125334092053E-3</v>
      </c>
    </row>
    <row r="49" spans="1:10" x14ac:dyDescent="0.2">
      <c r="A49" s="63" t="s">
        <v>45</v>
      </c>
      <c r="B49" s="64">
        <f>B24*Rates!D89</f>
        <v>1195040</v>
      </c>
      <c r="C49" s="65">
        <f>Rates!D40</f>
        <v>0</v>
      </c>
      <c r="D49" s="66">
        <f>B49*C49</f>
        <v>0</v>
      </c>
      <c r="E49" s="64">
        <f>B24*Rates!F89</f>
        <v>1195040</v>
      </c>
      <c r="F49" s="65">
        <f>Rates!F40</f>
        <v>0</v>
      </c>
      <c r="G49" s="66">
        <f>E49*F49</f>
        <v>0</v>
      </c>
      <c r="H49" s="41">
        <f>G49-D49</f>
        <v>0</v>
      </c>
      <c r="I49" s="42">
        <f>IF(ISERROR(H49/D49),0,H49/D49)</f>
        <v>0</v>
      </c>
      <c r="J49" s="62">
        <f t="shared" si="1"/>
        <v>0</v>
      </c>
    </row>
    <row r="50" spans="1:10" ht="12.75" thickBot="1" x14ac:dyDescent="0.25">
      <c r="A50" s="63" t="str">
        <f>A21</f>
        <v>Standard Supply Service - Administarive Charge (if applicable)</v>
      </c>
      <c r="B50" s="79">
        <f>B32</f>
        <v>1</v>
      </c>
      <c r="C50" s="66">
        <f>C21</f>
        <v>0.25</v>
      </c>
      <c r="D50" s="66">
        <f>B50*C50</f>
        <v>0.25</v>
      </c>
      <c r="E50" s="64">
        <f>B32</f>
        <v>1</v>
      </c>
      <c r="F50" s="66">
        <f>D21</f>
        <v>0.25</v>
      </c>
      <c r="G50" s="66">
        <f>E50*F50</f>
        <v>0.25</v>
      </c>
      <c r="H50" s="66">
        <f t="shared" si="0"/>
        <v>0</v>
      </c>
      <c r="I50" s="67">
        <f t="shared" si="7"/>
        <v>0</v>
      </c>
      <c r="J50" s="68">
        <f t="shared" si="1"/>
        <v>1.6509170734127585E-6</v>
      </c>
    </row>
    <row r="51" spans="1:10" ht="12.75" thickBot="1" x14ac:dyDescent="0.25">
      <c r="A51" s="73" t="s">
        <v>42</v>
      </c>
      <c r="B51" s="74"/>
      <c r="C51" s="75"/>
      <c r="D51" s="76">
        <f>SUM(D47:D50)</f>
        <v>7529.0019999999995</v>
      </c>
      <c r="E51" s="75"/>
      <c r="F51" s="75"/>
      <c r="G51" s="76">
        <f>SUM(G47:G50)</f>
        <v>7529.0019999999995</v>
      </c>
      <c r="H51" s="76">
        <f t="shared" si="0"/>
        <v>0</v>
      </c>
      <c r="I51" s="77">
        <f t="shared" si="7"/>
        <v>0</v>
      </c>
      <c r="J51" s="78">
        <f t="shared" si="1"/>
        <v>4.9719031790235221E-2</v>
      </c>
    </row>
    <row r="52" spans="1:10" ht="12.75" thickBot="1" x14ac:dyDescent="0.25">
      <c r="A52" s="87" t="s">
        <v>19</v>
      </c>
      <c r="B52" s="88">
        <f>B24</f>
        <v>1100000</v>
      </c>
      <c r="C52" s="89">
        <f>Rates!D83</f>
        <v>2E-3</v>
      </c>
      <c r="D52" s="90">
        <f>B52*C52</f>
        <v>2200</v>
      </c>
      <c r="E52" s="88">
        <f>B24</f>
        <v>1100000</v>
      </c>
      <c r="F52" s="89">
        <f>Rates!F83</f>
        <v>2E-3</v>
      </c>
      <c r="G52" s="90">
        <f>E52*F52</f>
        <v>2200</v>
      </c>
      <c r="H52" s="90">
        <f t="shared" si="0"/>
        <v>0</v>
      </c>
      <c r="I52" s="91">
        <f t="shared" si="7"/>
        <v>0</v>
      </c>
      <c r="J52" s="92">
        <f t="shared" si="1"/>
        <v>1.4528070246032275E-2</v>
      </c>
    </row>
    <row r="53" spans="1:10" ht="12.75" thickBot="1" x14ac:dyDescent="0.25">
      <c r="A53" s="73" t="s">
        <v>43</v>
      </c>
      <c r="B53" s="74"/>
      <c r="C53" s="75"/>
      <c r="D53" s="76">
        <f>D31+D46+D51+D52</f>
        <v>133900.27839999998</v>
      </c>
      <c r="E53" s="75"/>
      <c r="F53" s="75"/>
      <c r="G53" s="76">
        <f>G31+G46+G51+G52</f>
        <v>134009.72199999998</v>
      </c>
      <c r="H53" s="76">
        <f t="shared" si="0"/>
        <v>109.4435999999987</v>
      </c>
      <c r="I53" s="77">
        <f t="shared" si="7"/>
        <v>8.1735154928549211E-4</v>
      </c>
      <c r="J53" s="78">
        <f t="shared" si="1"/>
        <v>0.88495575221238931</v>
      </c>
    </row>
    <row r="54" spans="1:10" ht="12.75" thickBot="1" x14ac:dyDescent="0.25">
      <c r="A54" s="93" t="s">
        <v>46</v>
      </c>
      <c r="B54" s="94"/>
      <c r="C54" s="95">
        <f>Rates!D90</f>
        <v>0.13</v>
      </c>
      <c r="D54" s="90">
        <f>C54*D53</f>
        <v>17407.036192</v>
      </c>
      <c r="E54" s="96"/>
      <c r="F54" s="95">
        <f>Rates!F90</f>
        <v>0.13</v>
      </c>
      <c r="G54" s="90">
        <f>F54*G53</f>
        <v>17421.263859999999</v>
      </c>
      <c r="H54" s="90">
        <f t="shared" si="0"/>
        <v>14.227667999999539</v>
      </c>
      <c r="I54" s="91">
        <f t="shared" si="7"/>
        <v>8.173515492854753E-4</v>
      </c>
      <c r="J54" s="92">
        <f t="shared" si="1"/>
        <v>0.11504424778761062</v>
      </c>
    </row>
    <row r="55" spans="1:10" ht="12.75" thickBot="1" x14ac:dyDescent="0.25">
      <c r="A55" s="81" t="s">
        <v>33</v>
      </c>
      <c r="B55" s="82"/>
      <c r="C55" s="83"/>
      <c r="D55" s="104">
        <f>D53+D54</f>
        <v>151307.31459199998</v>
      </c>
      <c r="E55" s="83"/>
      <c r="F55" s="83"/>
      <c r="G55" s="104">
        <f>G53+G54</f>
        <v>151430.98585999999</v>
      </c>
      <c r="H55" s="104">
        <f t="shared" si="0"/>
        <v>123.67126800000551</v>
      </c>
      <c r="I55" s="85">
        <f t="shared" si="7"/>
        <v>8.1735154928553829E-4</v>
      </c>
      <c r="J55" s="86">
        <f t="shared" si="1"/>
        <v>1</v>
      </c>
    </row>
  </sheetData>
  <mergeCells count="4">
    <mergeCell ref="A27:A28"/>
    <mergeCell ref="B27:B28"/>
    <mergeCell ref="E27:E28"/>
    <mergeCell ref="H27:J27"/>
  </mergeCells>
  <phoneticPr fontId="2" type="noConversion"/>
  <pageMargins left="0.75" right="0.75" top="1" bottom="1" header="0.5" footer="0.5"/>
  <pageSetup scale="68" orientation="landscape" verticalDpi="1200" r:id="rId1"/>
  <headerFooter alignWithMargins="0">
    <oddHeader xml:space="preserve">&amp;C&amp;"Arial,Bold"&amp;16Electricity Distribution Impacts
Rates Effective January 1, 2013&amp;"Arial,Regular"&amp;10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4</vt:i4>
      </vt:variant>
    </vt:vector>
  </HeadingPairs>
  <TitlesOfParts>
    <vt:vector size="19" baseType="lpstr">
      <vt:lpstr>Cover</vt:lpstr>
      <vt:lpstr>Rates</vt:lpstr>
      <vt:lpstr>Residential R1 Impact</vt:lpstr>
      <vt:lpstr>Residential R1 Impact Non-RPP</vt:lpstr>
      <vt:lpstr>Residential R1 Impact (2)</vt:lpstr>
      <vt:lpstr>Resident R1 Impact (2) Non-RPP</vt:lpstr>
      <vt:lpstr>Residential R2 Impact</vt:lpstr>
      <vt:lpstr>Residential R2 Impact No-RPP</vt:lpstr>
      <vt:lpstr>Residential R2 Impact Interval</vt:lpstr>
      <vt:lpstr>Res R2 Impact Interval Non-RPP</vt:lpstr>
      <vt:lpstr>Seasonal Impact</vt:lpstr>
      <vt:lpstr>Seasonal Impact Non-RPP</vt:lpstr>
      <vt:lpstr>Street Light Impact</vt:lpstr>
      <vt:lpstr>Street Light Impact Non-RPP</vt:lpstr>
      <vt:lpstr>Summary</vt:lpstr>
      <vt:lpstr>'Seasonal Impact'!Print_Area</vt:lpstr>
      <vt:lpstr>'Seasonal Impact Non-RPP'!Print_Area</vt:lpstr>
      <vt:lpstr>'Street Light Impact'!Print_Area</vt:lpstr>
      <vt:lpstr>'Street Light Impact Non-RPP'!Print_Area</vt:lpstr>
    </vt:vector>
  </TitlesOfParts>
  <Company>FortisOntario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Bradbury, Doug</cp:lastModifiedBy>
  <cp:lastPrinted>2012-10-22T15:54:48Z</cp:lastPrinted>
  <dcterms:created xsi:type="dcterms:W3CDTF">2010-01-19T01:47:37Z</dcterms:created>
  <dcterms:modified xsi:type="dcterms:W3CDTF">2013-01-03T21:26:20Z</dcterms:modified>
</cp:coreProperties>
</file>