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8780" windowHeight="12060" firstSheet="1" activeTab="1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Allocated Revenues" sheetId="14" r:id="rId6"/>
    <sheet name="2013 Cost Allocation Design" sheetId="27" r:id="rId7"/>
    <sheet name="Smart Meter Recovery" sheetId="31" r:id="rId8"/>
    <sheet name="2013 RRRP Rate Design" sheetId="29" r:id="rId9"/>
    <sheet name="2012 Non-RRRP Rate Design" sheetId="30" r:id="rId10"/>
    <sheet name="Reconciliation" sheetId="26" r:id="rId11"/>
    <sheet name="Reconciliation (2)" sheetId="33" r:id="rId12"/>
  </sheets>
  <calcPr calcId="144525"/>
</workbook>
</file>

<file path=xl/calcChain.xml><?xml version="1.0" encoding="utf-8"?>
<calcChain xmlns="http://schemas.openxmlformats.org/spreadsheetml/2006/main">
  <c r="H16" i="31" l="1"/>
  <c r="G16" i="31"/>
  <c r="F16" i="31"/>
  <c r="E16" i="31"/>
  <c r="C16" i="31"/>
  <c r="I9" i="33"/>
  <c r="F12" i="33"/>
  <c r="F11" i="33"/>
  <c r="F9" i="33"/>
  <c r="D10" i="33"/>
  <c r="D9" i="33"/>
  <c r="C9" i="33"/>
  <c r="C10" i="33"/>
  <c r="J10" i="6"/>
  <c r="F10" i="33" s="1"/>
  <c r="I10" i="33" s="1"/>
  <c r="J9" i="6"/>
  <c r="I35" i="29"/>
  <c r="I28" i="29"/>
  <c r="G28" i="29"/>
  <c r="C6" i="31" l="1"/>
  <c r="C5" i="31"/>
  <c r="C4" i="31"/>
  <c r="C3" i="31"/>
  <c r="D8" i="33" l="1"/>
  <c r="C8" i="33"/>
  <c r="D7" i="33"/>
  <c r="D11" i="33" s="1"/>
  <c r="C7" i="33"/>
  <c r="C12" i="33" s="1"/>
  <c r="D6" i="33"/>
  <c r="C6" i="33"/>
  <c r="D5" i="33"/>
  <c r="C5" i="33"/>
  <c r="G24" i="30"/>
  <c r="I24" i="30" s="1"/>
  <c r="G17" i="30"/>
  <c r="I17" i="30" s="1"/>
  <c r="J19" i="6" s="1"/>
  <c r="H11" i="31"/>
  <c r="M8" i="30" s="1"/>
  <c r="G11" i="31"/>
  <c r="M7" i="30" s="1"/>
  <c r="F11" i="31"/>
  <c r="E11" i="31"/>
  <c r="C7" i="31"/>
  <c r="I11" i="33" l="1"/>
  <c r="C11" i="33"/>
  <c r="D12" i="33"/>
  <c r="J20" i="6"/>
  <c r="F10" i="31"/>
  <c r="M8" i="29" s="1"/>
  <c r="G10" i="31"/>
  <c r="H10" i="31"/>
  <c r="E10" i="31"/>
  <c r="M13" i="29"/>
  <c r="I17" i="29" s="1"/>
  <c r="E34" i="27"/>
  <c r="I33" i="27"/>
  <c r="I32" i="27"/>
  <c r="I31" i="27"/>
  <c r="I30" i="27"/>
  <c r="E40" i="14"/>
  <c r="I9" i="30" s="1"/>
  <c r="J23" i="6" s="1"/>
  <c r="E8" i="33" s="1"/>
  <c r="G8" i="33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E13" i="27"/>
  <c r="J13" i="27"/>
  <c r="E20" i="14"/>
  <c r="I23" i="14"/>
  <c r="J13" i="6"/>
  <c r="H8" i="29"/>
  <c r="I24" i="27"/>
  <c r="I23" i="27"/>
  <c r="I22" i="27"/>
  <c r="I21" i="27"/>
  <c r="E25" i="27"/>
  <c r="E8" i="27"/>
  <c r="C8" i="27"/>
  <c r="E7" i="27"/>
  <c r="C7" i="27"/>
  <c r="E6" i="27"/>
  <c r="C6" i="27"/>
  <c r="C9" i="27" s="1"/>
  <c r="E5" i="27"/>
  <c r="C5" i="27"/>
  <c r="C6" i="25"/>
  <c r="C10" i="25" s="1"/>
  <c r="D7" i="25" s="1"/>
  <c r="G7" i="25" s="1"/>
  <c r="C7" i="25"/>
  <c r="C8" i="25"/>
  <c r="C9" i="25"/>
  <c r="E6" i="25"/>
  <c r="F6" i="25" s="1"/>
  <c r="H6" i="25" s="1"/>
  <c r="E7" i="25"/>
  <c r="E8" i="25"/>
  <c r="E9" i="25"/>
  <c r="I16" i="25"/>
  <c r="I18" i="25"/>
  <c r="K18" i="25" s="1"/>
  <c r="I17" i="25"/>
  <c r="I15" i="27"/>
  <c r="I15" i="25"/>
  <c r="I13" i="27"/>
  <c r="E15" i="25"/>
  <c r="H8" i="14"/>
  <c r="H9" i="14"/>
  <c r="H10" i="14"/>
  <c r="H11" i="14"/>
  <c r="K16" i="25"/>
  <c r="I14" i="27"/>
  <c r="D17" i="29"/>
  <c r="K18" i="29" s="1"/>
  <c r="E16" i="29"/>
  <c r="F17" i="29"/>
  <c r="E10" i="25"/>
  <c r="F8" i="25" s="1"/>
  <c r="H8" i="25" s="1"/>
  <c r="E19" i="25"/>
  <c r="I12" i="33" l="1"/>
  <c r="E6" i="26"/>
  <c r="G6" i="26" s="1"/>
  <c r="E6" i="33"/>
  <c r="G6" i="33" s="1"/>
  <c r="C11" i="31"/>
  <c r="M7" i="29"/>
  <c r="I43" i="14"/>
  <c r="D5" i="27"/>
  <c r="D9" i="27" s="1"/>
  <c r="D7" i="27"/>
  <c r="G7" i="27" s="1"/>
  <c r="D8" i="27"/>
  <c r="G8" i="27" s="1"/>
  <c r="F7" i="25"/>
  <c r="F9" i="25"/>
  <c r="H9" i="25" s="1"/>
  <c r="I9" i="25" s="1"/>
  <c r="C18" i="25" s="1"/>
  <c r="D6" i="25"/>
  <c r="D9" i="25"/>
  <c r="G9" i="25" s="1"/>
  <c r="D6" i="27"/>
  <c r="G6" i="27" s="1"/>
  <c r="E9" i="27"/>
  <c r="I16" i="29"/>
  <c r="J7" i="6" s="1"/>
  <c r="E5" i="33" s="1"/>
  <c r="G5" i="33" s="1"/>
  <c r="J17" i="29"/>
  <c r="L17" i="29" s="1"/>
  <c r="J16" i="29"/>
  <c r="J8" i="6" s="1"/>
  <c r="F5" i="33" s="1"/>
  <c r="H5" i="33" s="1"/>
  <c r="K9" i="30"/>
  <c r="K16" i="29"/>
  <c r="K19" i="29" s="1"/>
  <c r="H7" i="25"/>
  <c r="I7" i="25" s="1"/>
  <c r="C16" i="25" s="1"/>
  <c r="F10" i="25"/>
  <c r="G6" i="25"/>
  <c r="I6" i="25" s="1"/>
  <c r="D10" i="25"/>
  <c r="K17" i="29"/>
  <c r="D8" i="25"/>
  <c r="G8" i="25" s="1"/>
  <c r="I8" i="25" s="1"/>
  <c r="C17" i="25" s="1"/>
  <c r="I16" i="27"/>
  <c r="E8" i="26"/>
  <c r="G8" i="26" s="1"/>
  <c r="L16" i="29" l="1"/>
  <c r="M16" i="29" s="1"/>
  <c r="F5" i="26"/>
  <c r="H5" i="26" s="1"/>
  <c r="I5" i="33"/>
  <c r="E5" i="26"/>
  <c r="G5" i="26" s="1"/>
  <c r="G5" i="27"/>
  <c r="F6" i="27"/>
  <c r="H6" i="27" s="1"/>
  <c r="F5" i="27"/>
  <c r="F8" i="27"/>
  <c r="H8" i="27" s="1"/>
  <c r="I8" i="27" s="1"/>
  <c r="I6" i="27"/>
  <c r="F7" i="27"/>
  <c r="H7" i="27" s="1"/>
  <c r="I7" i="27" s="1"/>
  <c r="C14" i="27"/>
  <c r="M17" i="29"/>
  <c r="G17" i="29" s="1"/>
  <c r="C15" i="27"/>
  <c r="C16" i="27"/>
  <c r="C15" i="25"/>
  <c r="I10" i="25"/>
  <c r="I5" i="26" l="1"/>
  <c r="H5" i="27"/>
  <c r="I5" i="27" s="1"/>
  <c r="I9" i="27" s="1"/>
  <c r="F9" i="27"/>
  <c r="G16" i="29"/>
  <c r="H16" i="29"/>
  <c r="C13" i="27"/>
  <c r="C19" i="25"/>
  <c r="D15" i="25" s="1"/>
  <c r="L18" i="29"/>
  <c r="H17" i="29"/>
  <c r="J18" i="29" l="1"/>
  <c r="J14" i="6" s="1"/>
  <c r="F6" i="33" s="1"/>
  <c r="H6" i="33" s="1"/>
  <c r="M18" i="29"/>
  <c r="H18" i="29" s="1"/>
  <c r="L19" i="29"/>
  <c r="D13" i="27"/>
  <c r="F16" i="25"/>
  <c r="F17" i="25"/>
  <c r="F18" i="25"/>
  <c r="F15" i="25"/>
  <c r="D16" i="25"/>
  <c r="D14" i="27" s="1"/>
  <c r="D17" i="25"/>
  <c r="D15" i="27" s="1"/>
  <c r="D18" i="25"/>
  <c r="D16" i="27" s="1"/>
  <c r="C17" i="27"/>
  <c r="I6" i="33" l="1"/>
  <c r="F13" i="27"/>
  <c r="F19" i="25"/>
  <c r="H15" i="25"/>
  <c r="H13" i="27" s="1"/>
  <c r="M8" i="14"/>
  <c r="G15" i="25"/>
  <c r="G13" i="27" s="1"/>
  <c r="M10" i="14"/>
  <c r="H17" i="25"/>
  <c r="H15" i="27" s="1"/>
  <c r="G17" i="25"/>
  <c r="G15" i="27" s="1"/>
  <c r="F15" i="27"/>
  <c r="F16" i="27"/>
  <c r="M11" i="14"/>
  <c r="G18" i="25"/>
  <c r="G16" i="27" s="1"/>
  <c r="H18" i="25"/>
  <c r="G16" i="25"/>
  <c r="G14" i="27" s="1"/>
  <c r="H16" i="25"/>
  <c r="F14" i="27"/>
  <c r="M9" i="14"/>
  <c r="G18" i="29"/>
  <c r="M19" i="29"/>
  <c r="F6" i="26"/>
  <c r="H6" i="26" s="1"/>
  <c r="D19" i="25"/>
  <c r="D17" i="27"/>
  <c r="I6" i="26" l="1"/>
  <c r="K9" i="14"/>
  <c r="I9" i="14" s="1"/>
  <c r="I29" i="14" s="1"/>
  <c r="L9" i="14"/>
  <c r="J9" i="14" s="1"/>
  <c r="J29" i="14" s="1"/>
  <c r="H14" i="27"/>
  <c r="H16" i="27"/>
  <c r="K11" i="14"/>
  <c r="I11" i="14" s="1"/>
  <c r="I31" i="14" s="1"/>
  <c r="I51" i="14" s="1"/>
  <c r="K51" i="14" s="1"/>
  <c r="L11" i="14"/>
  <c r="J11" i="14" s="1"/>
  <c r="J31" i="14" s="1"/>
  <c r="K10" i="14"/>
  <c r="I10" i="14" s="1"/>
  <c r="I30" i="14" s="1"/>
  <c r="L10" i="14"/>
  <c r="J10" i="14" s="1"/>
  <c r="J30" i="14" s="1"/>
  <c r="K8" i="14"/>
  <c r="L8" i="14"/>
  <c r="M12" i="14"/>
  <c r="F17" i="27"/>
  <c r="L31" i="14" l="1"/>
  <c r="J51" i="14"/>
  <c r="L51" i="14" s="1"/>
  <c r="M51" i="14" s="1"/>
  <c r="G51" i="14" s="1"/>
  <c r="H51" i="14" s="1"/>
  <c r="K30" i="14"/>
  <c r="I50" i="14"/>
  <c r="K50" i="14" s="1"/>
  <c r="K29" i="14"/>
  <c r="M29" i="14" s="1"/>
  <c r="G29" i="14" s="1"/>
  <c r="H29" i="14" s="1"/>
  <c r="I49" i="14"/>
  <c r="K49" i="14" s="1"/>
  <c r="L29" i="14"/>
  <c r="J49" i="14"/>
  <c r="L49" i="14" s="1"/>
  <c r="L30" i="14"/>
  <c r="M30" i="14" s="1"/>
  <c r="G30" i="14" s="1"/>
  <c r="H30" i="14" s="1"/>
  <c r="J50" i="14"/>
  <c r="L50" i="14" s="1"/>
  <c r="J8" i="14"/>
  <c r="J28" i="14" s="1"/>
  <c r="L12" i="14"/>
  <c r="K12" i="14"/>
  <c r="I8" i="14"/>
  <c r="I28" i="14" s="1"/>
  <c r="K31" i="14"/>
  <c r="I8" i="30"/>
  <c r="K28" i="14" l="1"/>
  <c r="I48" i="14"/>
  <c r="K48" i="14" s="1"/>
  <c r="M50" i="14"/>
  <c r="G50" i="14" s="1"/>
  <c r="H50" i="14" s="1"/>
  <c r="L28" i="14"/>
  <c r="L32" i="14" s="1"/>
  <c r="J48" i="14"/>
  <c r="L48" i="14" s="1"/>
  <c r="L52" i="14" s="1"/>
  <c r="M49" i="14"/>
  <c r="G49" i="14" s="1"/>
  <c r="H49" i="14" s="1"/>
  <c r="M31" i="14"/>
  <c r="G31" i="14" s="1"/>
  <c r="G28" i="14" l="1"/>
  <c r="H28" i="14" s="1"/>
  <c r="K32" i="14"/>
  <c r="M28" i="14"/>
  <c r="K52" i="14"/>
  <c r="M48" i="14"/>
  <c r="M52" i="14" s="1"/>
  <c r="C34" i="27" s="1"/>
  <c r="H31" i="14"/>
  <c r="H8" i="30" s="1"/>
  <c r="G8" i="30"/>
  <c r="M32" i="14"/>
  <c r="C25" i="27" s="1"/>
  <c r="G48" i="14" l="1"/>
  <c r="H48" i="14" s="1"/>
  <c r="F32" i="27"/>
  <c r="F30" i="27"/>
  <c r="F33" i="27"/>
  <c r="F31" i="27"/>
  <c r="C33" i="27"/>
  <c r="D33" i="27" s="1"/>
  <c r="C31" i="27"/>
  <c r="D31" i="27" s="1"/>
  <c r="C32" i="27"/>
  <c r="D32" i="27" s="1"/>
  <c r="C30" i="27"/>
  <c r="D30" i="27" s="1"/>
  <c r="F23" i="27"/>
  <c r="F22" i="27"/>
  <c r="F21" i="27"/>
  <c r="F24" i="27"/>
  <c r="C24" i="27"/>
  <c r="D24" i="27" s="1"/>
  <c r="C23" i="27"/>
  <c r="D23" i="27" s="1"/>
  <c r="C22" i="27"/>
  <c r="D22" i="27" s="1"/>
  <c r="C21" i="27"/>
  <c r="D21" i="27" s="1"/>
  <c r="D25" i="27" l="1"/>
  <c r="D34" i="27"/>
  <c r="H31" i="27"/>
  <c r="G31" i="27"/>
  <c r="H33" i="27"/>
  <c r="G33" i="27"/>
  <c r="F34" i="27"/>
  <c r="H30" i="27"/>
  <c r="G30" i="27"/>
  <c r="H32" i="27"/>
  <c r="G32" i="27"/>
  <c r="G24" i="27"/>
  <c r="H24" i="27"/>
  <c r="G22" i="27"/>
  <c r="H22" i="27"/>
  <c r="F25" i="27"/>
  <c r="G21" i="27"/>
  <c r="H21" i="27"/>
  <c r="G23" i="27"/>
  <c r="H23" i="27"/>
  <c r="L7" i="29" l="1"/>
  <c r="M9" i="29"/>
  <c r="M21" i="29" s="1"/>
  <c r="J26" i="6" s="1"/>
  <c r="K7" i="29"/>
  <c r="L7" i="30"/>
  <c r="K7" i="30"/>
  <c r="K8" i="29"/>
  <c r="I8" i="29" s="1"/>
  <c r="L8" i="29"/>
  <c r="J8" i="29" s="1"/>
  <c r="L9" i="30"/>
  <c r="K8" i="30"/>
  <c r="L8" i="30"/>
  <c r="J8" i="30" s="1"/>
  <c r="J9" i="26" l="1"/>
  <c r="J13" i="33"/>
  <c r="I7" i="30"/>
  <c r="J17" i="6" s="1"/>
  <c r="E7" i="33" s="1"/>
  <c r="G7" i="33" s="1"/>
  <c r="K10" i="30"/>
  <c r="J9" i="30"/>
  <c r="J24" i="6" s="1"/>
  <c r="F8" i="33" s="1"/>
  <c r="H8" i="33" s="1"/>
  <c r="I8" i="33" s="1"/>
  <c r="M9" i="30"/>
  <c r="J7" i="30"/>
  <c r="J18" i="6" s="1"/>
  <c r="F7" i="33" s="1"/>
  <c r="H7" i="33" s="1"/>
  <c r="L10" i="30"/>
  <c r="I7" i="29"/>
  <c r="K9" i="29"/>
  <c r="J7" i="29"/>
  <c r="L9" i="29"/>
  <c r="I7" i="33" l="1"/>
  <c r="I13" i="33" s="1"/>
  <c r="K13" i="33" s="1"/>
  <c r="K15" i="33" s="1"/>
  <c r="G13" i="33"/>
  <c r="H13" i="33"/>
  <c r="F7" i="26"/>
  <c r="H7" i="26" s="1"/>
  <c r="G9" i="30"/>
  <c r="M10" i="30"/>
  <c r="F8" i="26"/>
  <c r="H8" i="26" s="1"/>
  <c r="I8" i="26" s="1"/>
  <c r="E7" i="26"/>
  <c r="G7" i="26" s="1"/>
  <c r="G9" i="26" s="1"/>
  <c r="H9" i="30"/>
  <c r="H9" i="26" l="1"/>
  <c r="I7" i="26"/>
  <c r="I9" i="26" s="1"/>
  <c r="K9" i="26" l="1"/>
  <c r="K11" i="26" s="1"/>
</calcChain>
</file>

<file path=xl/sharedStrings.xml><?xml version="1.0" encoding="utf-8"?>
<sst xmlns="http://schemas.openxmlformats.org/spreadsheetml/2006/main" count="543" uniqueCount="216">
  <si>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</si>
  <si>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</si>
  <si>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</si>
  <si>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</si>
  <si>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</si>
  <si>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</si>
  <si>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</si>
  <si>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</si>
  <si>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</si>
  <si>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</si>
  <si>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</si>
  <si>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</si>
  <si>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</si>
  <si>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</si>
  <si>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</si>
  <si>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</si>
  <si>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</si>
  <si>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</si>
  <si>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</si>
  <si>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</si>
  <si>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</si>
  <si>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</si>
  <si>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</si>
  <si>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</si>
  <si>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</si>
  <si>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</si>
  <si>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</si>
  <si>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</si>
  <si>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</si>
  <si>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</si>
  <si>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</si>
  <si>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</si>
  <si>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</si>
  <si>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</si>
  <si>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</si>
  <si>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</si>
  <si>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</si>
  <si>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</si>
  <si>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</si>
  <si>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</si>
  <si>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</si>
  <si>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</si>
  <si>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</si>
  <si>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</si>
  <si>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</si>
  <si>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</si>
  <si>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</si>
  <si>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</si>
  <si>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</si>
  <si>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</si>
  <si>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</si>
  <si>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</si>
  <si>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</si>
  <si>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</si>
  <si>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</si>
  <si>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</si>
  <si>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</si>
  <si>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</si>
  <si>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</si>
  <si>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</si>
  <si>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</si>
  <si>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</si>
  <si>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</si>
  <si>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</si>
  <si>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</si>
  <si>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</si>
  <si>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</si>
  <si>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</si>
  <si>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</si>
  <si>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</si>
  <si>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</si>
  <si>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</si>
  <si>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</si>
  <si>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</si>
  <si>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</si>
  <si>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</si>
  <si>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</si>
  <si>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</si>
  <si>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</si>
  <si>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</si>
  <si>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</si>
  <si>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</si>
  <si>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</si>
  <si>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</si>
  <si>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</si>
  <si>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</si>
  <si>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</si>
  <si>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</si>
  <si>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</si>
  <si>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</si>
  <si>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</si>
  <si>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</si>
  <si>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</si>
  <si>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</si>
  <si>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</si>
  <si>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</si>
  <si>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</si>
  <si>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</si>
  <si>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</si>
  <si>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</si>
  <si>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</si>
  <si>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</si>
  <si>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</si>
  <si>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</si>
  <si>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</si>
  <si>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</si>
  <si>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</si>
  <si>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</si>
  <si>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</si>
  <si>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</si>
  <si>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</si>
  <si>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</si>
  <si>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</si>
  <si>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</si>
  <si>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</si>
  <si>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</si>
  <si>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</si>
  <si>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</si>
  <si>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</si>
  <si>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</si>
  <si>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</si>
  <si>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</si>
  <si>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</si>
  <si>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</si>
  <si>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</si>
  <si>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</si>
  <si>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</si>
  <si>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</si>
  <si>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</si>
  <si>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</si>
  <si>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</si>
  <si>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</si>
  <si>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</si>
  <si>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</si>
  <si>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</si>
  <si>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</si>
  <si>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Revenue Requirement Input Does Not Equal Output</t>
  </si>
  <si>
    <t>Target R|C Ratio</t>
  </si>
  <si>
    <t>Hold Residential - R2 Fixed Charge at $596.12</t>
  </si>
  <si>
    <r>
      <t>Monthly Service Charge</t>
    </r>
    <r>
      <rPr>
        <vertAlign val="superscript"/>
        <sz val="10"/>
        <rFont val="Arial"/>
        <family val="2"/>
      </rPr>
      <t>1</t>
    </r>
  </si>
  <si>
    <t>Simple Average Increase in Delivery Charge for 2012 using the Board Determination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</si>
  <si>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</si>
  <si>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</si>
  <si>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</si>
  <si>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</si>
  <si>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</si>
  <si>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</si>
  <si>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</si>
  <si>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</si>
  <si>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</si>
  <si>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</si>
  <si>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</si>
  <si>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</si>
  <si>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</si>
  <si>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</si>
  <si>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</si>
  <si>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Proposed 2012 Base Distribution Rate Cost Allocation Design</t>
  </si>
  <si>
    <t>Board Approved 2011 Base Distribution Rate Cost Allcation Design</t>
  </si>
  <si>
    <t>2012 Forecasted Revenue @ 100% R|C</t>
  </si>
  <si>
    <t>Equivalent Distribution Rates</t>
  </si>
  <si>
    <t>Price Cap Index (calculated)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</si>
  <si>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</si>
  <si>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</si>
  <si>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</si>
  <si>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</si>
  <si>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</si>
  <si>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2013 IR Electricity Distribution Rate Proposal</t>
  </si>
  <si>
    <t>Board Approved 2012 Incentive Regulation Price Cap Metrics</t>
  </si>
  <si>
    <t>Board Approved 2012 Application of Incentive Regulation Price Cap to Equivalent Distribution Rates</t>
  </si>
  <si>
    <t>Proposed 2013 Incentive Regulation Price Cap Metrics</t>
  </si>
  <si>
    <t>Proposed 2013 Application of Incentive Regulation Price Cap to Equivalent Distribution Rates</t>
  </si>
  <si>
    <t>Proposed 2013 Base Distribution Rate Cost Allocation Design</t>
  </si>
  <si>
    <t>Determination of Residential R1 &amp; R2 2013 Distribution Rates and RRRP Funding</t>
  </si>
  <si>
    <t>2013 Distribution Base Rate Determination</t>
  </si>
  <si>
    <t>2013 Application of Rate Indexing Methodology</t>
  </si>
  <si>
    <t>EB-2011-0278</t>
  </si>
  <si>
    <t>Eff. January 1, 2012</t>
  </si>
  <si>
    <t>2013 IR</t>
  </si>
  <si>
    <t>Proposed January 1, 2013</t>
  </si>
  <si>
    <t>EB-2012-0104</t>
  </si>
  <si>
    <t>The Rural and Remote Rate Protection Amount Required for 2013</t>
  </si>
  <si>
    <t>Balanced?</t>
  </si>
  <si>
    <t>2013 Monthly Service Charge</t>
  </si>
  <si>
    <t>2013 Volumetric Distribution Charge</t>
  </si>
  <si>
    <t>2013 Monthly Service Charge Revenue</t>
  </si>
  <si>
    <t>2013 Volumetric Distribution Revenue</t>
  </si>
  <si>
    <t>RRRP Adjustment Factor (estimated)</t>
  </si>
  <si>
    <t>2013 Forecasted Revenue @ 100% R|C</t>
  </si>
  <si>
    <t>2013 Proposed Methodology with Smart Meter Recovery, EB-2012-0104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</si>
  <si>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</si>
  <si>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</si>
  <si>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</si>
  <si>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</si>
  <si>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</si>
  <si>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</si>
  <si>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</si>
  <si>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</si>
  <si>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</si>
  <si>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</si>
  <si>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</si>
  <si>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Recovery Amount</t>
  </si>
  <si>
    <t>Rate Rider</t>
  </si>
  <si>
    <t>Per kWh</t>
  </si>
  <si>
    <t>2013 Smart Meter Recovery Rate Rider Determination</t>
  </si>
  <si>
    <t>Proposed 2013 RRRP</t>
  </si>
  <si>
    <t>Seasonal - Net Deferred Revenue Requirement Rate Rider</t>
  </si>
  <si>
    <t>n/a</t>
  </si>
  <si>
    <t>Seasonal - Incremental Revenue Requirement Rate Rider</t>
  </si>
  <si>
    <t>Smart Meter Cost Recovery Rate Rider - Net Deferred Revenue Requirement, effective until December 31, 2013</t>
  </si>
  <si>
    <t>Smart Meter Cost Recovery Rate Rider - Incremental Revenue Requirement, effective until December 31, 2013</t>
  </si>
  <si>
    <t>Reconciliation of Proposed Distribution Revenue with Price Cap &amp; Rate Riders</t>
  </si>
  <si>
    <t>January 3, 2013</t>
  </si>
  <si>
    <t>Allocation</t>
  </si>
  <si>
    <t>Residential - R1 - Net Deferred Revenue Requirement Rate Rider</t>
  </si>
  <si>
    <t>Residential - R1 - Incremental Revenue Requirement Rate Rider</t>
  </si>
  <si>
    <t>Board Staff Interrogatory Response 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</si>
</sst>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</numFmts>
  <fonts count="27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2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4" fillId="9" borderId="33" xfId="3" applyNumberFormat="1" applyFont="1" applyFill="1" applyBorder="1"/>
    <xf numFmtId="10" fontId="24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174" fontId="0" fillId="0" borderId="0" xfId="1" applyNumberFormat="1" applyFont="1"/>
    <xf numFmtId="174" fontId="0" fillId="0" borderId="0" xfId="0" applyNumberFormat="1"/>
    <xf numFmtId="0" fontId="14" fillId="0" borderId="0" xfId="0" applyFont="1" applyBorder="1" applyAlignment="1">
      <alignment horizontal="center" vertical="center" wrapText="1"/>
    </xf>
    <xf numFmtId="168" fontId="1" fillId="0" borderId="0" xfId="1" applyNumberFormat="1" applyBorder="1" applyAlignment="1">
      <alignment horizontal="center"/>
    </xf>
    <xf numFmtId="168" fontId="0" fillId="0" borderId="13" xfId="0" applyNumberFormat="1" applyBorder="1" applyAlignment="1">
      <alignment vertical="center"/>
    </xf>
    <xf numFmtId="168" fontId="0" fillId="0" borderId="13" xfId="1" applyNumberFormat="1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/>
    <xf numFmtId="168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0" fontId="0" fillId="0" borderId="13" xfId="1" applyNumberFormat="1" applyFont="1" applyBorder="1" applyAlignment="1">
      <alignment horizontal="center"/>
    </xf>
    <xf numFmtId="170" fontId="0" fillId="0" borderId="13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170" fontId="0" fillId="0" borderId="15" xfId="1" applyNumberFormat="1" applyFont="1" applyBorder="1" applyAlignment="1">
      <alignment vertical="center"/>
    </xf>
    <xf numFmtId="0" fontId="0" fillId="0" borderId="26" xfId="0" applyBorder="1" applyAlignment="1">
      <alignment horizontal="left" wrapText="1"/>
    </xf>
    <xf numFmtId="170" fontId="0" fillId="0" borderId="15" xfId="1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5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5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left" indent="1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0" fontId="14" fillId="0" borderId="13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168" fontId="1" fillId="0" borderId="22" xfId="1" applyNumberFormat="1" applyBorder="1" applyAlignment="1">
      <alignment horizontal="center"/>
    </xf>
    <xf numFmtId="168" fontId="1" fillId="0" borderId="23" xfId="1" applyNumberFormat="1" applyBorder="1" applyAlignment="1">
      <alignment horizontal="center"/>
    </xf>
    <xf numFmtId="170" fontId="1" fillId="0" borderId="22" xfId="1" applyNumberFormat="1" applyBorder="1" applyAlignment="1">
      <alignment horizontal="center"/>
    </xf>
    <xf numFmtId="170" fontId="1" fillId="0" borderId="23" xfId="1" applyNumberForma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workbookViewId="0">
      <selection activeCell="B26" sqref="B26:I26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9" t="s">
        <v>1</v>
      </c>
      <c r="C20" s="219"/>
      <c r="D20" s="219"/>
      <c r="E20" s="219"/>
      <c r="F20" s="219"/>
      <c r="G20" s="219"/>
      <c r="H20" s="219"/>
      <c r="I20" s="219"/>
    </row>
    <row r="21" spans="2:9" ht="33.75" x14ac:dyDescent="0.5">
      <c r="B21" s="219" t="s">
        <v>135</v>
      </c>
      <c r="C21" s="219"/>
      <c r="D21" s="219"/>
      <c r="E21" s="219"/>
      <c r="F21" s="219"/>
      <c r="G21" s="219"/>
      <c r="H21" s="219"/>
      <c r="I21" s="219"/>
    </row>
    <row r="23" spans="2:9" ht="33.75" x14ac:dyDescent="0.5">
      <c r="B23" s="219" t="s">
        <v>166</v>
      </c>
      <c r="C23" s="219"/>
      <c r="D23" s="219"/>
      <c r="E23" s="219"/>
      <c r="F23" s="219"/>
      <c r="G23" s="219"/>
      <c r="H23" s="219"/>
      <c r="I23" s="219"/>
    </row>
    <row r="24" spans="2:9" ht="33.75" x14ac:dyDescent="0.5">
      <c r="B24" s="219" t="s">
        <v>179</v>
      </c>
      <c r="C24" s="219"/>
      <c r="D24" s="219"/>
      <c r="E24" s="219"/>
      <c r="F24" s="219"/>
      <c r="G24" s="219"/>
      <c r="H24" s="219"/>
      <c r="I24" s="219"/>
    </row>
    <row r="25" spans="2:9" ht="33.75" x14ac:dyDescent="0.5">
      <c r="B25" s="219"/>
      <c r="C25" s="220"/>
      <c r="D25" s="220"/>
      <c r="E25" s="220"/>
      <c r="F25" s="220"/>
      <c r="G25" s="220"/>
      <c r="H25" s="220"/>
      <c r="I25" s="220"/>
    </row>
    <row r="26" spans="2:9" ht="33.75" x14ac:dyDescent="0.5">
      <c r="B26" s="218" t="s">
        <v>215</v>
      </c>
      <c r="C26" s="217"/>
      <c r="D26" s="217"/>
      <c r="E26" s="217"/>
      <c r="F26" s="217"/>
      <c r="G26" s="217"/>
      <c r="H26" s="217"/>
      <c r="I26" s="217"/>
    </row>
    <row r="27" spans="2:9" ht="33.75" x14ac:dyDescent="0.5">
      <c r="B27" s="217" t="s">
        <v>211</v>
      </c>
      <c r="C27" s="217"/>
      <c r="D27" s="217"/>
      <c r="E27" s="217"/>
      <c r="F27" s="217"/>
      <c r="G27" s="217"/>
      <c r="H27" s="217"/>
      <c r="I27" s="217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4"/>
  <sheetViews>
    <sheetView showGridLines="0" workbookViewId="0">
      <selection activeCell="I24" sqref="I24:J24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46" t="s">
        <v>146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4" spans="2:13" x14ac:dyDescent="0.2">
      <c r="B4" s="257" t="s">
        <v>173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2:13" x14ac:dyDescent="0.2">
      <c r="B5" s="261" t="s">
        <v>80</v>
      </c>
      <c r="C5" s="261" t="s">
        <v>81</v>
      </c>
      <c r="D5" s="262" t="s">
        <v>82</v>
      </c>
      <c r="E5" s="257" t="s">
        <v>83</v>
      </c>
      <c r="F5" s="257"/>
      <c r="G5" s="263" t="s">
        <v>93</v>
      </c>
      <c r="H5" s="264"/>
      <c r="I5" s="257" t="s">
        <v>91</v>
      </c>
      <c r="J5" s="257"/>
      <c r="K5" s="257" t="s">
        <v>84</v>
      </c>
      <c r="L5" s="257"/>
      <c r="M5" s="257"/>
    </row>
    <row r="6" spans="2:13" ht="38.25" x14ac:dyDescent="0.2">
      <c r="B6" s="261"/>
      <c r="C6" s="261"/>
      <c r="D6" s="262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26.380698214626005</v>
      </c>
      <c r="J7" s="159">
        <f>L7/E7</f>
        <v>0.10145557490890861</v>
      </c>
      <c r="K7" s="158">
        <f>G7*M7</f>
        <v>1158640.2655863741</v>
      </c>
      <c r="L7" s="158">
        <f>H7*M7</f>
        <v>1280602.3988059924</v>
      </c>
      <c r="M7" s="158">
        <f>'Smart Meter Recovery'!G11</f>
        <v>2439242.6643923665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0.17116713188102156</v>
      </c>
      <c r="K8" s="158">
        <f>G8*M8</f>
        <v>0</v>
      </c>
      <c r="L8" s="158">
        <f>H8*M8</f>
        <v>135563.68378124156</v>
      </c>
      <c r="M8" s="158">
        <f>'Smart Meter Recovery'!H11</f>
        <v>135563.68378124156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9.0184090687064303E-2</v>
      </c>
      <c r="H9" s="82">
        <f>L9/M9</f>
        <v>0.90981590931293566</v>
      </c>
      <c r="I9" s="111">
        <f>'Tariff Sheet'!F23*(1+'Allocated Revenues'!E40)</f>
        <v>0.96844799999999986</v>
      </c>
      <c r="J9" s="81">
        <f>L9/E8</f>
        <v>0.15573057973681881</v>
      </c>
      <c r="K9" s="80">
        <f>(I9*D8*12)</f>
        <v>12225.687551999998</v>
      </c>
      <c r="L9" s="80">
        <f>M8-K9</f>
        <v>123337.99622924156</v>
      </c>
      <c r="M9" s="76">
        <f>K9+L9</f>
        <v>135563.68378124156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1170865.953138374</v>
      </c>
      <c r="L10" s="78">
        <f>L7+L9</f>
        <v>1403940.395035234</v>
      </c>
      <c r="M10" s="78">
        <f>M7+M9</f>
        <v>2574806.3481736081</v>
      </c>
    </row>
    <row r="13" spans="2:13" x14ac:dyDescent="0.2">
      <c r="B13" s="263" t="s">
        <v>203</v>
      </c>
      <c r="C13" s="275"/>
      <c r="D13" s="275"/>
      <c r="E13" s="275"/>
      <c r="F13" s="275"/>
      <c r="G13" s="275"/>
      <c r="H13" s="275"/>
      <c r="I13" s="275"/>
      <c r="J13" s="264"/>
      <c r="K13" s="87"/>
      <c r="L13" s="87"/>
      <c r="M13" s="87"/>
    </row>
    <row r="14" spans="2:13" x14ac:dyDescent="0.2">
      <c r="B14" s="263" t="s">
        <v>197</v>
      </c>
      <c r="C14" s="275"/>
      <c r="D14" s="275"/>
      <c r="E14" s="275"/>
      <c r="F14" s="275"/>
      <c r="G14" s="275"/>
      <c r="H14" s="275"/>
      <c r="I14" s="275"/>
      <c r="J14" s="264"/>
      <c r="K14" s="87"/>
      <c r="L14" s="87"/>
      <c r="M14" s="87"/>
    </row>
    <row r="15" spans="2:13" x14ac:dyDescent="0.2">
      <c r="B15" s="261" t="s">
        <v>80</v>
      </c>
      <c r="C15" s="261" t="s">
        <v>81</v>
      </c>
      <c r="D15" s="262" t="s">
        <v>82</v>
      </c>
      <c r="E15" s="257" t="s">
        <v>83</v>
      </c>
      <c r="F15" s="257"/>
      <c r="G15" s="263" t="s">
        <v>200</v>
      </c>
      <c r="H15" s="264"/>
      <c r="I15" s="263" t="s">
        <v>201</v>
      </c>
      <c r="J15" s="264"/>
      <c r="K15" s="276"/>
      <c r="L15" s="276"/>
      <c r="M15" s="276"/>
    </row>
    <row r="16" spans="2:13" x14ac:dyDescent="0.2">
      <c r="B16" s="261"/>
      <c r="C16" s="261"/>
      <c r="D16" s="262"/>
      <c r="E16" s="175" t="s">
        <v>73</v>
      </c>
      <c r="F16" s="175" t="s">
        <v>72</v>
      </c>
      <c r="G16" s="241" t="s">
        <v>212</v>
      </c>
      <c r="H16" s="277"/>
      <c r="I16" s="241" t="s">
        <v>202</v>
      </c>
      <c r="J16" s="277"/>
      <c r="K16" s="180"/>
      <c r="L16" s="180"/>
      <c r="M16" s="180"/>
    </row>
    <row r="17" spans="2:13" x14ac:dyDescent="0.2">
      <c r="B17" s="70" t="s">
        <v>16</v>
      </c>
      <c r="C17" s="71" t="s">
        <v>73</v>
      </c>
      <c r="D17" s="72">
        <v>3660</v>
      </c>
      <c r="E17" s="80">
        <v>12622297</v>
      </c>
      <c r="F17" s="80"/>
      <c r="G17" s="278">
        <f>'Smart Meter Recovery'!G13</f>
        <v>518934</v>
      </c>
      <c r="H17" s="279"/>
      <c r="I17" s="280">
        <f>G17/E17</f>
        <v>4.1112485310716422E-2</v>
      </c>
      <c r="J17" s="281"/>
      <c r="K17" s="181"/>
      <c r="L17" s="181"/>
      <c r="M17" s="181"/>
    </row>
    <row r="20" spans="2:13" x14ac:dyDescent="0.2">
      <c r="B20" s="263" t="s">
        <v>203</v>
      </c>
      <c r="C20" s="275"/>
      <c r="D20" s="275"/>
      <c r="E20" s="275"/>
      <c r="F20" s="275"/>
      <c r="G20" s="275"/>
      <c r="H20" s="275"/>
      <c r="I20" s="275"/>
      <c r="J20" s="264"/>
    </row>
    <row r="21" spans="2:13" x14ac:dyDescent="0.2">
      <c r="B21" s="263" t="s">
        <v>198</v>
      </c>
      <c r="C21" s="275"/>
      <c r="D21" s="275"/>
      <c r="E21" s="275"/>
      <c r="F21" s="275"/>
      <c r="G21" s="275"/>
      <c r="H21" s="275"/>
      <c r="I21" s="275"/>
      <c r="J21" s="264"/>
    </row>
    <row r="22" spans="2:13" x14ac:dyDescent="0.2">
      <c r="B22" s="261" t="s">
        <v>80</v>
      </c>
      <c r="C22" s="261" t="s">
        <v>81</v>
      </c>
      <c r="D22" s="262" t="s">
        <v>82</v>
      </c>
      <c r="E22" s="257" t="s">
        <v>83</v>
      </c>
      <c r="F22" s="257"/>
      <c r="G22" s="263" t="s">
        <v>200</v>
      </c>
      <c r="H22" s="264"/>
      <c r="I22" s="263" t="s">
        <v>201</v>
      </c>
      <c r="J22" s="264"/>
    </row>
    <row r="23" spans="2:13" x14ac:dyDescent="0.2">
      <c r="B23" s="261"/>
      <c r="C23" s="261"/>
      <c r="D23" s="262"/>
      <c r="E23" s="175" t="s">
        <v>73</v>
      </c>
      <c r="F23" s="175" t="s">
        <v>72</v>
      </c>
      <c r="G23" s="241" t="s">
        <v>212</v>
      </c>
      <c r="H23" s="277"/>
      <c r="I23" s="241" t="s">
        <v>202</v>
      </c>
      <c r="J23" s="277"/>
    </row>
    <row r="24" spans="2:13" x14ac:dyDescent="0.2">
      <c r="B24" s="70" t="s">
        <v>16</v>
      </c>
      <c r="C24" s="71" t="s">
        <v>73</v>
      </c>
      <c r="D24" s="72">
        <v>3660</v>
      </c>
      <c r="E24" s="80">
        <v>12622297</v>
      </c>
      <c r="F24" s="80"/>
      <c r="G24" s="278">
        <f>'Smart Meter Recovery'!G14</f>
        <v>219361</v>
      </c>
      <c r="H24" s="279"/>
      <c r="I24" s="280">
        <f>G24/E24</f>
        <v>1.7378849507344026E-2</v>
      </c>
      <c r="J24" s="281"/>
    </row>
  </sheetData>
  <mergeCells count="34">
    <mergeCell ref="G24:H24"/>
    <mergeCell ref="I24:J24"/>
    <mergeCell ref="B20:J20"/>
    <mergeCell ref="B21:J21"/>
    <mergeCell ref="B22:B23"/>
    <mergeCell ref="C22:C23"/>
    <mergeCell ref="D22:D23"/>
    <mergeCell ref="E22:F22"/>
    <mergeCell ref="G22:H22"/>
    <mergeCell ref="I22:J22"/>
    <mergeCell ref="G23:H23"/>
    <mergeCell ref="I23:J23"/>
    <mergeCell ref="G17:H17"/>
    <mergeCell ref="I16:J16"/>
    <mergeCell ref="I17:J17"/>
    <mergeCell ref="B13:J13"/>
    <mergeCell ref="B14:J14"/>
    <mergeCell ref="B15:B16"/>
    <mergeCell ref="C15:C16"/>
    <mergeCell ref="D15:D16"/>
    <mergeCell ref="E15:F15"/>
    <mergeCell ref="G15:H15"/>
    <mergeCell ref="I15:J15"/>
    <mergeCell ref="K15:M15"/>
    <mergeCell ref="G16:H16"/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workbookViewId="0">
      <selection activeCell="J36" sqref="J36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46" t="s">
        <v>147</v>
      </c>
      <c r="C2" s="246"/>
      <c r="D2" s="246"/>
      <c r="E2" s="246"/>
      <c r="F2" s="246"/>
      <c r="G2" s="246"/>
      <c r="H2" s="246"/>
      <c r="I2" s="246"/>
      <c r="J2" s="246"/>
      <c r="K2" s="246"/>
    </row>
    <row r="4" spans="2:11" ht="51" x14ac:dyDescent="0.2">
      <c r="B4" s="137"/>
      <c r="C4" s="69" t="s">
        <v>115</v>
      </c>
      <c r="D4" s="69" t="s">
        <v>114</v>
      </c>
      <c r="E4" s="69" t="s">
        <v>182</v>
      </c>
      <c r="F4" s="69" t="s">
        <v>183</v>
      </c>
      <c r="G4" s="69" t="s">
        <v>184</v>
      </c>
      <c r="H4" s="69" t="s">
        <v>185</v>
      </c>
      <c r="I4" s="69" t="s">
        <v>142</v>
      </c>
      <c r="J4" s="69" t="s">
        <v>204</v>
      </c>
      <c r="K4" s="69" t="s">
        <v>143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22.114431000000003</v>
      </c>
      <c r="F5" s="75">
        <f>'Tariff Sheet'!J8</f>
        <v>3.1048620000000002E-2</v>
      </c>
      <c r="G5" s="73">
        <f>C5*E5*12</f>
        <v>2133334.9297080003</v>
      </c>
      <c r="H5" s="73">
        <f>D5*F5</f>
        <v>3294857.7272201404</v>
      </c>
      <c r="I5" s="76">
        <f>G5+H5</f>
        <v>5428192.6569281407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Sheet'!J13</f>
        <v>596.12</v>
      </c>
      <c r="F6" s="75">
        <f>'Tariff Sheet'!J14</f>
        <v>2.8482090793955988</v>
      </c>
      <c r="G6" s="73">
        <f>C6*E6*12</f>
        <v>343365.12</v>
      </c>
      <c r="H6" s="73">
        <f>D6*F6</f>
        <v>432791.06603232003</v>
      </c>
      <c r="I6" s="76">
        <f>G6+H6</f>
        <v>776156.18603232002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26.380698214626005</v>
      </c>
      <c r="F7" s="75">
        <f>'Tariff Sheet'!J18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Sheet'!J23</f>
        <v>0.96844799999999986</v>
      </c>
      <c r="F8" s="75">
        <f>'Tariff Sheet'!J24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3647566.0028463746</v>
      </c>
      <c r="H9" s="76">
        <f>SUM(H5:H8)</f>
        <v>5131589.1882876949</v>
      </c>
      <c r="I9" s="76">
        <f>SUM(I5:I8)</f>
        <v>8779155.1911340691</v>
      </c>
      <c r="J9" s="76">
        <f>'Tariff Sheet'!J26</f>
        <v>11814286.892230559</v>
      </c>
      <c r="K9" s="135">
        <f>J9+I9</f>
        <v>20593442.083364628</v>
      </c>
    </row>
    <row r="11" spans="2:11" x14ac:dyDescent="0.2">
      <c r="J11" s="115" t="s">
        <v>181</v>
      </c>
      <c r="K11" s="67" t="str">
        <f>IF(K9-('Allocated Revenues'!M52+'Smart Meter Recovery'!E13+'Smart Meter Recovery'!E14)&lt;1,"Yes","No")</f>
        <v>Yes</v>
      </c>
    </row>
  </sheetData>
  <mergeCells count="1">
    <mergeCell ref="B2:K2"/>
  </mergeCells>
  <pageMargins left="0.7" right="0.7" top="0.75" bottom="0.75" header="0.3" footer="0.3"/>
  <pageSetup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5"/>
  <sheetViews>
    <sheetView showGridLines="0" workbookViewId="0">
      <selection activeCell="L9" sqref="L9"/>
    </sheetView>
  </sheetViews>
  <sheetFormatPr defaultRowHeight="12.75" x14ac:dyDescent="0.2"/>
  <cols>
    <col min="1" max="1" width="4" customWidth="1"/>
    <col min="2" max="2" width="31.8554687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46" t="s">
        <v>210</v>
      </c>
      <c r="C2" s="246"/>
      <c r="D2" s="246"/>
      <c r="E2" s="246"/>
      <c r="F2" s="246"/>
      <c r="G2" s="246"/>
      <c r="H2" s="246"/>
      <c r="I2" s="246"/>
      <c r="J2" s="246"/>
      <c r="K2" s="246"/>
    </row>
    <row r="4" spans="2:11" ht="51" x14ac:dyDescent="0.2">
      <c r="B4" s="137"/>
      <c r="C4" s="69" t="s">
        <v>115</v>
      </c>
      <c r="D4" s="69" t="s">
        <v>114</v>
      </c>
      <c r="E4" s="69" t="s">
        <v>182</v>
      </c>
      <c r="F4" s="69" t="s">
        <v>183</v>
      </c>
      <c r="G4" s="69" t="s">
        <v>184</v>
      </c>
      <c r="H4" s="69" t="s">
        <v>185</v>
      </c>
      <c r="I4" s="69" t="s">
        <v>142</v>
      </c>
      <c r="J4" s="69" t="s">
        <v>204</v>
      </c>
      <c r="K4" s="69" t="s">
        <v>143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22.114431000000003</v>
      </c>
      <c r="F5" s="193">
        <f>'Tariff Sheet'!J8</f>
        <v>3.1048620000000002E-2</v>
      </c>
      <c r="G5" s="73">
        <f>C5*E5*12</f>
        <v>2133334.9297080003</v>
      </c>
      <c r="H5" s="73">
        <f>D5*F5</f>
        <v>3294857.7272201404</v>
      </c>
      <c r="I5" s="76">
        <f>G5+H5</f>
        <v>5428192.6569281407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Sheet'!J13</f>
        <v>596.12</v>
      </c>
      <c r="F6" s="193">
        <f>'Tariff Sheet'!J14</f>
        <v>2.8482090793955988</v>
      </c>
      <c r="G6" s="73">
        <f>C6*E6*12</f>
        <v>343365.12</v>
      </c>
      <c r="H6" s="73">
        <f>D6*F6</f>
        <v>432791.06603232003</v>
      </c>
      <c r="I6" s="76">
        <f>G6+H6</f>
        <v>776156.18603232002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26.380698214626005</v>
      </c>
      <c r="F7" s="193">
        <f>'Tariff Sheet'!J18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Sheet'!J23</f>
        <v>0.96844799999999986</v>
      </c>
      <c r="F8" s="193">
        <f>'Tariff Sheet'!J24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ht="25.5" x14ac:dyDescent="0.2">
      <c r="B9" s="184" t="s">
        <v>213</v>
      </c>
      <c r="C9" s="73">
        <f>'Allocated Revenues'!D8</f>
        <v>8039</v>
      </c>
      <c r="D9" s="73">
        <f>'Allocated Revenues'!E8</f>
        <v>106119297</v>
      </c>
      <c r="E9" s="192" t="s">
        <v>206</v>
      </c>
      <c r="F9" s="193">
        <f>'Tariff Sheet'!J9</f>
        <v>1.1509942437707629E-2</v>
      </c>
      <c r="G9" s="73"/>
      <c r="H9" s="73"/>
      <c r="I9" s="182">
        <f>F9*D9</f>
        <v>1221427</v>
      </c>
      <c r="J9" s="77"/>
      <c r="K9" s="77"/>
    </row>
    <row r="10" spans="2:11" ht="25.5" x14ac:dyDescent="0.2">
      <c r="B10" s="184" t="s">
        <v>214</v>
      </c>
      <c r="C10" s="73">
        <f>'Allocated Revenues'!D8</f>
        <v>8039</v>
      </c>
      <c r="D10" s="73">
        <f>'Allocated Revenues'!E8</f>
        <v>106119297</v>
      </c>
      <c r="E10" s="192" t="s">
        <v>206</v>
      </c>
      <c r="F10" s="193">
        <f>'Tariff Sheet'!J10</f>
        <v>0</v>
      </c>
      <c r="G10" s="73"/>
      <c r="H10" s="73"/>
      <c r="I10" s="182">
        <f>F10*D10</f>
        <v>0</v>
      </c>
      <c r="J10" s="77"/>
      <c r="K10" s="77"/>
    </row>
    <row r="11" spans="2:11" ht="25.5" x14ac:dyDescent="0.2">
      <c r="B11" s="184" t="s">
        <v>205</v>
      </c>
      <c r="C11" s="186">
        <f>C7</f>
        <v>3660</v>
      </c>
      <c r="D11" s="186">
        <f>D7</f>
        <v>12622297</v>
      </c>
      <c r="E11" s="192" t="s">
        <v>206</v>
      </c>
      <c r="F11" s="194">
        <f>'Tariff Sheet'!J19</f>
        <v>4.1112485310716422E-2</v>
      </c>
      <c r="G11" s="187"/>
      <c r="H11" s="187"/>
      <c r="I11" s="182">
        <f>F11*D11</f>
        <v>518933.99999999994</v>
      </c>
      <c r="J11" s="185"/>
      <c r="K11" s="77"/>
    </row>
    <row r="12" spans="2:11" ht="25.5" x14ac:dyDescent="0.2">
      <c r="B12" s="184" t="s">
        <v>207</v>
      </c>
      <c r="C12" s="183">
        <f>C7</f>
        <v>3660</v>
      </c>
      <c r="D12" s="183">
        <f>D7</f>
        <v>12622297</v>
      </c>
      <c r="E12" s="192" t="s">
        <v>206</v>
      </c>
      <c r="F12" s="194">
        <f>'Tariff Sheet'!J20</f>
        <v>1.7378849507344026E-2</v>
      </c>
      <c r="G12" s="183"/>
      <c r="H12" s="183"/>
      <c r="I12" s="182">
        <f>F12*D12</f>
        <v>219360.99999999997</v>
      </c>
      <c r="J12" s="77"/>
      <c r="K12" s="77"/>
    </row>
    <row r="13" spans="2:11" x14ac:dyDescent="0.2">
      <c r="B13" s="77"/>
      <c r="C13" s="77"/>
      <c r="D13" s="77"/>
      <c r="E13" s="77"/>
      <c r="F13" s="77"/>
      <c r="G13" s="76">
        <f>SUM(G5:G8)</f>
        <v>3647566.0028463746</v>
      </c>
      <c r="H13" s="76">
        <f>SUM(H5:H8)</f>
        <v>5131589.1882876949</v>
      </c>
      <c r="I13" s="76">
        <f>SUM(I5:I12)</f>
        <v>10738877.191134069</v>
      </c>
      <c r="J13" s="76">
        <f>'Tariff Sheet'!J26</f>
        <v>11814286.892230559</v>
      </c>
      <c r="K13" s="135">
        <f>J13+I13</f>
        <v>22553164.083364628</v>
      </c>
    </row>
    <row r="15" spans="2:11" x14ac:dyDescent="0.2">
      <c r="J15" s="115" t="s">
        <v>181</v>
      </c>
      <c r="K15" s="67" t="str">
        <f>IF(K13-('Smart Meter Recovery'!C11+'Smart Meter Recovery'!C13+'Smart Meter Recovery'!C14)&lt;1,"Yes","No")</f>
        <v>Yes</v>
      </c>
    </row>
  </sheetData>
  <mergeCells count="1">
    <mergeCell ref="B2:K2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showGridLines="0" tabSelected="1" workbookViewId="0">
      <selection activeCell="K8" sqref="K8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1.28515625" bestFit="1" customWidth="1"/>
    <col min="11" max="11" width="8.85546875" customWidth="1"/>
  </cols>
  <sheetData>
    <row r="1" spans="2:11" ht="13.5" thickBot="1" x14ac:dyDescent="0.25"/>
    <row r="2" spans="2:11" ht="16.5" thickBot="1" x14ac:dyDescent="0.3">
      <c r="B2" s="221"/>
      <c r="C2" s="222"/>
      <c r="D2" s="223"/>
      <c r="E2" s="242" t="s">
        <v>141</v>
      </c>
      <c r="F2" s="242"/>
      <c r="G2" s="243"/>
      <c r="H2" s="170"/>
      <c r="I2" s="227" t="s">
        <v>177</v>
      </c>
      <c r="J2" s="228"/>
      <c r="K2" s="229"/>
    </row>
    <row r="3" spans="2:11" ht="16.5" thickBot="1" x14ac:dyDescent="0.3">
      <c r="B3" s="189"/>
      <c r="C3" s="188"/>
      <c r="D3" s="190"/>
      <c r="E3" s="239" t="s">
        <v>175</v>
      </c>
      <c r="F3" s="225"/>
      <c r="G3" s="240"/>
      <c r="H3" s="86"/>
      <c r="I3" s="236" t="s">
        <v>179</v>
      </c>
      <c r="J3" s="237"/>
      <c r="K3" s="238"/>
    </row>
    <row r="4" spans="2:11" ht="15.75" x14ac:dyDescent="0.25">
      <c r="B4" s="224" t="s">
        <v>118</v>
      </c>
      <c r="C4" s="225"/>
      <c r="D4" s="226"/>
      <c r="E4" s="244" t="s">
        <v>118</v>
      </c>
      <c r="F4" s="244"/>
      <c r="G4" s="245"/>
      <c r="H4" s="86"/>
      <c r="I4" s="230" t="s">
        <v>118</v>
      </c>
      <c r="J4" s="231"/>
      <c r="K4" s="232"/>
    </row>
    <row r="5" spans="2:11" ht="12.75" customHeight="1" x14ac:dyDescent="0.2">
      <c r="B5" s="161" t="s">
        <v>94</v>
      </c>
      <c r="C5" s="191" t="s">
        <v>81</v>
      </c>
      <c r="D5" s="131"/>
      <c r="E5" s="241" t="s">
        <v>176</v>
      </c>
      <c r="F5" s="234"/>
      <c r="G5" s="235"/>
      <c r="H5" s="86"/>
      <c r="I5" s="233" t="s">
        <v>178</v>
      </c>
      <c r="J5" s="234"/>
      <c r="K5" s="235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21.51</v>
      </c>
      <c r="G7" s="124"/>
      <c r="H7" s="86"/>
      <c r="I7" s="121"/>
      <c r="J7" s="116">
        <f>'2013 RRRP Rate Design'!I16</f>
        <v>22.114431000000003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3.0200000000000001E-2</v>
      </c>
      <c r="G8" s="124"/>
      <c r="H8" s="86"/>
      <c r="I8" s="123"/>
      <c r="J8" s="118">
        <f>'2013 RRRP Rate Design'!J16</f>
        <v>3.1048620000000002E-2</v>
      </c>
      <c r="K8" s="124"/>
    </row>
    <row r="9" spans="2:11" ht="38.25" x14ac:dyDescent="0.2">
      <c r="B9" s="198" t="s">
        <v>208</v>
      </c>
      <c r="C9" s="196" t="s">
        <v>97</v>
      </c>
      <c r="D9" s="130"/>
      <c r="E9" s="134"/>
      <c r="F9" s="118">
        <v>0</v>
      </c>
      <c r="G9" s="124"/>
      <c r="H9" s="86"/>
      <c r="I9" s="123"/>
      <c r="J9" s="118">
        <f>'2013 RRRP Rate Design'!I28</f>
        <v>1.1509942437707629E-2</v>
      </c>
      <c r="K9" s="124"/>
    </row>
    <row r="10" spans="2:11" ht="38.25" x14ac:dyDescent="0.2">
      <c r="B10" s="195" t="s">
        <v>209</v>
      </c>
      <c r="C10" s="196" t="s">
        <v>97</v>
      </c>
      <c r="D10" s="130"/>
      <c r="E10" s="134"/>
      <c r="F10" s="118">
        <v>0</v>
      </c>
      <c r="G10" s="124"/>
      <c r="H10" s="86"/>
      <c r="I10" s="123"/>
      <c r="J10" s="118">
        <f>'2013 RRRP Rate Design'!I35</f>
        <v>0</v>
      </c>
      <c r="K10" s="124"/>
    </row>
    <row r="11" spans="2:11" x14ac:dyDescent="0.2">
      <c r="B11" s="142"/>
      <c r="C11" s="71"/>
      <c r="D11" s="128"/>
      <c r="E11" s="132"/>
      <c r="F11" s="117"/>
      <c r="G11" s="124"/>
      <c r="H11" s="86"/>
      <c r="I11" s="123"/>
      <c r="J11" s="117"/>
      <c r="K11" s="124"/>
    </row>
    <row r="12" spans="2:11" x14ac:dyDescent="0.2">
      <c r="B12" s="161" t="s">
        <v>70</v>
      </c>
      <c r="C12" s="71"/>
      <c r="D12" s="128"/>
      <c r="E12" s="132"/>
      <c r="F12" s="117"/>
      <c r="G12" s="124"/>
      <c r="H12" s="86"/>
      <c r="I12" s="123"/>
      <c r="J12" s="117"/>
      <c r="K12" s="124"/>
    </row>
    <row r="13" spans="2:11" x14ac:dyDescent="0.2">
      <c r="B13" s="142" t="s">
        <v>85</v>
      </c>
      <c r="C13" s="71" t="s">
        <v>95</v>
      </c>
      <c r="D13" s="129"/>
      <c r="E13" s="134"/>
      <c r="F13" s="120">
        <v>596.12</v>
      </c>
      <c r="G13" s="124"/>
      <c r="H13" s="86"/>
      <c r="I13" s="123"/>
      <c r="J13" s="119">
        <f>'2013 RRRP Rate Design'!I18</f>
        <v>596.12</v>
      </c>
      <c r="K13" s="124"/>
    </row>
    <row r="14" spans="2:11" x14ac:dyDescent="0.2">
      <c r="B14" s="142" t="s">
        <v>96</v>
      </c>
      <c r="C14" s="71" t="s">
        <v>98</v>
      </c>
      <c r="D14" s="130"/>
      <c r="E14" s="134"/>
      <c r="F14" s="118">
        <v>2.7086000000000001</v>
      </c>
      <c r="G14" s="124"/>
      <c r="H14" s="86"/>
      <c r="I14" s="123"/>
      <c r="J14" s="118">
        <f>'2013 RRRP Rate Design'!J18</f>
        <v>2.8482090793955988</v>
      </c>
      <c r="K14" s="124"/>
    </row>
    <row r="15" spans="2:11" x14ac:dyDescent="0.2">
      <c r="B15" s="142"/>
      <c r="C15" s="71"/>
      <c r="D15" s="128"/>
      <c r="E15" s="132"/>
      <c r="F15" s="117"/>
      <c r="G15" s="124"/>
      <c r="H15" s="86"/>
      <c r="I15" s="123"/>
      <c r="J15" s="117"/>
      <c r="K15" s="124"/>
    </row>
    <row r="16" spans="2:11" x14ac:dyDescent="0.2">
      <c r="B16" s="161" t="s">
        <v>16</v>
      </c>
      <c r="C16" s="71"/>
      <c r="D16" s="128"/>
      <c r="E16" s="132"/>
      <c r="F16" s="117"/>
      <c r="G16" s="124"/>
      <c r="H16" s="86"/>
      <c r="I16" s="123"/>
      <c r="J16" s="117"/>
      <c r="K16" s="124"/>
    </row>
    <row r="17" spans="2:11" x14ac:dyDescent="0.2">
      <c r="B17" s="142" t="s">
        <v>85</v>
      </c>
      <c r="C17" s="71" t="s">
        <v>95</v>
      </c>
      <c r="D17" s="129"/>
      <c r="E17" s="134"/>
      <c r="F17" s="120">
        <v>26.15</v>
      </c>
      <c r="G17" s="124"/>
      <c r="H17" s="86"/>
      <c r="I17" s="123"/>
      <c r="J17" s="120">
        <f>'2012 Non-RRRP Rate Design'!I7</f>
        <v>26.380698214626005</v>
      </c>
      <c r="K17" s="124"/>
    </row>
    <row r="18" spans="2:11" x14ac:dyDescent="0.2">
      <c r="B18" s="142" t="s">
        <v>96</v>
      </c>
      <c r="C18" s="71" t="s">
        <v>97</v>
      </c>
      <c r="D18" s="130"/>
      <c r="E18" s="134"/>
      <c r="F18" s="118">
        <v>0.10059999999999999</v>
      </c>
      <c r="G18" s="124"/>
      <c r="H18" s="86"/>
      <c r="I18" s="123"/>
      <c r="J18" s="118">
        <f>'2012 Non-RRRP Rate Design'!J7</f>
        <v>0.10145557490890861</v>
      </c>
      <c r="K18" s="124"/>
    </row>
    <row r="19" spans="2:11" ht="38.25" x14ac:dyDescent="0.2">
      <c r="B19" s="198" t="s">
        <v>208</v>
      </c>
      <c r="C19" s="196" t="s">
        <v>97</v>
      </c>
      <c r="D19" s="130"/>
      <c r="E19" s="134"/>
      <c r="F19" s="197">
        <v>0</v>
      </c>
      <c r="G19" s="124"/>
      <c r="H19" s="86"/>
      <c r="I19" s="123"/>
      <c r="J19" s="197">
        <f>'2012 Non-RRRP Rate Design'!I17</f>
        <v>4.1112485310716422E-2</v>
      </c>
      <c r="K19" s="124"/>
    </row>
    <row r="20" spans="2:11" ht="38.25" x14ac:dyDescent="0.2">
      <c r="B20" s="195" t="s">
        <v>209</v>
      </c>
      <c r="C20" s="196" t="s">
        <v>97</v>
      </c>
      <c r="D20" s="130"/>
      <c r="E20" s="134"/>
      <c r="F20" s="197">
        <v>0</v>
      </c>
      <c r="G20" s="124"/>
      <c r="H20" s="86"/>
      <c r="I20" s="123"/>
      <c r="J20" s="199">
        <f>'2012 Non-RRRP Rate Design'!I24</f>
        <v>1.7378849507344026E-2</v>
      </c>
      <c r="K20" s="124"/>
    </row>
    <row r="21" spans="2:11" x14ac:dyDescent="0.2">
      <c r="B21" s="142"/>
      <c r="C21" s="71"/>
      <c r="D21" s="128"/>
      <c r="E21" s="132"/>
      <c r="F21" s="117"/>
      <c r="G21" s="124"/>
      <c r="H21" s="86"/>
      <c r="I21" s="123"/>
      <c r="J21" s="117"/>
      <c r="K21" s="124"/>
    </row>
    <row r="22" spans="2:11" x14ac:dyDescent="0.2">
      <c r="B22" s="161" t="s">
        <v>71</v>
      </c>
      <c r="C22" s="71"/>
      <c r="D22" s="128"/>
      <c r="E22" s="132"/>
      <c r="F22" s="117"/>
      <c r="G22" s="124"/>
      <c r="H22" s="86"/>
      <c r="I22" s="123"/>
      <c r="J22" s="117"/>
      <c r="K22" s="124"/>
    </row>
    <row r="23" spans="2:11" ht="14.25" x14ac:dyDescent="0.2">
      <c r="B23" s="142" t="s">
        <v>139</v>
      </c>
      <c r="C23" s="71" t="s">
        <v>95</v>
      </c>
      <c r="D23" s="129"/>
      <c r="E23" s="134"/>
      <c r="F23" s="120">
        <v>0.96</v>
      </c>
      <c r="G23" s="124"/>
      <c r="H23" s="86"/>
      <c r="I23" s="123"/>
      <c r="J23" s="120">
        <f>'2012 Non-RRRP Rate Design'!I9</f>
        <v>0.96844799999999986</v>
      </c>
      <c r="K23" s="124"/>
    </row>
    <row r="24" spans="2:11" x14ac:dyDescent="0.2">
      <c r="B24" s="142" t="s">
        <v>96</v>
      </c>
      <c r="C24" s="71" t="s">
        <v>97</v>
      </c>
      <c r="D24" s="130"/>
      <c r="E24" s="134"/>
      <c r="F24" s="118">
        <v>0.15429999999999999</v>
      </c>
      <c r="G24" s="124"/>
      <c r="H24" s="86"/>
      <c r="I24" s="123"/>
      <c r="J24" s="118">
        <f>'2012 Non-RRRP Rate Design'!J9</f>
        <v>0.15573057973681881</v>
      </c>
      <c r="K24" s="124"/>
    </row>
    <row r="25" spans="2:11" ht="12" customHeight="1" x14ac:dyDescent="0.2">
      <c r="B25" s="142"/>
      <c r="C25" s="71"/>
      <c r="D25" s="128"/>
      <c r="E25" s="132"/>
      <c r="F25" s="117"/>
      <c r="G25" s="124"/>
      <c r="H25" s="86"/>
      <c r="I25" s="123"/>
      <c r="J25" s="117"/>
      <c r="K25" s="124"/>
    </row>
    <row r="26" spans="2:11" ht="13.5" thickBot="1" x14ac:dyDescent="0.25">
      <c r="B26" s="162" t="s">
        <v>119</v>
      </c>
      <c r="C26" s="163" t="s">
        <v>95</v>
      </c>
      <c r="D26" s="164"/>
      <c r="E26" s="165"/>
      <c r="F26" s="126">
        <v>11314397</v>
      </c>
      <c r="G26" s="127"/>
      <c r="H26" s="171"/>
      <c r="I26" s="125"/>
      <c r="J26" s="126">
        <f>'2013 RRRP Rate Design'!M21</f>
        <v>11814286.892230559</v>
      </c>
      <c r="K26" s="127"/>
    </row>
    <row r="28" spans="2:11" x14ac:dyDescent="0.2">
      <c r="G28" s="85"/>
    </row>
    <row r="29" spans="2:11" x14ac:dyDescent="0.2">
      <c r="B29" s="112"/>
      <c r="G29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39" t="s">
        <v>145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46" t="s">
        <v>144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 ht="8.25" customHeight="1" x14ac:dyDescent="0.2"/>
    <row r="4" spans="1:15" ht="21.75" x14ac:dyDescent="0.2">
      <c r="A4" s="253" t="s">
        <v>0</v>
      </c>
      <c r="B4" s="253"/>
      <c r="C4" s="253"/>
      <c r="D4" s="253"/>
      <c r="E4" s="253"/>
      <c r="F4" s="253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54" t="s">
        <v>1</v>
      </c>
      <c r="B5" s="254"/>
      <c r="C5" s="254"/>
      <c r="D5" s="254"/>
      <c r="E5" s="254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55" t="s">
        <v>134</v>
      </c>
      <c r="B6" s="255"/>
      <c r="C6" s="255"/>
      <c r="D6" s="255"/>
      <c r="E6" s="255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56">
        <v>40330</v>
      </c>
      <c r="B7" s="256"/>
      <c r="C7" s="256"/>
      <c r="D7" s="256"/>
      <c r="E7" s="25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48" t="s">
        <v>136</v>
      </c>
      <c r="D39" s="248"/>
      <c r="E39" s="249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50" t="s">
        <v>59</v>
      </c>
      <c r="D62" s="251"/>
      <c r="E62" s="252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46" t="s">
        <v>144</v>
      </c>
      <c r="C2" s="246"/>
      <c r="D2" s="246"/>
      <c r="E2" s="246"/>
      <c r="F2" s="246"/>
      <c r="G2" s="246"/>
      <c r="H2" s="246"/>
      <c r="I2" s="246"/>
      <c r="J2" s="246"/>
      <c r="K2" s="246"/>
    </row>
    <row r="3" spans="2:12" ht="8.25" customHeight="1" x14ac:dyDescent="0.2"/>
    <row r="4" spans="2:12" x14ac:dyDescent="0.2">
      <c r="B4" s="257" t="s">
        <v>129</v>
      </c>
      <c r="C4" s="257"/>
      <c r="D4" s="257"/>
      <c r="E4" s="257"/>
      <c r="F4" s="257"/>
      <c r="G4" s="257"/>
      <c r="H4" s="257"/>
      <c r="I4" s="257"/>
      <c r="J4" s="257"/>
      <c r="K4" s="257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258"/>
      <c r="C11" s="259"/>
      <c r="D11" s="259"/>
      <c r="E11" s="259"/>
      <c r="F11" s="259"/>
      <c r="G11" s="259"/>
      <c r="H11" s="259"/>
      <c r="I11" s="259"/>
      <c r="J11" s="259"/>
      <c r="K11" s="260"/>
    </row>
    <row r="12" spans="2:12" x14ac:dyDescent="0.2">
      <c r="B12" s="258"/>
      <c r="C12" s="259"/>
      <c r="D12" s="259"/>
      <c r="E12" s="259"/>
      <c r="F12" s="259"/>
      <c r="G12" s="259"/>
      <c r="H12" s="259"/>
      <c r="I12" s="259"/>
      <c r="J12" s="259"/>
      <c r="K12" s="260"/>
    </row>
    <row r="13" spans="2:12" x14ac:dyDescent="0.2">
      <c r="B13" s="257" t="s">
        <v>130</v>
      </c>
      <c r="C13" s="257"/>
      <c r="D13" s="257"/>
      <c r="E13" s="257"/>
      <c r="F13" s="257"/>
      <c r="G13" s="257"/>
      <c r="H13" s="257"/>
      <c r="I13" s="257"/>
      <c r="J13" s="257"/>
      <c r="K13" s="257"/>
      <c r="L13" s="87"/>
    </row>
    <row r="14" spans="2:12" ht="51" x14ac:dyDescent="0.2">
      <c r="B14" s="77"/>
      <c r="C14" s="88" t="s">
        <v>149</v>
      </c>
      <c r="D14" s="88" t="s">
        <v>125</v>
      </c>
      <c r="E14" s="90" t="s">
        <v>150</v>
      </c>
      <c r="F14" s="88" t="s">
        <v>151</v>
      </c>
      <c r="G14" s="88" t="s">
        <v>127</v>
      </c>
      <c r="H14" s="90" t="s">
        <v>152</v>
      </c>
      <c r="I14" s="91" t="s">
        <v>153</v>
      </c>
      <c r="J14" s="92" t="s">
        <v>76</v>
      </c>
      <c r="K14" s="92" t="s">
        <v>137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showGridLines="0" topLeftCell="A16" workbookViewId="0">
      <selection activeCell="I38" sqref="I38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46" t="s">
        <v>144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2:13" ht="15.75" x14ac:dyDescent="0.25">
      <c r="B3" s="246" t="s">
        <v>159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5" spans="2:13" x14ac:dyDescent="0.2">
      <c r="B5" s="257" t="s">
        <v>116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2:13" x14ac:dyDescent="0.2">
      <c r="B6" s="261" t="s">
        <v>80</v>
      </c>
      <c r="C6" s="261" t="s">
        <v>81</v>
      </c>
      <c r="D6" s="262" t="s">
        <v>82</v>
      </c>
      <c r="E6" s="257" t="s">
        <v>83</v>
      </c>
      <c r="F6" s="257"/>
      <c r="G6" s="263" t="s">
        <v>93</v>
      </c>
      <c r="H6" s="264"/>
      <c r="I6" s="257" t="s">
        <v>91</v>
      </c>
      <c r="J6" s="257"/>
      <c r="K6" s="257" t="s">
        <v>84</v>
      </c>
      <c r="L6" s="257"/>
      <c r="M6" s="257"/>
    </row>
    <row r="7" spans="2:13" ht="38.25" x14ac:dyDescent="0.2">
      <c r="B7" s="261"/>
      <c r="C7" s="261"/>
      <c r="D7" s="262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265" t="s">
        <v>167</v>
      </c>
      <c r="C15" s="266"/>
      <c r="D15" s="266"/>
      <c r="E15" s="267"/>
    </row>
    <row r="16" spans="2:13" ht="12.75" customHeight="1" x14ac:dyDescent="0.2">
      <c r="B16" s="140" t="s">
        <v>161</v>
      </c>
      <c r="C16" s="86"/>
      <c r="D16" s="86"/>
      <c r="E16" s="167">
        <v>2.81E-2</v>
      </c>
    </row>
    <row r="17" spans="2:13" ht="12.75" customHeight="1" x14ac:dyDescent="0.2">
      <c r="B17" s="140" t="s">
        <v>162</v>
      </c>
      <c r="C17" s="86"/>
      <c r="D17" s="86"/>
      <c r="E17" s="167">
        <v>1.7000000000000001E-2</v>
      </c>
    </row>
    <row r="18" spans="2:13" ht="12.75" customHeight="1" x14ac:dyDescent="0.2">
      <c r="B18" s="140" t="s">
        <v>155</v>
      </c>
      <c r="C18" s="86"/>
      <c r="D18" s="86"/>
      <c r="E18" s="167">
        <v>7.1999999999999998E-3</v>
      </c>
    </row>
    <row r="19" spans="2:13" ht="12.75" customHeight="1" x14ac:dyDescent="0.2">
      <c r="B19" s="140" t="s">
        <v>163</v>
      </c>
      <c r="C19" s="86"/>
      <c r="D19" s="86"/>
      <c r="E19" s="167">
        <v>6.0000000000000001E-3</v>
      </c>
    </row>
    <row r="20" spans="2:13" ht="12.75" customHeight="1" x14ac:dyDescent="0.2">
      <c r="B20" s="141" t="s">
        <v>164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46" t="s">
        <v>168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</row>
    <row r="23" spans="2:13" ht="15.75" x14ac:dyDescent="0.25">
      <c r="B23" s="160"/>
      <c r="C23" s="160"/>
      <c r="E23" s="160"/>
      <c r="F23" s="169" t="s">
        <v>164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257" t="s">
        <v>154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</row>
    <row r="26" spans="2:13" x14ac:dyDescent="0.2">
      <c r="B26" s="261" t="s">
        <v>80</v>
      </c>
      <c r="C26" s="261" t="s">
        <v>81</v>
      </c>
      <c r="D26" s="262" t="s">
        <v>82</v>
      </c>
      <c r="E26" s="257" t="s">
        <v>83</v>
      </c>
      <c r="F26" s="257"/>
      <c r="G26" s="263" t="s">
        <v>93</v>
      </c>
      <c r="H26" s="264"/>
      <c r="I26" s="257" t="s">
        <v>91</v>
      </c>
      <c r="J26" s="257"/>
      <c r="K26" s="257" t="s">
        <v>84</v>
      </c>
      <c r="L26" s="257"/>
      <c r="M26" s="257"/>
    </row>
    <row r="27" spans="2:13" ht="38.25" x14ac:dyDescent="0.2">
      <c r="B27" s="261"/>
      <c r="C27" s="261"/>
      <c r="D27" s="262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265" t="s">
        <v>169</v>
      </c>
      <c r="C35" s="266"/>
      <c r="D35" s="266"/>
      <c r="E35" s="267"/>
    </row>
    <row r="36" spans="2:13" x14ac:dyDescent="0.2">
      <c r="B36" s="140" t="s">
        <v>186</v>
      </c>
      <c r="C36" s="86"/>
      <c r="D36" s="86"/>
      <c r="E36" s="167">
        <v>2.81E-2</v>
      </c>
    </row>
    <row r="37" spans="2:13" x14ac:dyDescent="0.2">
      <c r="B37" s="140" t="s">
        <v>162</v>
      </c>
      <c r="C37" s="86"/>
      <c r="D37" s="86"/>
      <c r="E37" s="167">
        <v>2.1999999999999999E-2</v>
      </c>
    </row>
    <row r="38" spans="2:13" x14ac:dyDescent="0.2">
      <c r="B38" s="140" t="s">
        <v>155</v>
      </c>
      <c r="C38" s="86"/>
      <c r="D38" s="86"/>
      <c r="E38" s="167">
        <v>7.1999999999999998E-3</v>
      </c>
    </row>
    <row r="39" spans="2:13" x14ac:dyDescent="0.2">
      <c r="B39" s="140" t="s">
        <v>163</v>
      </c>
      <c r="C39" s="86"/>
      <c r="D39" s="86"/>
      <c r="E39" s="167">
        <v>6.0000000000000001E-3</v>
      </c>
    </row>
    <row r="40" spans="2:13" x14ac:dyDescent="0.2">
      <c r="B40" s="141" t="s">
        <v>160</v>
      </c>
      <c r="C40" s="139"/>
      <c r="D40" s="139"/>
      <c r="E40" s="168">
        <f>E37-E38-E39</f>
        <v>8.7999999999999988E-3</v>
      </c>
    </row>
    <row r="42" spans="2:13" ht="15.75" x14ac:dyDescent="0.25">
      <c r="B42" s="246" t="s">
        <v>170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</row>
    <row r="43" spans="2:13" ht="15.75" x14ac:dyDescent="0.25">
      <c r="B43" s="160"/>
      <c r="C43" s="160"/>
      <c r="E43" s="160"/>
      <c r="F43" s="169" t="s">
        <v>164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257" t="s">
        <v>154</v>
      </c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</row>
    <row r="46" spans="2:13" x14ac:dyDescent="0.2">
      <c r="B46" s="261" t="s">
        <v>80</v>
      </c>
      <c r="C46" s="261" t="s">
        <v>81</v>
      </c>
      <c r="D46" s="262" t="s">
        <v>82</v>
      </c>
      <c r="E46" s="257" t="s">
        <v>83</v>
      </c>
      <c r="F46" s="257"/>
      <c r="G46" s="263" t="s">
        <v>93</v>
      </c>
      <c r="H46" s="264"/>
      <c r="I46" s="257" t="s">
        <v>91</v>
      </c>
      <c r="J46" s="257"/>
      <c r="K46" s="257" t="s">
        <v>84</v>
      </c>
      <c r="L46" s="257"/>
      <c r="M46" s="257"/>
    </row>
    <row r="47" spans="2:13" ht="38.25" x14ac:dyDescent="0.2">
      <c r="B47" s="261"/>
      <c r="C47" s="261"/>
      <c r="D47" s="262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</sheetData>
  <mergeCells count="30"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25:M25"/>
    <mergeCell ref="B26:B27"/>
    <mergeCell ref="C26:C27"/>
    <mergeCell ref="D26:D27"/>
    <mergeCell ref="E26:F26"/>
    <mergeCell ref="G26:H26"/>
    <mergeCell ref="I26:J26"/>
    <mergeCell ref="K26:M26"/>
  </mergeCells>
  <phoneticPr fontId="3" type="noConversion"/>
  <pageMargins left="0.75" right="0.75" top="1" bottom="1" header="0.5" footer="0.5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workbookViewId="0">
      <selection activeCell="N37" sqref="N37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46" t="s">
        <v>165</v>
      </c>
      <c r="C1" s="246"/>
      <c r="D1" s="246"/>
      <c r="E1" s="246"/>
      <c r="F1" s="246"/>
      <c r="G1" s="246"/>
      <c r="H1" s="246"/>
      <c r="I1" s="246"/>
      <c r="J1" s="246"/>
    </row>
    <row r="2" spans="2:10" ht="6" customHeight="1" thickBot="1" x14ac:dyDescent="0.25"/>
    <row r="3" spans="2:10" x14ac:dyDescent="0.2">
      <c r="B3" s="268" t="s">
        <v>148</v>
      </c>
      <c r="C3" s="269"/>
      <c r="D3" s="269"/>
      <c r="E3" s="269"/>
      <c r="F3" s="269"/>
      <c r="G3" s="269"/>
      <c r="H3" s="269"/>
      <c r="I3" s="269"/>
      <c r="J3" s="270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271"/>
      <c r="C10" s="271"/>
      <c r="D10" s="271"/>
      <c r="E10" s="271"/>
      <c r="F10" s="271"/>
      <c r="G10" s="271"/>
      <c r="H10" s="271"/>
      <c r="I10" s="271"/>
      <c r="J10" s="271"/>
    </row>
    <row r="11" spans="2:10" x14ac:dyDescent="0.2">
      <c r="B11" s="268" t="s">
        <v>157</v>
      </c>
      <c r="C11" s="269"/>
      <c r="D11" s="269"/>
      <c r="E11" s="269"/>
      <c r="F11" s="269"/>
      <c r="G11" s="269"/>
      <c r="H11" s="269"/>
      <c r="I11" s="269"/>
      <c r="J11" s="270"/>
    </row>
    <row r="12" spans="2:10" ht="51" x14ac:dyDescent="0.2">
      <c r="B12" s="142"/>
      <c r="C12" s="88" t="s">
        <v>149</v>
      </c>
      <c r="D12" s="88" t="s">
        <v>125</v>
      </c>
      <c r="E12" s="90" t="s">
        <v>150</v>
      </c>
      <c r="F12" s="88" t="s">
        <v>151</v>
      </c>
      <c r="G12" s="88" t="s">
        <v>127</v>
      </c>
      <c r="H12" s="90" t="s">
        <v>152</v>
      </c>
      <c r="I12" s="91" t="s">
        <v>153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268" t="s">
        <v>156</v>
      </c>
      <c r="C19" s="269"/>
      <c r="D19" s="269"/>
      <c r="E19" s="269"/>
      <c r="F19" s="269"/>
      <c r="G19" s="269"/>
      <c r="H19" s="269"/>
      <c r="I19" s="269"/>
      <c r="J19" s="270"/>
      <c r="K19" s="87"/>
    </row>
    <row r="20" spans="2:11" ht="51" x14ac:dyDescent="0.2">
      <c r="B20" s="142"/>
      <c r="C20" s="88" t="s">
        <v>158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x14ac:dyDescent="0.2"/>
    <row r="27" spans="2:11" ht="13.5" thickBot="1" x14ac:dyDescent="0.25">
      <c r="C27" s="272"/>
      <c r="D27" s="272"/>
      <c r="E27" s="272"/>
      <c r="F27" s="272"/>
      <c r="G27" s="272"/>
      <c r="H27" s="272"/>
      <c r="I27" s="272"/>
      <c r="J27" s="272"/>
    </row>
    <row r="28" spans="2:11" x14ac:dyDescent="0.2">
      <c r="B28" s="268" t="s">
        <v>171</v>
      </c>
      <c r="C28" s="269"/>
      <c r="D28" s="269"/>
      <c r="E28" s="269"/>
      <c r="F28" s="269"/>
      <c r="G28" s="269"/>
      <c r="H28" s="269"/>
      <c r="I28" s="269"/>
      <c r="J28" s="270"/>
    </row>
    <row r="29" spans="2:11" ht="51" x14ac:dyDescent="0.2">
      <c r="B29" s="142"/>
      <c r="C29" s="88" t="s">
        <v>187</v>
      </c>
      <c r="D29" s="88" t="s">
        <v>125</v>
      </c>
      <c r="E29" s="90" t="s">
        <v>75</v>
      </c>
      <c r="F29" s="88" t="s">
        <v>126</v>
      </c>
      <c r="G29" s="88" t="s">
        <v>127</v>
      </c>
      <c r="H29" s="90" t="s">
        <v>74</v>
      </c>
      <c r="I29" s="91" t="s">
        <v>128</v>
      </c>
      <c r="J29" s="152" t="s">
        <v>76</v>
      </c>
    </row>
    <row r="30" spans="2:11" ht="12.75" customHeight="1" x14ac:dyDescent="0.2">
      <c r="B30" s="142" t="s">
        <v>69</v>
      </c>
      <c r="C30" s="80">
        <f>C13/C17*C34</f>
        <v>12801457.425991585</v>
      </c>
      <c r="D30" s="82">
        <f>C30/C$34</f>
        <v>0.63754703479966623</v>
      </c>
      <c r="E30" s="93">
        <v>0.72757959569365926</v>
      </c>
      <c r="F30" s="80">
        <f>E30*C$34</f>
        <v>14609242.471371973</v>
      </c>
      <c r="G30" s="80">
        <f>F30-C30</f>
        <v>1807785.0453803875</v>
      </c>
      <c r="H30" s="93">
        <f>F30/C30</f>
        <v>1.1412171274897129</v>
      </c>
      <c r="I30" s="94">
        <f>'Cost Allocation Sheet O1'!D82</f>
        <v>0</v>
      </c>
      <c r="J30" s="173" t="s">
        <v>77</v>
      </c>
    </row>
    <row r="31" spans="2:11" x14ac:dyDescent="0.2">
      <c r="B31" s="142" t="s">
        <v>70</v>
      </c>
      <c r="C31" s="80">
        <f>C14/C17*C34</f>
        <v>4841376.9963016063</v>
      </c>
      <c r="D31" s="82">
        <f>C31/C$34</f>
        <v>0.2411136049300511</v>
      </c>
      <c r="E31" s="93">
        <v>0.14418811810364002</v>
      </c>
      <c r="F31" s="80">
        <f>E31*C$34</f>
        <v>2895187.2638190496</v>
      </c>
      <c r="G31" s="80">
        <f>F31-C31</f>
        <v>-1946189.7324825567</v>
      </c>
      <c r="H31" s="93">
        <f>F31/C31</f>
        <v>0.59800905115026626</v>
      </c>
      <c r="I31" s="94">
        <f>'Cost Allocation Sheet O1'!E82</f>
        <v>0</v>
      </c>
      <c r="J31" s="173" t="s">
        <v>78</v>
      </c>
    </row>
    <row r="32" spans="2:11" x14ac:dyDescent="0.2">
      <c r="B32" s="142" t="s">
        <v>16</v>
      </c>
      <c r="C32" s="80">
        <f>C15/C17*C34</f>
        <v>2121132.0972076636</v>
      </c>
      <c r="D32" s="82">
        <f>C32/C$34</f>
        <v>0.1056380874452187</v>
      </c>
      <c r="E32" s="93">
        <v>0.12148084988219474</v>
      </c>
      <c r="F32" s="80">
        <f>E32*C$34</f>
        <v>2439242.6643923665</v>
      </c>
      <c r="G32" s="80">
        <f>F32-C32</f>
        <v>318110.56718470296</v>
      </c>
      <c r="H32" s="93">
        <f>F32/C32</f>
        <v>1.1499720680307819</v>
      </c>
      <c r="I32" s="94">
        <f>'Cost Allocation Sheet O1'!O82</f>
        <v>0</v>
      </c>
      <c r="J32" s="173" t="s">
        <v>77</v>
      </c>
    </row>
    <row r="33" spans="2:10" x14ac:dyDescent="0.2">
      <c r="B33" s="142" t="s">
        <v>71</v>
      </c>
      <c r="C33" s="80">
        <f>C16/C17*C34</f>
        <v>315269.56386377936</v>
      </c>
      <c r="D33" s="82">
        <f>C33/C$34</f>
        <v>1.5701272825064089E-2</v>
      </c>
      <c r="E33" s="93">
        <v>6.7514363205059469E-3</v>
      </c>
      <c r="F33" s="80">
        <f>E33*C$34</f>
        <v>135563.68378124156</v>
      </c>
      <c r="G33" s="80">
        <f>F33-C33</f>
        <v>-179705.8800825378</v>
      </c>
      <c r="H33" s="93">
        <f>F33/C33</f>
        <v>0.42999293087427709</v>
      </c>
      <c r="I33" s="94">
        <f>'Cost Allocation Sheet O1'!J82</f>
        <v>0</v>
      </c>
      <c r="J33" s="173" t="s">
        <v>79</v>
      </c>
    </row>
    <row r="34" spans="2:10" ht="13.5" thickBot="1" x14ac:dyDescent="0.25">
      <c r="B34" s="144"/>
      <c r="C34" s="154">
        <f>'Allocated Revenues'!M52</f>
        <v>20079236.083364632</v>
      </c>
      <c r="D34" s="146">
        <f>SUM(D30:D33)</f>
        <v>1.0000000000000002</v>
      </c>
      <c r="E34" s="155">
        <f>SUM(E30:E33)</f>
        <v>0.99999999999999989</v>
      </c>
      <c r="F34" s="154">
        <f>SUM(F30:F33)</f>
        <v>20079236.083364628</v>
      </c>
      <c r="G34" s="148"/>
      <c r="H34" s="156"/>
      <c r="I34" s="148"/>
      <c r="J34" s="174"/>
    </row>
  </sheetData>
  <mergeCells count="7">
    <mergeCell ref="B28:J28"/>
    <mergeCell ref="B1:J1"/>
    <mergeCell ref="B3:J3"/>
    <mergeCell ref="B10:J10"/>
    <mergeCell ref="B19:J19"/>
    <mergeCell ref="C27:J27"/>
    <mergeCell ref="B11:J11"/>
  </mergeCells>
  <pageMargins left="0.75" right="0.75" top="1" bottom="1" header="0.5" footer="0.5"/>
  <pageSetup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showGridLines="0" workbookViewId="0">
      <selection activeCell="G27" sqref="G27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</cols>
  <sheetData>
    <row r="1" spans="2:9" ht="18.75" x14ac:dyDescent="0.3">
      <c r="B1" s="273" t="s">
        <v>188</v>
      </c>
      <c r="C1" s="273"/>
      <c r="D1" s="273"/>
      <c r="E1" s="273"/>
      <c r="F1" s="273"/>
      <c r="G1" s="273"/>
      <c r="H1" s="273"/>
      <c r="I1" s="273"/>
    </row>
    <row r="3" spans="2:9" x14ac:dyDescent="0.2">
      <c r="B3" t="s">
        <v>161</v>
      </c>
      <c r="C3" s="176">
        <f>'Allocated Revenues'!E36</f>
        <v>2.81E-2</v>
      </c>
    </row>
    <row r="4" spans="2:9" x14ac:dyDescent="0.2">
      <c r="B4" t="s">
        <v>189</v>
      </c>
      <c r="C4" s="176">
        <f>'Allocated Revenues'!E37</f>
        <v>2.1999999999999999E-2</v>
      </c>
    </row>
    <row r="5" spans="2:9" x14ac:dyDescent="0.2">
      <c r="B5" t="s">
        <v>190</v>
      </c>
      <c r="C5" s="176">
        <f>'Allocated Revenues'!E38</f>
        <v>7.1999999999999998E-3</v>
      </c>
    </row>
    <row r="6" spans="2:9" x14ac:dyDescent="0.2">
      <c r="B6" t="s">
        <v>191</v>
      </c>
      <c r="C6" s="176">
        <f>'Allocated Revenues'!E39</f>
        <v>6.0000000000000001E-3</v>
      </c>
    </row>
    <row r="7" spans="2:9" x14ac:dyDescent="0.2">
      <c r="B7" t="s">
        <v>192</v>
      </c>
      <c r="C7" s="176">
        <f>C4-C5-C6</f>
        <v>8.7999999999999988E-3</v>
      </c>
    </row>
    <row r="8" spans="2:9" ht="13.5" thickBot="1" x14ac:dyDescent="0.25"/>
    <row r="9" spans="2:9" ht="30" x14ac:dyDescent="0.25">
      <c r="B9" s="204"/>
      <c r="C9" s="205" t="s">
        <v>4</v>
      </c>
      <c r="D9" s="206"/>
      <c r="E9" s="205" t="s">
        <v>193</v>
      </c>
      <c r="F9" s="205" t="s">
        <v>193</v>
      </c>
      <c r="G9" s="205" t="s">
        <v>16</v>
      </c>
      <c r="H9" s="207" t="s">
        <v>71</v>
      </c>
      <c r="I9" s="177"/>
    </row>
    <row r="10" spans="2:9" x14ac:dyDescent="0.2">
      <c r="B10" s="142" t="s">
        <v>194</v>
      </c>
      <c r="C10" s="77"/>
      <c r="D10" s="77"/>
      <c r="E10" s="200">
        <f>$C7</f>
        <v>8.7999999999999988E-3</v>
      </c>
      <c r="F10" s="200">
        <f t="shared" ref="F10:H10" si="0">$C7</f>
        <v>8.7999999999999988E-3</v>
      </c>
      <c r="G10" s="200">
        <f t="shared" si="0"/>
        <v>8.7999999999999988E-3</v>
      </c>
      <c r="H10" s="208">
        <f t="shared" si="0"/>
        <v>8.7999999999999988E-3</v>
      </c>
    </row>
    <row r="11" spans="2:9" x14ac:dyDescent="0.2">
      <c r="B11" s="142" t="s">
        <v>195</v>
      </c>
      <c r="C11" s="201">
        <f>SUM(E11:H11)</f>
        <v>20079236.083364628</v>
      </c>
      <c r="D11" s="77"/>
      <c r="E11" s="202">
        <f>'2013 Cost Allocation Design'!F30</f>
        <v>14609242.471371973</v>
      </c>
      <c r="F11" s="202">
        <f>'2013 Cost Allocation Design'!F31</f>
        <v>2895187.2638190496</v>
      </c>
      <c r="G11" s="202">
        <f>'2013 Cost Allocation Design'!F32</f>
        <v>2439242.6643923665</v>
      </c>
      <c r="H11" s="209">
        <f>'2013 Cost Allocation Design'!F33</f>
        <v>135563.68378124156</v>
      </c>
    </row>
    <row r="12" spans="2:9" x14ac:dyDescent="0.2">
      <c r="B12" s="210" t="s">
        <v>196</v>
      </c>
      <c r="C12" s="203"/>
      <c r="D12" s="77"/>
      <c r="E12" s="202"/>
      <c r="F12" s="202"/>
      <c r="G12" s="202"/>
      <c r="H12" s="209"/>
    </row>
    <row r="13" spans="2:9" x14ac:dyDescent="0.2">
      <c r="B13" s="211" t="s">
        <v>197</v>
      </c>
      <c r="C13" s="201">
        <v>1740361</v>
      </c>
      <c r="D13" s="77"/>
      <c r="E13" s="202">
        <v>1221427</v>
      </c>
      <c r="F13" s="202">
        <v>0</v>
      </c>
      <c r="G13" s="202">
        <v>518934</v>
      </c>
      <c r="H13" s="209">
        <v>0</v>
      </c>
    </row>
    <row r="14" spans="2:9" x14ac:dyDescent="0.2">
      <c r="B14" s="211" t="s">
        <v>198</v>
      </c>
      <c r="C14" s="201">
        <v>733567</v>
      </c>
      <c r="D14" s="77"/>
      <c r="E14" s="202">
        <v>514206</v>
      </c>
      <c r="F14" s="202">
        <v>0</v>
      </c>
      <c r="G14" s="202">
        <v>219361</v>
      </c>
      <c r="H14" s="209">
        <v>0</v>
      </c>
    </row>
    <row r="15" spans="2:9" x14ac:dyDescent="0.2">
      <c r="B15" s="142"/>
      <c r="C15" s="203"/>
      <c r="D15" s="77"/>
      <c r="E15" s="202"/>
      <c r="F15" s="202"/>
      <c r="G15" s="202"/>
      <c r="H15" s="209"/>
    </row>
    <row r="16" spans="2:9" ht="13.5" thickBot="1" x14ac:dyDescent="0.25">
      <c r="B16" s="212" t="s">
        <v>199</v>
      </c>
      <c r="C16" s="213">
        <f>C11+C14</f>
        <v>20812803.083364628</v>
      </c>
      <c r="D16" s="148"/>
      <c r="E16" s="214">
        <f>E11+E14</f>
        <v>15123448.471371973</v>
      </c>
      <c r="F16" s="214">
        <f>F11+F14</f>
        <v>2895187.2638190496</v>
      </c>
      <c r="G16" s="214">
        <f>G11+G14</f>
        <v>2658603.6643923665</v>
      </c>
      <c r="H16" s="215">
        <f>H11+H14</f>
        <v>135563.68378124156</v>
      </c>
    </row>
    <row r="17" spans="3:8" x14ac:dyDescent="0.2">
      <c r="C17" s="179"/>
      <c r="E17" s="178"/>
      <c r="F17" s="178"/>
      <c r="G17" s="178"/>
      <c r="H17" s="178"/>
    </row>
  </sheetData>
  <mergeCells count="1">
    <mergeCell ref="B1:I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5"/>
  <sheetViews>
    <sheetView showGridLines="0" workbookViewId="0">
      <selection activeCell="G36" sqref="G36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46" t="s">
        <v>172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4" spans="2:13" x14ac:dyDescent="0.2">
      <c r="B4" s="257" t="s">
        <v>173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2:13" x14ac:dyDescent="0.2">
      <c r="B5" s="261" t="s">
        <v>80</v>
      </c>
      <c r="C5" s="261" t="s">
        <v>81</v>
      </c>
      <c r="D5" s="262" t="s">
        <v>82</v>
      </c>
      <c r="E5" s="257" t="s">
        <v>83</v>
      </c>
      <c r="F5" s="257"/>
      <c r="G5" s="257" t="s">
        <v>93</v>
      </c>
      <c r="H5" s="257"/>
      <c r="I5" s="257" t="s">
        <v>91</v>
      </c>
      <c r="J5" s="257"/>
      <c r="K5" s="257" t="s">
        <v>84</v>
      </c>
      <c r="L5" s="257"/>
      <c r="M5" s="257"/>
    </row>
    <row r="6" spans="2:13" ht="38.25" x14ac:dyDescent="0.2">
      <c r="B6" s="261"/>
      <c r="C6" s="261"/>
      <c r="D6" s="262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21.394192197785692</v>
      </c>
      <c r="J7" s="81">
        <f>L7/E7</f>
        <v>0.12306520969919338</v>
      </c>
      <c r="K7" s="80">
        <f>G7*M7</f>
        <v>2063854.9329359902</v>
      </c>
      <c r="L7" s="80">
        <f>H7*M7</f>
        <v>13059593.538435983</v>
      </c>
      <c r="M7" s="76">
        <f>'Smart Meter Recovery'!E16</f>
        <v>15123448.471371973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603.65104625279992</v>
      </c>
      <c r="J8" s="81">
        <f>L8/F8</f>
        <v>16.765059105358514</v>
      </c>
      <c r="K8" s="80">
        <f>G8*M8</f>
        <v>347703.00264161272</v>
      </c>
      <c r="L8" s="80">
        <f>H8*M8</f>
        <v>2547484.2611774369</v>
      </c>
      <c r="M8" s="76">
        <f>'Smart Meter Recovery'!F16</f>
        <v>2895187.2638190496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2411557.9355776031</v>
      </c>
      <c r="L9" s="78">
        <f>SUM(L7:L8)</f>
        <v>15607077.79961342</v>
      </c>
      <c r="M9" s="78">
        <f>SUM(M7:M8)</f>
        <v>18018635.735191021</v>
      </c>
    </row>
    <row r="10" spans="2:13" x14ac:dyDescent="0.2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60"/>
    </row>
    <row r="11" spans="2:13" x14ac:dyDescent="0.2">
      <c r="B11" s="257" t="s">
        <v>174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</row>
    <row r="12" spans="2:13" ht="12.75" customHeight="1" x14ac:dyDescent="0.2">
      <c r="B12" s="257" t="s">
        <v>117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</row>
    <row r="13" spans="2:13" x14ac:dyDescent="0.2">
      <c r="B13" s="263" t="s">
        <v>140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64"/>
      <c r="M13" s="136">
        <f>'Allocated Revenues'!E36</f>
        <v>2.81E-2</v>
      </c>
    </row>
    <row r="14" spans="2:13" x14ac:dyDescent="0.2">
      <c r="B14" s="261" t="s">
        <v>80</v>
      </c>
      <c r="C14" s="261" t="s">
        <v>81</v>
      </c>
      <c r="D14" s="262" t="s">
        <v>82</v>
      </c>
      <c r="E14" s="257" t="s">
        <v>83</v>
      </c>
      <c r="F14" s="257"/>
      <c r="G14" s="257" t="s">
        <v>93</v>
      </c>
      <c r="H14" s="257"/>
      <c r="I14" s="257" t="s">
        <v>91</v>
      </c>
      <c r="J14" s="257"/>
      <c r="K14" s="257" t="s">
        <v>84</v>
      </c>
      <c r="L14" s="257"/>
      <c r="M14" s="257"/>
    </row>
    <row r="15" spans="2:13" ht="38.25" x14ac:dyDescent="0.2">
      <c r="B15" s="261"/>
      <c r="C15" s="261"/>
      <c r="D15" s="262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0.39301017199254534</v>
      </c>
      <c r="H16" s="82">
        <f>L16/M16</f>
        <v>0.6069898280074546</v>
      </c>
      <c r="I16" s="83">
        <f>'Tariff Sheet'!F7*(1+M13)</f>
        <v>22.114431000000003</v>
      </c>
      <c r="J16" s="81">
        <f>'Tariff Sheet'!F8*(1+M13)</f>
        <v>3.1048620000000002E-2</v>
      </c>
      <c r="K16" s="80">
        <f>D16*I16*12</f>
        <v>2133334.9297080003</v>
      </c>
      <c r="L16" s="80">
        <f>J16*E16</f>
        <v>3294857.7272201404</v>
      </c>
      <c r="M16" s="76">
        <f>K16+L16</f>
        <v>5428192.6569281407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0.45482299339336851</v>
      </c>
      <c r="H17" s="107">
        <f>L17/M17</f>
        <v>0.54517700660663149</v>
      </c>
      <c r="I17" s="108">
        <f>'Tariff Sheet'!F13*(1+M13)</f>
        <v>612.87097200000005</v>
      </c>
      <c r="J17" s="109">
        <f>'Tariff Sheet'!F14*(1+M13)</f>
        <v>2.7847116600000001</v>
      </c>
      <c r="K17" s="106">
        <f>D17*I17*12</f>
        <v>353013.67987200001</v>
      </c>
      <c r="L17" s="106">
        <f>J17*F17</f>
        <v>423142.50616032002</v>
      </c>
      <c r="M17" s="110">
        <f>K17+L17</f>
        <v>776156.18603232002</v>
      </c>
    </row>
    <row r="18" spans="2:13" x14ac:dyDescent="0.2">
      <c r="B18" s="70" t="s">
        <v>138</v>
      </c>
      <c r="C18" s="71"/>
      <c r="D18" s="72"/>
      <c r="E18" s="80"/>
      <c r="F18" s="80"/>
      <c r="G18" s="82">
        <f>K18/M18</f>
        <v>0.44239178425578107</v>
      </c>
      <c r="H18" s="82">
        <f>L18/M18</f>
        <v>0.55760821574421893</v>
      </c>
      <c r="I18" s="83">
        <v>596.12</v>
      </c>
      <c r="J18" s="81">
        <f>L18/F17</f>
        <v>2.8482090793955988</v>
      </c>
      <c r="K18" s="80">
        <f>D17*I18*12</f>
        <v>343365.12</v>
      </c>
      <c r="L18" s="80">
        <f>M17-K18</f>
        <v>432791.06603232003</v>
      </c>
      <c r="M18" s="76">
        <f>K18+L18</f>
        <v>776156.18603232002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2476700.0497080004</v>
      </c>
      <c r="L19" s="78">
        <f>L16+L18</f>
        <v>3727648.7932524607</v>
      </c>
      <c r="M19" s="78">
        <f>M16+M18</f>
        <v>6204348.842960461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274" t="s">
        <v>180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84">
        <f>M9-M19</f>
        <v>11814286.892230559</v>
      </c>
    </row>
    <row r="24" spans="2:13" x14ac:dyDescent="0.2">
      <c r="B24" s="263" t="s">
        <v>203</v>
      </c>
      <c r="C24" s="275"/>
      <c r="D24" s="275"/>
      <c r="E24" s="275"/>
      <c r="F24" s="275"/>
      <c r="G24" s="275"/>
      <c r="H24" s="275"/>
      <c r="I24" s="275"/>
      <c r="J24" s="264"/>
    </row>
    <row r="25" spans="2:13" x14ac:dyDescent="0.2">
      <c r="B25" s="263" t="s">
        <v>197</v>
      </c>
      <c r="C25" s="275"/>
      <c r="D25" s="275"/>
      <c r="E25" s="275"/>
      <c r="F25" s="275"/>
      <c r="G25" s="275"/>
      <c r="H25" s="275"/>
      <c r="I25" s="275"/>
      <c r="J25" s="264"/>
    </row>
    <row r="26" spans="2:13" x14ac:dyDescent="0.2">
      <c r="B26" s="261" t="s">
        <v>80</v>
      </c>
      <c r="C26" s="261" t="s">
        <v>81</v>
      </c>
      <c r="D26" s="262" t="s">
        <v>82</v>
      </c>
      <c r="E26" s="257" t="s">
        <v>83</v>
      </c>
      <c r="F26" s="257"/>
      <c r="G26" s="263" t="s">
        <v>200</v>
      </c>
      <c r="H26" s="264"/>
      <c r="I26" s="263" t="s">
        <v>201</v>
      </c>
      <c r="J26" s="264"/>
    </row>
    <row r="27" spans="2:13" x14ac:dyDescent="0.2">
      <c r="B27" s="261"/>
      <c r="C27" s="261"/>
      <c r="D27" s="262"/>
      <c r="E27" s="216" t="s">
        <v>73</v>
      </c>
      <c r="F27" s="216" t="s">
        <v>72</v>
      </c>
      <c r="G27" s="241" t="s">
        <v>212</v>
      </c>
      <c r="H27" s="277"/>
      <c r="I27" s="241" t="s">
        <v>202</v>
      </c>
      <c r="J27" s="277"/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278">
        <f>'Smart Meter Recovery'!E13</f>
        <v>1221427</v>
      </c>
      <c r="H28" s="279"/>
      <c r="I28" s="280">
        <f>G28/E28</f>
        <v>1.1509942437707629E-2</v>
      </c>
      <c r="J28" s="281"/>
    </row>
    <row r="31" spans="2:13" x14ac:dyDescent="0.2">
      <c r="B31" s="263" t="s">
        <v>203</v>
      </c>
      <c r="C31" s="275"/>
      <c r="D31" s="275"/>
      <c r="E31" s="275"/>
      <c r="F31" s="275"/>
      <c r="G31" s="275"/>
      <c r="H31" s="275"/>
      <c r="I31" s="275"/>
      <c r="J31" s="264"/>
    </row>
    <row r="32" spans="2:13" x14ac:dyDescent="0.2">
      <c r="B32" s="263" t="s">
        <v>198</v>
      </c>
      <c r="C32" s="275"/>
      <c r="D32" s="275"/>
      <c r="E32" s="275"/>
      <c r="F32" s="275"/>
      <c r="G32" s="275"/>
      <c r="H32" s="275"/>
      <c r="I32" s="275"/>
      <c r="J32" s="264"/>
    </row>
    <row r="33" spans="2:10" x14ac:dyDescent="0.2">
      <c r="B33" s="261" t="s">
        <v>80</v>
      </c>
      <c r="C33" s="261" t="s">
        <v>81</v>
      </c>
      <c r="D33" s="262" t="s">
        <v>82</v>
      </c>
      <c r="E33" s="257" t="s">
        <v>83</v>
      </c>
      <c r="F33" s="257"/>
      <c r="G33" s="263" t="s">
        <v>200</v>
      </c>
      <c r="H33" s="264"/>
      <c r="I33" s="263" t="s">
        <v>201</v>
      </c>
      <c r="J33" s="264"/>
    </row>
    <row r="34" spans="2:10" x14ac:dyDescent="0.2">
      <c r="B34" s="261"/>
      <c r="C34" s="261"/>
      <c r="D34" s="262"/>
      <c r="E34" s="216" t="s">
        <v>73</v>
      </c>
      <c r="F34" s="216" t="s">
        <v>72</v>
      </c>
      <c r="G34" s="241" t="s">
        <v>212</v>
      </c>
      <c r="H34" s="277"/>
      <c r="I34" s="241" t="s">
        <v>202</v>
      </c>
      <c r="J34" s="277"/>
    </row>
    <row r="35" spans="2:10" x14ac:dyDescent="0.2">
      <c r="B35" s="70" t="s">
        <v>69</v>
      </c>
      <c r="C35" s="71" t="s">
        <v>73</v>
      </c>
      <c r="D35" s="72">
        <v>8039</v>
      </c>
      <c r="E35" s="80">
        <v>106119297</v>
      </c>
      <c r="F35" s="80"/>
      <c r="G35" s="278">
        <v>0</v>
      </c>
      <c r="H35" s="279"/>
      <c r="I35" s="280">
        <f>G35/E35</f>
        <v>0</v>
      </c>
      <c r="J35" s="281"/>
    </row>
  </sheetData>
  <mergeCells count="45">
    <mergeCell ref="G35:H35"/>
    <mergeCell ref="I35:J35"/>
    <mergeCell ref="G28:H28"/>
    <mergeCell ref="I28:J28"/>
    <mergeCell ref="B31:J31"/>
    <mergeCell ref="B32:J32"/>
    <mergeCell ref="B33:B34"/>
    <mergeCell ref="C33:C34"/>
    <mergeCell ref="D33:D34"/>
    <mergeCell ref="E33:F33"/>
    <mergeCell ref="G33:H33"/>
    <mergeCell ref="I33:J33"/>
    <mergeCell ref="G34:H34"/>
    <mergeCell ref="I34:J34"/>
    <mergeCell ref="B24:J24"/>
    <mergeCell ref="B25:J25"/>
    <mergeCell ref="B26:B27"/>
    <mergeCell ref="C26:C27"/>
    <mergeCell ref="D26:D27"/>
    <mergeCell ref="E26:F26"/>
    <mergeCell ref="G26:H26"/>
    <mergeCell ref="I26:J26"/>
    <mergeCell ref="G27:H27"/>
    <mergeCell ref="I27:J27"/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</mergeCells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 Data</vt:lpstr>
      <vt:lpstr>Cost Allocation Sheet O1</vt:lpstr>
      <vt:lpstr>2011 Cost Allocation Design</vt:lpstr>
      <vt:lpstr>Allocated Revenues</vt:lpstr>
      <vt:lpstr>2013 Cost Allocation Design</vt:lpstr>
      <vt:lpstr>Smart Meter Recovery</vt:lpstr>
      <vt:lpstr>2013 RRRP Rate Design</vt:lpstr>
      <vt:lpstr>2012 Non-RRRP Rate Design</vt:lpstr>
      <vt:lpstr>Reconciliation</vt:lpstr>
      <vt:lpstr>Reconciliation (2)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2013-01-03T20:18:13Z</cp:lastPrinted>
  <dcterms:created xsi:type="dcterms:W3CDTF">2010-05-25T18:02:24Z</dcterms:created>
  <dcterms:modified xsi:type="dcterms:W3CDTF">2013-01-03T21:07:45Z</dcterms:modified>
</cp:coreProperties>
</file>