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0100" windowHeight="87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<sst xmlns="http://schemas.openxmlformats.org/spreadsheetml/2006/main" count="106" uniqueCount="46">
  <si>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Cost of Meter</t>
  </si>
  <si>
    <t>Meter Types by Customer Class</t>
  </si>
  <si>
    <t>Total</t>
  </si>
  <si>
    <t>1S</t>
  </si>
  <si>
    <t>2S</t>
  </si>
  <si>
    <t>3S</t>
  </si>
  <si>
    <t>9S</t>
  </si>
  <si>
    <t>12S</t>
  </si>
  <si>
    <t>16S</t>
  </si>
  <si>
    <t>35S</t>
  </si>
  <si>
    <t>Residential</t>
  </si>
  <si>
    <t>Seasonal</t>
  </si>
  <si>
    <t>GS&lt;50</t>
  </si>
  <si>
    <t>CIS Modifications - Olameter</t>
  </si>
  <si>
    <t>API Ops Labour - Meter Installs</t>
  </si>
  <si>
    <t>Meter Installs - API vs Olameter</t>
  </si>
  <si>
    <t>Olameter</t>
  </si>
  <si>
    <t>API</t>
  </si>
  <si>
    <t>Other Capital Costs Allocated to Specific Meter Types</t>
  </si>
  <si>
    <t>Meter and Installation Costs Allocated to Specific Meter Types</t>
  </si>
  <si>
    <t>Meters</t>
  </si>
  <si>
    <t>Rings, Seals, Adapters</t>
  </si>
  <si>
    <t>Balance of Meter Costs (1.1.1)</t>
  </si>
  <si>
    <t>Balance of Install Costs (1.1.2)</t>
  </si>
  <si>
    <t>60% Vehicles</t>
  </si>
  <si>
    <t>Collectors (1.2.1)</t>
  </si>
  <si>
    <t>Repeaters (1.2.2)</t>
  </si>
  <si>
    <t>Installation (1.2.3)</t>
  </si>
  <si>
    <t>Computer Software (1.3.2)</t>
  </si>
  <si>
    <t>AMI Interface to CIS (1.5.2)</t>
  </si>
  <si>
    <t>Professional Fees (1.5.3)</t>
  </si>
  <si>
    <t>Integration (1.5.4)</t>
  </si>
  <si>
    <t>Program Management (1.5.5)</t>
  </si>
  <si>
    <t>Other AMI Capital (1.5.6)</t>
  </si>
  <si>
    <t>TOU, CIS, MDMR (1.6.3)</t>
  </si>
  <si>
    <t>Allocate Costs to Rate Classes (Based on costs allocated to each meter type and number of each type of meter by class)</t>
  </si>
  <si>
    <t>Cost Per Meter</t>
  </si>
  <si>
    <t>Inventory</t>
  </si>
  <si>
    <t>Contract Staff for Installs 2010-2011</t>
  </si>
  <si>
    <t>R1</t>
  </si>
  <si>
    <t>Meter and Accessory Costs and Install Premiums By Meter Type (Cost per Meter)</t>
  </si>
  <si>
    <t>Install Premiums - API-installed</t>
  </si>
  <si>
    <t>Cost of Install Premium</t>
  </si>
  <si>
    <t>Customer Equipment (1.5.1) - Damage</t>
  </si>
  <si>
    <t>Customer Equipment (1.5.1) - Non-Standard</t>
  </si>
  <si>
    <t>Cost of Ring, Seal, Adapter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</si>
</sst>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5" fillId="0" borderId="12" xfId="0" applyFont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0" fontId="37" fillId="0" borderId="0" xfId="0" applyFont="1" applyFill="1" applyBorder="1" applyAlignment="1">
      <alignment/>
    </xf>
    <xf numFmtId="2" fontId="35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70" fontId="35" fillId="0" borderId="10" xfId="44" applyFont="1" applyFill="1" applyBorder="1" applyAlignment="1">
      <alignment/>
    </xf>
    <xf numFmtId="4" fontId="35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6">
      <selection activeCell="A47" sqref="A47"/>
    </sheetView>
  </sheetViews>
  <sheetFormatPr defaultColWidth="9.140625" defaultRowHeight="15"/>
  <cols>
    <col min="1" max="1" width="36.7109375" style="0" customWidth="1"/>
    <col min="2" max="2" width="9.28125" style="0" bestFit="1" customWidth="1"/>
    <col min="3" max="3" width="11.7109375" style="0" bestFit="1" customWidth="1"/>
    <col min="4" max="4" width="10.140625" style="0" bestFit="1" customWidth="1"/>
    <col min="5" max="5" width="9.7109375" style="0" bestFit="1" customWidth="1"/>
    <col min="6" max="6" width="9.28125" style="0" bestFit="1" customWidth="1"/>
    <col min="7" max="7" width="9.7109375" style="0" bestFit="1" customWidth="1"/>
    <col min="8" max="8" width="9.28125" style="0" bestFit="1" customWidth="1"/>
    <col min="9" max="9" width="14.140625" style="2" bestFit="1" customWidth="1"/>
    <col min="10" max="10" width="13.7109375" style="0" bestFit="1" customWidth="1"/>
  </cols>
  <sheetData>
    <row r="1" ht="14.25">
      <c r="A1" s="1" t="s">
        <v>1</v>
      </c>
    </row>
    <row r="3" spans="1:9" ht="14.25">
      <c r="A3" s="3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2</v>
      </c>
    </row>
    <row r="4" spans="1:9" ht="14.25">
      <c r="A4" s="4" t="s">
        <v>10</v>
      </c>
      <c r="B4" s="5">
        <v>1</v>
      </c>
      <c r="C4" s="5">
        <v>6935</v>
      </c>
      <c r="D4" s="5">
        <v>150</v>
      </c>
      <c r="E4" s="5">
        <v>0</v>
      </c>
      <c r="F4" s="5">
        <v>5</v>
      </c>
      <c r="G4" s="5">
        <v>4</v>
      </c>
      <c r="H4" s="5">
        <v>0</v>
      </c>
      <c r="I4" s="7">
        <f>SUM(B4:H4)</f>
        <v>7095</v>
      </c>
    </row>
    <row r="5" spans="1:9" ht="14.25">
      <c r="A5" s="4" t="s">
        <v>11</v>
      </c>
      <c r="B5" s="5">
        <v>6</v>
      </c>
      <c r="C5" s="5">
        <v>3504</v>
      </c>
      <c r="D5" s="5">
        <v>38</v>
      </c>
      <c r="E5" s="5">
        <v>0</v>
      </c>
      <c r="F5" s="5">
        <v>0</v>
      </c>
      <c r="G5" s="5">
        <v>0</v>
      </c>
      <c r="H5" s="5">
        <v>0</v>
      </c>
      <c r="I5" s="7">
        <f>SUM(B5:H5)</f>
        <v>3548</v>
      </c>
    </row>
    <row r="6" spans="1:9" ht="14.25">
      <c r="A6" s="4" t="s">
        <v>12</v>
      </c>
      <c r="B6" s="5">
        <v>2</v>
      </c>
      <c r="C6" s="5">
        <v>631</v>
      </c>
      <c r="D6" s="5">
        <v>200</v>
      </c>
      <c r="E6" s="5">
        <v>41</v>
      </c>
      <c r="F6" s="5">
        <v>11</v>
      </c>
      <c r="G6" s="5">
        <v>54</v>
      </c>
      <c r="H6" s="5">
        <v>10</v>
      </c>
      <c r="I6" s="7">
        <f>SUM(B6:H6)</f>
        <v>949</v>
      </c>
    </row>
    <row r="7" spans="1:9" ht="14.25">
      <c r="A7" s="6" t="s">
        <v>2</v>
      </c>
      <c r="B7" s="7">
        <f>SUM(B4:B6)</f>
        <v>9</v>
      </c>
      <c r="C7" s="7">
        <f aca="true" t="shared" si="0" ref="C7:H7">SUM(C4:C6)</f>
        <v>11070</v>
      </c>
      <c r="D7" s="7">
        <f t="shared" si="0"/>
        <v>388</v>
      </c>
      <c r="E7" s="7">
        <f t="shared" si="0"/>
        <v>41</v>
      </c>
      <c r="F7" s="7">
        <f t="shared" si="0"/>
        <v>16</v>
      </c>
      <c r="G7" s="7">
        <f t="shared" si="0"/>
        <v>58</v>
      </c>
      <c r="H7" s="7">
        <f t="shared" si="0"/>
        <v>10</v>
      </c>
      <c r="I7" s="7">
        <f>SUM(B7:H7)</f>
        <v>11592</v>
      </c>
    </row>
    <row r="8" spans="1:9" ht="14.25">
      <c r="A8" s="15" t="s">
        <v>37</v>
      </c>
      <c r="B8" s="16">
        <v>2</v>
      </c>
      <c r="C8" s="28">
        <v>419</v>
      </c>
      <c r="D8" s="28">
        <v>59</v>
      </c>
      <c r="E8" s="28">
        <v>8</v>
      </c>
      <c r="F8" s="28">
        <v>4</v>
      </c>
      <c r="G8" s="28">
        <v>16</v>
      </c>
      <c r="H8" s="28">
        <v>7</v>
      </c>
      <c r="I8" s="9"/>
    </row>
    <row r="9" spans="1:9" s="14" customFormat="1" ht="14.25">
      <c r="A9" s="15"/>
      <c r="B9" s="16"/>
      <c r="C9" s="16"/>
      <c r="D9" s="16"/>
      <c r="E9" s="16"/>
      <c r="F9" s="16"/>
      <c r="G9" s="16"/>
      <c r="H9" s="16"/>
      <c r="I9" s="16"/>
    </row>
    <row r="10" spans="1:9" s="14" customFormat="1" ht="14.25">
      <c r="A10" s="17" t="s">
        <v>15</v>
      </c>
      <c r="B10" s="16"/>
      <c r="C10" s="16"/>
      <c r="D10" s="16"/>
      <c r="E10" s="16"/>
      <c r="F10" s="16"/>
      <c r="G10" s="16"/>
      <c r="H10" s="16"/>
      <c r="I10" s="16"/>
    </row>
    <row r="11" spans="1:9" s="14" customFormat="1" ht="14.25">
      <c r="A11" s="15"/>
      <c r="B11" s="16"/>
      <c r="C11" s="16"/>
      <c r="D11" s="16"/>
      <c r="E11" s="16"/>
      <c r="F11" s="16"/>
      <c r="G11" s="16"/>
      <c r="H11" s="16"/>
      <c r="I11" s="16"/>
    </row>
    <row r="12" spans="1:9" s="14" customFormat="1" ht="14.25">
      <c r="A12" s="3"/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11" t="s">
        <v>2</v>
      </c>
    </row>
    <row r="13" spans="1:9" s="14" customFormat="1" ht="14.25">
      <c r="A13" s="4" t="s">
        <v>16</v>
      </c>
      <c r="B13" s="5">
        <v>0</v>
      </c>
      <c r="C13" s="5">
        <f>I13-D13</f>
        <v>9260</v>
      </c>
      <c r="D13" s="5">
        <v>355</v>
      </c>
      <c r="E13" s="5">
        <v>0</v>
      </c>
      <c r="F13" s="5">
        <v>0</v>
      </c>
      <c r="G13" s="5">
        <v>0</v>
      </c>
      <c r="H13" s="5">
        <v>0</v>
      </c>
      <c r="I13" s="7">
        <v>9615</v>
      </c>
    </row>
    <row r="14" spans="1:9" s="14" customFormat="1" ht="14.25">
      <c r="A14" s="4" t="s">
        <v>17</v>
      </c>
      <c r="B14" s="5">
        <f aca="true" t="shared" si="1" ref="B14:H14">B7-B13</f>
        <v>9</v>
      </c>
      <c r="C14" s="5">
        <f t="shared" si="1"/>
        <v>1810</v>
      </c>
      <c r="D14" s="5">
        <f t="shared" si="1"/>
        <v>33</v>
      </c>
      <c r="E14" s="5">
        <f t="shared" si="1"/>
        <v>41</v>
      </c>
      <c r="F14" s="5">
        <f t="shared" si="1"/>
        <v>16</v>
      </c>
      <c r="G14" s="5">
        <f t="shared" si="1"/>
        <v>58</v>
      </c>
      <c r="H14" s="5">
        <f t="shared" si="1"/>
        <v>10</v>
      </c>
      <c r="I14" s="7">
        <f>SUM(B14:H14)</f>
        <v>1977</v>
      </c>
    </row>
    <row r="15" spans="1:9" ht="14.25">
      <c r="A15" s="6" t="s">
        <v>2</v>
      </c>
      <c r="B15" s="7">
        <f aca="true" t="shared" si="2" ref="B15:H15">SUM(B11:B14)</f>
        <v>9</v>
      </c>
      <c r="C15" s="7">
        <f t="shared" si="2"/>
        <v>11070</v>
      </c>
      <c r="D15" s="7">
        <f t="shared" si="2"/>
        <v>388</v>
      </c>
      <c r="E15" s="7">
        <f t="shared" si="2"/>
        <v>41</v>
      </c>
      <c r="F15" s="7">
        <f t="shared" si="2"/>
        <v>16</v>
      </c>
      <c r="G15" s="7">
        <f t="shared" si="2"/>
        <v>58</v>
      </c>
      <c r="H15" s="7">
        <f t="shared" si="2"/>
        <v>10</v>
      </c>
      <c r="I15" s="7">
        <f>SUM(B15:H15)</f>
        <v>11592</v>
      </c>
    </row>
    <row r="16" spans="1:8" ht="14.25">
      <c r="A16" s="8"/>
      <c r="B16" s="9"/>
      <c r="C16" s="9"/>
      <c r="D16" s="9"/>
      <c r="E16" s="9"/>
      <c r="F16" s="9"/>
      <c r="G16" s="9"/>
      <c r="H16" s="9"/>
    </row>
    <row r="17" ht="14.25">
      <c r="A17" s="1" t="s">
        <v>40</v>
      </c>
    </row>
    <row r="18" ht="14.25">
      <c r="A18" s="1"/>
    </row>
    <row r="19" spans="1:9" ht="14.25">
      <c r="A19" s="3"/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12"/>
    </row>
    <row r="20" spans="1:9" ht="14.25">
      <c r="A20" s="4" t="s">
        <v>0</v>
      </c>
      <c r="B20" s="18">
        <v>132.6</v>
      </c>
      <c r="C20" s="18">
        <v>68.17</v>
      </c>
      <c r="D20" s="18">
        <v>140.05</v>
      </c>
      <c r="E20" s="18">
        <v>584.45</v>
      </c>
      <c r="F20" s="18">
        <v>147.15</v>
      </c>
      <c r="G20" s="18">
        <v>584.45</v>
      </c>
      <c r="H20" s="18">
        <v>584.45</v>
      </c>
      <c r="I20" s="13"/>
    </row>
    <row r="21" spans="1:9" ht="14.25">
      <c r="A21" s="29" t="s">
        <v>45</v>
      </c>
      <c r="B21" s="18">
        <f>0.29+4.54</f>
        <v>4.83</v>
      </c>
      <c r="C21" s="18">
        <f>B21</f>
        <v>4.83</v>
      </c>
      <c r="D21" s="18">
        <f>93.3+B21</f>
        <v>98.13</v>
      </c>
      <c r="E21" s="18">
        <f>120.19+B21</f>
        <v>125.02</v>
      </c>
      <c r="F21" s="18">
        <f>B21</f>
        <v>4.83</v>
      </c>
      <c r="G21" s="18">
        <f>B21</f>
        <v>4.83</v>
      </c>
      <c r="H21" s="18">
        <f>115.29+B21</f>
        <v>120.12</v>
      </c>
      <c r="I21" s="13"/>
    </row>
    <row r="22" spans="1:9" ht="14.25">
      <c r="A22" s="29" t="s">
        <v>42</v>
      </c>
      <c r="B22" s="31">
        <v>50</v>
      </c>
      <c r="C22" s="31">
        <v>0</v>
      </c>
      <c r="D22" s="31">
        <v>50</v>
      </c>
      <c r="E22" s="31">
        <v>500</v>
      </c>
      <c r="F22" s="31">
        <v>50</v>
      </c>
      <c r="G22" s="31">
        <v>50</v>
      </c>
      <c r="H22" s="31">
        <v>500</v>
      </c>
      <c r="I22" s="13"/>
    </row>
    <row r="23" spans="1:9" s="2" customFormat="1" ht="14.25">
      <c r="A23" s="6" t="s">
        <v>2</v>
      </c>
      <c r="B23" s="7">
        <f>SUM(B20:B21)</f>
        <v>137.43</v>
      </c>
      <c r="C23" s="7">
        <f aca="true" t="shared" si="3" ref="C23:H23">SUM(C20:C21)</f>
        <v>73</v>
      </c>
      <c r="D23" s="7">
        <f t="shared" si="3"/>
        <v>238.18</v>
      </c>
      <c r="E23" s="7">
        <f t="shared" si="3"/>
        <v>709.47</v>
      </c>
      <c r="F23" s="7">
        <f t="shared" si="3"/>
        <v>151.98000000000002</v>
      </c>
      <c r="G23" s="7">
        <f t="shared" si="3"/>
        <v>589.2800000000001</v>
      </c>
      <c r="H23" s="7">
        <f t="shared" si="3"/>
        <v>704.57</v>
      </c>
      <c r="I23" s="13"/>
    </row>
    <row r="25" ht="14.25">
      <c r="A25" s="1" t="s">
        <v>19</v>
      </c>
    </row>
    <row r="26" ht="14.25">
      <c r="A26" s="1"/>
    </row>
    <row r="27" spans="1:9" ht="14.25">
      <c r="A27" s="3"/>
      <c r="B27" s="4" t="s">
        <v>3</v>
      </c>
      <c r="C27" s="4" t="s">
        <v>4</v>
      </c>
      <c r="D27" s="4" t="s">
        <v>5</v>
      </c>
      <c r="E27" s="4" t="s">
        <v>6</v>
      </c>
      <c r="F27" s="4" t="s">
        <v>7</v>
      </c>
      <c r="G27" s="4" t="s">
        <v>8</v>
      </c>
      <c r="H27" s="4" t="s">
        <v>9</v>
      </c>
      <c r="I27" s="11" t="s">
        <v>2</v>
      </c>
    </row>
    <row r="28" spans="1:9" ht="14.25">
      <c r="A28" s="4" t="s">
        <v>20</v>
      </c>
      <c r="B28" s="25">
        <f>B20*B7</f>
        <v>1193.3999999999999</v>
      </c>
      <c r="C28" s="25">
        <f aca="true" t="shared" si="4" ref="C28:H28">C20*C7</f>
        <v>754641.9</v>
      </c>
      <c r="D28" s="25">
        <f t="shared" si="4"/>
        <v>54339.4</v>
      </c>
      <c r="E28" s="25">
        <f t="shared" si="4"/>
        <v>23962.45</v>
      </c>
      <c r="F28" s="25">
        <f t="shared" si="4"/>
        <v>2354.4</v>
      </c>
      <c r="G28" s="25">
        <f t="shared" si="4"/>
        <v>33898.100000000006</v>
      </c>
      <c r="H28" s="25">
        <f t="shared" si="4"/>
        <v>5844.5</v>
      </c>
      <c r="I28" s="22">
        <f>SUM(B28:H28)</f>
        <v>876234.15</v>
      </c>
    </row>
    <row r="29" spans="1:9" ht="14.25">
      <c r="A29" s="29" t="s">
        <v>21</v>
      </c>
      <c r="B29" s="32">
        <f>B21*B7</f>
        <v>43.47</v>
      </c>
      <c r="C29" s="32">
        <f aca="true" t="shared" si="5" ref="C29:H29">C21*C7</f>
        <v>53468.1</v>
      </c>
      <c r="D29" s="32">
        <f t="shared" si="5"/>
        <v>38074.439999999995</v>
      </c>
      <c r="E29" s="32">
        <f t="shared" si="5"/>
        <v>5125.82</v>
      </c>
      <c r="F29" s="32">
        <f t="shared" si="5"/>
        <v>77.28</v>
      </c>
      <c r="G29" s="32">
        <f t="shared" si="5"/>
        <v>280.14</v>
      </c>
      <c r="H29" s="32">
        <f t="shared" si="5"/>
        <v>1201.2</v>
      </c>
      <c r="I29" s="22">
        <f>SUM(B29:H29)</f>
        <v>98270.44999999998</v>
      </c>
    </row>
    <row r="30" spans="1:9" ht="14.25">
      <c r="A30" s="29" t="s">
        <v>41</v>
      </c>
      <c r="B30" s="32">
        <f>B14*B22</f>
        <v>450</v>
      </c>
      <c r="C30" s="32">
        <f aca="true" t="shared" si="6" ref="C30:H30">C14*C22</f>
        <v>0</v>
      </c>
      <c r="D30" s="32">
        <f t="shared" si="6"/>
        <v>1650</v>
      </c>
      <c r="E30" s="32">
        <f t="shared" si="6"/>
        <v>20500</v>
      </c>
      <c r="F30" s="32">
        <f t="shared" si="6"/>
        <v>800</v>
      </c>
      <c r="G30" s="32">
        <f t="shared" si="6"/>
        <v>2900</v>
      </c>
      <c r="H30" s="32">
        <f t="shared" si="6"/>
        <v>5000</v>
      </c>
      <c r="I30" s="22">
        <f>SUM(B30:H30)</f>
        <v>31300</v>
      </c>
    </row>
    <row r="31" spans="1:9" ht="14.25">
      <c r="A31" s="4" t="s">
        <v>16</v>
      </c>
      <c r="B31" s="23"/>
      <c r="C31" s="23">
        <f>I31-D31</f>
        <v>144828.91</v>
      </c>
      <c r="D31" s="23">
        <f>14881.5</f>
        <v>14881.5</v>
      </c>
      <c r="E31" s="23"/>
      <c r="F31" s="23"/>
      <c r="G31" s="23"/>
      <c r="H31" s="23"/>
      <c r="I31" s="24">
        <v>159710.41</v>
      </c>
    </row>
    <row r="32" spans="1:9" ht="14.25">
      <c r="A32" s="4" t="s">
        <v>13</v>
      </c>
      <c r="B32" s="23"/>
      <c r="C32" s="23">
        <f>$I32*C13/$I13</f>
        <v>13696.04561622465</v>
      </c>
      <c r="D32" s="23">
        <f>$I32*D13/$I13</f>
        <v>525.064383775351</v>
      </c>
      <c r="E32" s="23"/>
      <c r="F32" s="23"/>
      <c r="G32" s="23"/>
      <c r="H32" s="23"/>
      <c r="I32" s="24">
        <v>14221.11</v>
      </c>
    </row>
    <row r="33" spans="1:9" ht="14.25">
      <c r="A33" s="4" t="s">
        <v>14</v>
      </c>
      <c r="B33" s="23">
        <f>$I33/$I$14*B$14</f>
        <v>691.0945675265554</v>
      </c>
      <c r="C33" s="23">
        <f aca="true" t="shared" si="7" ref="C33:H35">$I33/$I$14*C$14</f>
        <v>138986.79635811836</v>
      </c>
      <c r="D33" s="23">
        <f t="shared" si="7"/>
        <v>2534.0134142640363</v>
      </c>
      <c r="E33" s="23">
        <f t="shared" si="7"/>
        <v>3148.319696509863</v>
      </c>
      <c r="F33" s="23">
        <f t="shared" si="7"/>
        <v>1228.612564491654</v>
      </c>
      <c r="G33" s="23">
        <f t="shared" si="7"/>
        <v>4453.720546282246</v>
      </c>
      <c r="H33" s="23">
        <f t="shared" si="7"/>
        <v>767.8828528072837</v>
      </c>
      <c r="I33" s="24">
        <f>183110.44-I30</f>
        <v>151810.44</v>
      </c>
    </row>
    <row r="34" spans="1:9" ht="14.25">
      <c r="A34" s="4" t="s">
        <v>38</v>
      </c>
      <c r="B34" s="23">
        <f>$I34/$I$14*B$14</f>
        <v>521.1227162367222</v>
      </c>
      <c r="C34" s="23">
        <f t="shared" si="7"/>
        <v>104803.56848760748</v>
      </c>
      <c r="D34" s="23">
        <f t="shared" si="7"/>
        <v>1910.7832928679816</v>
      </c>
      <c r="E34" s="23">
        <f t="shared" si="7"/>
        <v>2374.0034850784014</v>
      </c>
      <c r="F34" s="23">
        <f t="shared" si="7"/>
        <v>926.4403844208396</v>
      </c>
      <c r="G34" s="23">
        <f t="shared" si="7"/>
        <v>3358.3463935255436</v>
      </c>
      <c r="H34" s="23">
        <f t="shared" si="7"/>
        <v>579.0252402630247</v>
      </c>
      <c r="I34" s="24">
        <v>114473.29</v>
      </c>
    </row>
    <row r="35" spans="1:9" ht="14.25">
      <c r="A35" s="4" t="s">
        <v>24</v>
      </c>
      <c r="B35" s="23">
        <f>$I35/$I$14*B$14</f>
        <v>177.02166919575112</v>
      </c>
      <c r="C35" s="23">
        <f t="shared" si="7"/>
        <v>35601.02458270106</v>
      </c>
      <c r="D35" s="23">
        <f t="shared" si="7"/>
        <v>649.0794537177541</v>
      </c>
      <c r="E35" s="23">
        <f t="shared" si="7"/>
        <v>806.4320485584217</v>
      </c>
      <c r="F35" s="23">
        <f t="shared" si="7"/>
        <v>314.7051896813353</v>
      </c>
      <c r="G35" s="23">
        <f t="shared" si="7"/>
        <v>1140.8063125948404</v>
      </c>
      <c r="H35" s="23">
        <f t="shared" si="7"/>
        <v>196.69074355083455</v>
      </c>
      <c r="I35" s="24">
        <f>64809.6*0.6</f>
        <v>38885.759999999995</v>
      </c>
    </row>
    <row r="36" spans="1:9" ht="14.25">
      <c r="A36" s="6" t="s">
        <v>2</v>
      </c>
      <c r="B36" s="24">
        <f>SUM(B28:B35)</f>
        <v>3076.1089529590286</v>
      </c>
      <c r="C36" s="24">
        <f aca="true" t="shared" si="8" ref="C36:H36">SUM(C28:C35)</f>
        <v>1246026.3450446515</v>
      </c>
      <c r="D36" s="24">
        <f t="shared" si="8"/>
        <v>114564.28054462511</v>
      </c>
      <c r="E36" s="24">
        <f t="shared" si="8"/>
        <v>55917.02523014669</v>
      </c>
      <c r="F36" s="24">
        <f t="shared" si="8"/>
        <v>5701.438138593829</v>
      </c>
      <c r="G36" s="24">
        <f t="shared" si="8"/>
        <v>46031.11325240263</v>
      </c>
      <c r="H36" s="24">
        <f t="shared" si="8"/>
        <v>13589.298836621145</v>
      </c>
      <c r="I36" s="24">
        <f>SUM(I28:I35)</f>
        <v>1484905.61</v>
      </c>
    </row>
    <row r="38" ht="14.25">
      <c r="A38" s="19" t="s">
        <v>18</v>
      </c>
    </row>
    <row r="40" spans="1:9" ht="14.25">
      <c r="A40" s="3"/>
      <c r="B40" s="4" t="s">
        <v>3</v>
      </c>
      <c r="C40" s="4" t="s">
        <v>4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11" t="s">
        <v>2</v>
      </c>
    </row>
    <row r="41" spans="1:9" ht="14.25">
      <c r="A41" s="4" t="s">
        <v>22</v>
      </c>
      <c r="B41" s="21">
        <f>$I41/$I$7*B$7</f>
        <v>134.30190217391302</v>
      </c>
      <c r="C41" s="21">
        <f aca="true" t="shared" si="9" ref="C41:H54">$I41/$I$7*C$7</f>
        <v>165191.33967391303</v>
      </c>
      <c r="D41" s="21">
        <f t="shared" si="9"/>
        <v>5789.904227053139</v>
      </c>
      <c r="E41" s="21">
        <f t="shared" si="9"/>
        <v>611.8197765700482</v>
      </c>
      <c r="F41" s="21">
        <f t="shared" si="9"/>
        <v>238.7589371980676</v>
      </c>
      <c r="G41" s="21">
        <f t="shared" si="9"/>
        <v>865.5011473429951</v>
      </c>
      <c r="H41" s="21">
        <f t="shared" si="9"/>
        <v>149.22433574879224</v>
      </c>
      <c r="I41" s="22">
        <f>1049215-I28</f>
        <v>172980.84999999998</v>
      </c>
    </row>
    <row r="42" spans="1:9" ht="14.25">
      <c r="A42" s="29" t="s">
        <v>23</v>
      </c>
      <c r="B42" s="30">
        <f>$I42/$I$7*B$7</f>
        <v>55.8862888198758</v>
      </c>
      <c r="C42" s="30">
        <f t="shared" si="9"/>
        <v>68740.13524844724</v>
      </c>
      <c r="D42" s="30">
        <f t="shared" si="9"/>
        <v>2409.3200069013124</v>
      </c>
      <c r="E42" s="30">
        <f t="shared" si="9"/>
        <v>254.59309351276755</v>
      </c>
      <c r="F42" s="30">
        <f t="shared" si="9"/>
        <v>99.35340234644588</v>
      </c>
      <c r="G42" s="30">
        <f t="shared" si="9"/>
        <v>360.1560835058663</v>
      </c>
      <c r="H42" s="30">
        <f t="shared" si="9"/>
        <v>62.09587646652867</v>
      </c>
      <c r="I42" s="22">
        <f>680653-SUM(I29:I35)</f>
        <v>71981.54000000004</v>
      </c>
    </row>
    <row r="43" spans="1:9" ht="14.25">
      <c r="A43" s="4" t="s">
        <v>25</v>
      </c>
      <c r="B43" s="21">
        <f>$I43/$I$7*B$7</f>
        <v>807.3656832298136</v>
      </c>
      <c r="C43" s="21">
        <f t="shared" si="9"/>
        <v>993059.7903726707</v>
      </c>
      <c r="D43" s="21">
        <f t="shared" si="9"/>
        <v>34806.431677018634</v>
      </c>
      <c r="E43" s="21">
        <f t="shared" si="9"/>
        <v>3677.9992236024846</v>
      </c>
      <c r="F43" s="21">
        <f t="shared" si="9"/>
        <v>1435.3167701863354</v>
      </c>
      <c r="G43" s="21">
        <f t="shared" si="9"/>
        <v>5203.023291925466</v>
      </c>
      <c r="H43" s="21">
        <f t="shared" si="9"/>
        <v>897.0729813664595</v>
      </c>
      <c r="I43" s="22">
        <v>1039887</v>
      </c>
    </row>
    <row r="44" spans="1:9" ht="14.25">
      <c r="A44" s="29" t="s">
        <v>26</v>
      </c>
      <c r="B44" s="21">
        <f>$I44/$I$7*B$7</f>
        <v>107.24922360248446</v>
      </c>
      <c r="C44" s="21">
        <f t="shared" si="9"/>
        <v>131916.5450310559</v>
      </c>
      <c r="D44" s="21">
        <f t="shared" si="9"/>
        <v>4623.6331953071085</v>
      </c>
      <c r="E44" s="21">
        <f t="shared" si="9"/>
        <v>488.5797964113181</v>
      </c>
      <c r="F44" s="21">
        <f t="shared" si="9"/>
        <v>190.66528640441683</v>
      </c>
      <c r="G44" s="21">
        <f t="shared" si="9"/>
        <v>691.161663216011</v>
      </c>
      <c r="H44" s="21">
        <f t="shared" si="9"/>
        <v>119.16580400276052</v>
      </c>
      <c r="I44" s="22">
        <v>138137</v>
      </c>
    </row>
    <row r="45" spans="1:9" ht="14.25">
      <c r="A45" s="4" t="s">
        <v>27</v>
      </c>
      <c r="B45" s="21">
        <f aca="true" t="shared" si="10" ref="B45:B54">$I45/$I$7*B$7</f>
        <v>440.0551242236025</v>
      </c>
      <c r="C45" s="21">
        <f t="shared" si="9"/>
        <v>541267.8027950311</v>
      </c>
      <c r="D45" s="21">
        <f t="shared" si="9"/>
        <v>18971.26535541753</v>
      </c>
      <c r="E45" s="21">
        <f t="shared" si="9"/>
        <v>2004.6955659075225</v>
      </c>
      <c r="F45" s="21">
        <f t="shared" si="9"/>
        <v>782.32022084196</v>
      </c>
      <c r="G45" s="21">
        <f t="shared" si="9"/>
        <v>2835.9108005521052</v>
      </c>
      <c r="H45" s="21">
        <f t="shared" si="9"/>
        <v>488.950138026225</v>
      </c>
      <c r="I45" s="22">
        <v>566791</v>
      </c>
    </row>
    <row r="46" spans="1:9" ht="14.25">
      <c r="A46" s="4" t="s">
        <v>28</v>
      </c>
      <c r="B46" s="21">
        <f t="shared" si="10"/>
        <v>0.7375776397515529</v>
      </c>
      <c r="C46" s="21">
        <f t="shared" si="9"/>
        <v>907.22049689441</v>
      </c>
      <c r="D46" s="21">
        <f t="shared" si="9"/>
        <v>31.79779158040028</v>
      </c>
      <c r="E46" s="21">
        <f t="shared" si="9"/>
        <v>3.360075914423741</v>
      </c>
      <c r="F46" s="21">
        <f t="shared" si="9"/>
        <v>1.311249137336094</v>
      </c>
      <c r="G46" s="21">
        <f t="shared" si="9"/>
        <v>4.753278122843341</v>
      </c>
      <c r="H46" s="21">
        <f t="shared" si="9"/>
        <v>0.8195307108350587</v>
      </c>
      <c r="I46" s="24">
        <v>950</v>
      </c>
    </row>
    <row r="47" spans="1:9" ht="14.25">
      <c r="A47" s="29" t="s">
        <v>43</v>
      </c>
      <c r="B47" s="30">
        <f t="shared" si="10"/>
        <v>50.892857142857146</v>
      </c>
      <c r="C47" s="30">
        <f t="shared" si="9"/>
        <v>62598.21428571429</v>
      </c>
      <c r="D47" s="30">
        <f t="shared" si="9"/>
        <v>2194.0476190476193</v>
      </c>
      <c r="E47" s="30">
        <f t="shared" si="9"/>
        <v>231.8452380952381</v>
      </c>
      <c r="F47" s="30">
        <f t="shared" si="9"/>
        <v>90.47619047619048</v>
      </c>
      <c r="G47" s="30">
        <f t="shared" si="9"/>
        <v>327.9761904761905</v>
      </c>
      <c r="H47" s="30">
        <f t="shared" si="9"/>
        <v>56.54761904761905</v>
      </c>
      <c r="I47" s="34">
        <v>65550</v>
      </c>
    </row>
    <row r="48" spans="1:9" ht="14.25">
      <c r="A48" s="29" t="s">
        <v>44</v>
      </c>
      <c r="B48" s="30"/>
      <c r="C48" s="30"/>
      <c r="D48" s="30">
        <v>122155</v>
      </c>
      <c r="E48" s="30">
        <v>6358</v>
      </c>
      <c r="F48" s="30"/>
      <c r="G48" s="30"/>
      <c r="H48" s="30"/>
      <c r="I48" s="34">
        <v>128513</v>
      </c>
    </row>
    <row r="49" spans="1:9" ht="14.25">
      <c r="A49" s="4" t="s">
        <v>29</v>
      </c>
      <c r="B49" s="21">
        <f t="shared" si="10"/>
        <v>8.29114906832298</v>
      </c>
      <c r="C49" s="21">
        <f t="shared" si="9"/>
        <v>10198.113354037267</v>
      </c>
      <c r="D49" s="21">
        <f t="shared" si="9"/>
        <v>357.4406487232574</v>
      </c>
      <c r="E49" s="21">
        <f t="shared" si="9"/>
        <v>37.77079020013802</v>
      </c>
      <c r="F49" s="21">
        <f t="shared" si="9"/>
        <v>14.739820565907522</v>
      </c>
      <c r="G49" s="21">
        <f t="shared" si="9"/>
        <v>53.431849551414764</v>
      </c>
      <c r="H49" s="21">
        <f t="shared" si="9"/>
        <v>9.212387853692201</v>
      </c>
      <c r="I49" s="24">
        <v>10679</v>
      </c>
    </row>
    <row r="50" spans="1:9" ht="14.25">
      <c r="A50" s="4" t="s">
        <v>30</v>
      </c>
      <c r="B50" s="21">
        <f t="shared" si="10"/>
        <v>119.77950310559007</v>
      </c>
      <c r="C50" s="21">
        <f t="shared" si="9"/>
        <v>147328.78881987577</v>
      </c>
      <c r="D50" s="21">
        <f t="shared" si="9"/>
        <v>5163.827467218772</v>
      </c>
      <c r="E50" s="21">
        <f t="shared" si="9"/>
        <v>545.6621808143548</v>
      </c>
      <c r="F50" s="21">
        <f t="shared" si="9"/>
        <v>212.94133885438234</v>
      </c>
      <c r="G50" s="21">
        <f t="shared" si="9"/>
        <v>771.912353347136</v>
      </c>
      <c r="H50" s="21">
        <f t="shared" si="9"/>
        <v>133.08833678398895</v>
      </c>
      <c r="I50" s="24">
        <v>154276</v>
      </c>
    </row>
    <row r="51" spans="1:9" ht="14.25">
      <c r="A51" s="4" t="s">
        <v>31</v>
      </c>
      <c r="B51" s="21">
        <f t="shared" si="10"/>
        <v>3.872670807453416</v>
      </c>
      <c r="C51" s="21">
        <f t="shared" si="9"/>
        <v>4763.385093167702</v>
      </c>
      <c r="D51" s="21">
        <f t="shared" si="9"/>
        <v>166.9551414768806</v>
      </c>
      <c r="E51" s="21">
        <f t="shared" si="9"/>
        <v>17.64216701173223</v>
      </c>
      <c r="F51" s="21">
        <f t="shared" si="9"/>
        <v>6.884748102139406</v>
      </c>
      <c r="G51" s="21">
        <f t="shared" si="9"/>
        <v>24.95721187025535</v>
      </c>
      <c r="H51" s="21">
        <f t="shared" si="9"/>
        <v>4.302967563837129</v>
      </c>
      <c r="I51" s="24">
        <v>4988</v>
      </c>
    </row>
    <row r="52" spans="1:9" ht="14.25">
      <c r="A52" s="4" t="s">
        <v>32</v>
      </c>
      <c r="B52" s="21">
        <f t="shared" si="10"/>
        <v>364.2212732919255</v>
      </c>
      <c r="C52" s="21">
        <f t="shared" si="9"/>
        <v>447992.16614906833</v>
      </c>
      <c r="D52" s="21">
        <f t="shared" si="9"/>
        <v>15701.983781918565</v>
      </c>
      <c r="E52" s="21">
        <f t="shared" si="9"/>
        <v>1659.2302449965493</v>
      </c>
      <c r="F52" s="21">
        <f t="shared" si="9"/>
        <v>647.504485852312</v>
      </c>
      <c r="G52" s="21">
        <f t="shared" si="9"/>
        <v>2347.203761214631</v>
      </c>
      <c r="H52" s="21">
        <f t="shared" si="9"/>
        <v>404.690303657695</v>
      </c>
      <c r="I52" s="24">
        <v>469117</v>
      </c>
    </row>
    <row r="53" spans="1:9" ht="14.25">
      <c r="A53" s="4" t="s">
        <v>33</v>
      </c>
      <c r="B53" s="21">
        <f t="shared" si="10"/>
        <v>14.204192546583851</v>
      </c>
      <c r="C53" s="21">
        <f t="shared" si="9"/>
        <v>17471.156832298137</v>
      </c>
      <c r="D53" s="21">
        <f t="shared" si="9"/>
        <v>612.3585231193927</v>
      </c>
      <c r="E53" s="21">
        <f t="shared" si="9"/>
        <v>64.70798826777087</v>
      </c>
      <c r="F53" s="21">
        <f t="shared" si="9"/>
        <v>25.251897860593512</v>
      </c>
      <c r="G53" s="21">
        <f t="shared" si="9"/>
        <v>91.53812974465148</v>
      </c>
      <c r="H53" s="21">
        <f t="shared" si="9"/>
        <v>15.782436162870946</v>
      </c>
      <c r="I53" s="24">
        <v>18295</v>
      </c>
    </row>
    <row r="54" spans="1:9" ht="14.25">
      <c r="A54" s="10" t="s">
        <v>34</v>
      </c>
      <c r="B54" s="21">
        <f t="shared" si="10"/>
        <v>102.01086956521739</v>
      </c>
      <c r="C54" s="21">
        <f t="shared" si="9"/>
        <v>125473.36956521739</v>
      </c>
      <c r="D54" s="21">
        <f t="shared" si="9"/>
        <v>4397.80193236715</v>
      </c>
      <c r="E54" s="21">
        <f t="shared" si="9"/>
        <v>464.7161835748792</v>
      </c>
      <c r="F54" s="21">
        <f t="shared" si="9"/>
        <v>181.35265700483092</v>
      </c>
      <c r="G54" s="21">
        <f t="shared" si="9"/>
        <v>657.403381642512</v>
      </c>
      <c r="H54" s="21">
        <f t="shared" si="9"/>
        <v>113.34541062801932</v>
      </c>
      <c r="I54" s="24">
        <v>131390</v>
      </c>
    </row>
    <row r="55" spans="1:9" ht="14.25">
      <c r="A55" s="6" t="s">
        <v>2</v>
      </c>
      <c r="B55" s="24">
        <f>SUM(B41:B54)</f>
        <v>2208.8683152173912</v>
      </c>
      <c r="C55" s="24">
        <f aca="true" t="shared" si="11" ref="C55:H55">SUM(C41:C54)</f>
        <v>2716908.027717391</v>
      </c>
      <c r="D55" s="24">
        <f t="shared" si="11"/>
        <v>217381.76736714973</v>
      </c>
      <c r="E55" s="24">
        <f t="shared" si="11"/>
        <v>16420.62232487923</v>
      </c>
      <c r="F55" s="24">
        <f t="shared" si="11"/>
        <v>3926.877004830918</v>
      </c>
      <c r="G55" s="24">
        <f t="shared" si="11"/>
        <v>14234.929142512077</v>
      </c>
      <c r="H55" s="24">
        <f t="shared" si="11"/>
        <v>2454.2981280193235</v>
      </c>
      <c r="I55" s="24">
        <f>SUM(I41:I54)</f>
        <v>2973535.39</v>
      </c>
    </row>
    <row r="57" ht="14.25">
      <c r="A57" s="1" t="s">
        <v>35</v>
      </c>
    </row>
    <row r="59" spans="1:12" ht="14.25">
      <c r="A59" s="3"/>
      <c r="B59" s="4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11" t="s">
        <v>2</v>
      </c>
      <c r="J59" s="11" t="s">
        <v>36</v>
      </c>
      <c r="L59" s="2"/>
    </row>
    <row r="60" spans="1:11" ht="14.25">
      <c r="A60" s="4" t="s">
        <v>10</v>
      </c>
      <c r="B60" s="18">
        <f>B4/B$7*(B$36+B$55)</f>
        <v>587.2196964640466</v>
      </c>
      <c r="C60" s="18">
        <f aca="true" t="shared" si="12" ref="C60:H60">C4/C$7*(C$36+C$55)</f>
        <v>2482651.298564116</v>
      </c>
      <c r="D60" s="18">
        <f t="shared" si="12"/>
        <v>128329.6576978511</v>
      </c>
      <c r="E60" s="18">
        <f t="shared" si="12"/>
        <v>0</v>
      </c>
      <c r="F60" s="18">
        <f t="shared" si="12"/>
        <v>3008.8484823202334</v>
      </c>
      <c r="G60" s="18">
        <f t="shared" si="12"/>
        <v>4156.278785856187</v>
      </c>
      <c r="H60" s="18">
        <f t="shared" si="12"/>
        <v>0</v>
      </c>
      <c r="I60" s="33">
        <f>SUM(B60:H60)</f>
        <v>2618733.3032266074</v>
      </c>
      <c r="J60" s="27">
        <f>I60/I4</f>
        <v>369.0956029917699</v>
      </c>
      <c r="K60" s="26"/>
    </row>
    <row r="61" spans="1:11" ht="14.25">
      <c r="A61" s="4" t="s">
        <v>11</v>
      </c>
      <c r="B61" s="18">
        <f>B5/B$7*(B$36+B$55)</f>
        <v>3523.3181787842796</v>
      </c>
      <c r="C61" s="18">
        <f aca="true" t="shared" si="13" ref="C61:H62">C5/C$7*(C$36+C$55)</f>
        <v>1254392.2350639743</v>
      </c>
      <c r="D61" s="18">
        <f t="shared" si="13"/>
        <v>32510.179950122278</v>
      </c>
      <c r="E61" s="18">
        <f t="shared" si="13"/>
        <v>0</v>
      </c>
      <c r="F61" s="18">
        <f t="shared" si="13"/>
        <v>0</v>
      </c>
      <c r="G61" s="18">
        <f t="shared" si="13"/>
        <v>0</v>
      </c>
      <c r="H61" s="18">
        <f t="shared" si="13"/>
        <v>0</v>
      </c>
      <c r="I61" s="33">
        <f>SUM(B61:H61)</f>
        <v>1290425.7331928809</v>
      </c>
      <c r="J61" s="27">
        <f>I61/I5</f>
        <v>363.70511082099233</v>
      </c>
      <c r="K61" s="26"/>
    </row>
    <row r="62" spans="1:11" ht="14.25">
      <c r="A62" s="4" t="s">
        <v>12</v>
      </c>
      <c r="B62" s="18">
        <f>B6/B$7*(B$36+B$55)</f>
        <v>1174.4393929280932</v>
      </c>
      <c r="C62" s="18">
        <f t="shared" si="13"/>
        <v>225890.83913395202</v>
      </c>
      <c r="D62" s="18">
        <f t="shared" si="13"/>
        <v>171106.21026380145</v>
      </c>
      <c r="E62" s="18">
        <f t="shared" si="13"/>
        <v>72337.64755502592</v>
      </c>
      <c r="F62" s="18">
        <f t="shared" si="13"/>
        <v>6619.466661104513</v>
      </c>
      <c r="G62" s="18">
        <f t="shared" si="13"/>
        <v>56109.76360905852</v>
      </c>
      <c r="H62" s="18">
        <f t="shared" si="13"/>
        <v>16043.596964640468</v>
      </c>
      <c r="I62" s="33">
        <f>SUM(B62:H62)</f>
        <v>549281.963580511</v>
      </c>
      <c r="J62" s="27">
        <f>I62/I6</f>
        <v>578.8008046159231</v>
      </c>
      <c r="K62" s="26"/>
    </row>
    <row r="63" spans="1:11" ht="14.25">
      <c r="A63" s="6" t="s">
        <v>2</v>
      </c>
      <c r="B63" s="20">
        <f aca="true" t="shared" si="14" ref="B63:H63">SUM(B60:B62)</f>
        <v>5284.97726817642</v>
      </c>
      <c r="C63" s="20">
        <f t="shared" si="14"/>
        <v>3962934.372762042</v>
      </c>
      <c r="D63" s="20">
        <f t="shared" si="14"/>
        <v>331946.04791177483</v>
      </c>
      <c r="E63" s="20">
        <f t="shared" si="14"/>
        <v>72337.64755502592</v>
      </c>
      <c r="F63" s="20">
        <f t="shared" si="14"/>
        <v>9628.315143424747</v>
      </c>
      <c r="G63" s="20">
        <f t="shared" si="14"/>
        <v>60266.04239491471</v>
      </c>
      <c r="H63" s="20">
        <f t="shared" si="14"/>
        <v>16043.596964640468</v>
      </c>
      <c r="I63" s="33">
        <f>SUM(B63:H63)</f>
        <v>4458441</v>
      </c>
      <c r="J63" s="27">
        <f>I63/I7</f>
        <v>384.6136128364389</v>
      </c>
      <c r="K63" s="26"/>
    </row>
    <row r="65" spans="1:10" ht="14.25">
      <c r="A65" s="3"/>
      <c r="B65" s="4" t="s">
        <v>3</v>
      </c>
      <c r="C65" s="4" t="s">
        <v>4</v>
      </c>
      <c r="D65" s="4" t="s">
        <v>5</v>
      </c>
      <c r="E65" s="4" t="s">
        <v>6</v>
      </c>
      <c r="F65" s="4" t="s">
        <v>7</v>
      </c>
      <c r="G65" s="4" t="s">
        <v>8</v>
      </c>
      <c r="H65" s="4" t="s">
        <v>9</v>
      </c>
      <c r="I65" s="11" t="s">
        <v>2</v>
      </c>
      <c r="J65" s="11" t="s">
        <v>36</v>
      </c>
    </row>
    <row r="66" spans="1:10" ht="14.25">
      <c r="A66" s="4" t="s">
        <v>39</v>
      </c>
      <c r="B66" s="18">
        <f>B60+B62</f>
        <v>1761.6590893921398</v>
      </c>
      <c r="C66" s="18">
        <f aca="true" t="shared" si="15" ref="C66:H66">C60+C62</f>
        <v>2708542.137698068</v>
      </c>
      <c r="D66" s="18">
        <f t="shared" si="15"/>
        <v>299435.8679616526</v>
      </c>
      <c r="E66" s="18">
        <f t="shared" si="15"/>
        <v>72337.64755502592</v>
      </c>
      <c r="F66" s="18">
        <f t="shared" si="15"/>
        <v>9628.315143424747</v>
      </c>
      <c r="G66" s="18">
        <f t="shared" si="15"/>
        <v>60266.04239491471</v>
      </c>
      <c r="H66" s="18">
        <f t="shared" si="15"/>
        <v>16043.596964640468</v>
      </c>
      <c r="I66" s="33">
        <f>SUM(B66:H66)</f>
        <v>3168015.266807118</v>
      </c>
      <c r="J66" s="27">
        <f>I66/(I4+I6)</f>
        <v>393.83581138825434</v>
      </c>
    </row>
    <row r="67" spans="1:10" ht="14.25">
      <c r="A67" s="4" t="s">
        <v>11</v>
      </c>
      <c r="B67" s="18">
        <f>B61</f>
        <v>3523.3181787842796</v>
      </c>
      <c r="C67" s="18">
        <f aca="true" t="shared" si="16" ref="C67:H67">C61</f>
        <v>1254392.2350639743</v>
      </c>
      <c r="D67" s="18">
        <f t="shared" si="16"/>
        <v>32510.179950122278</v>
      </c>
      <c r="E67" s="18">
        <f t="shared" si="16"/>
        <v>0</v>
      </c>
      <c r="F67" s="18">
        <f t="shared" si="16"/>
        <v>0</v>
      </c>
      <c r="G67" s="18">
        <f t="shared" si="16"/>
        <v>0</v>
      </c>
      <c r="H67" s="18">
        <f t="shared" si="16"/>
        <v>0</v>
      </c>
      <c r="I67" s="33">
        <f>SUM(B67:H67)</f>
        <v>1290425.7331928809</v>
      </c>
      <c r="J67" s="27">
        <f>I67/I5</f>
        <v>363.70511082099233</v>
      </c>
    </row>
    <row r="68" spans="1:10" ht="14.25">
      <c r="A68" s="6" t="s">
        <v>2</v>
      </c>
      <c r="B68" s="20">
        <f aca="true" t="shared" si="17" ref="B68:H68">SUM(B66:B67)</f>
        <v>5284.977268176419</v>
      </c>
      <c r="C68" s="20">
        <f t="shared" si="17"/>
        <v>3962934.372762042</v>
      </c>
      <c r="D68" s="20">
        <f t="shared" si="17"/>
        <v>331946.04791177483</v>
      </c>
      <c r="E68" s="20">
        <f t="shared" si="17"/>
        <v>72337.64755502592</v>
      </c>
      <c r="F68" s="20">
        <f t="shared" si="17"/>
        <v>9628.315143424747</v>
      </c>
      <c r="G68" s="20">
        <f t="shared" si="17"/>
        <v>60266.04239491471</v>
      </c>
      <c r="H68" s="20">
        <f t="shared" si="17"/>
        <v>16043.596964640468</v>
      </c>
      <c r="I68" s="33">
        <f>SUM(B68:H68)</f>
        <v>4458441</v>
      </c>
      <c r="J68" s="27">
        <f>I68/I7</f>
        <v>384.6136128364389</v>
      </c>
    </row>
    <row r="69" spans="2:9" ht="14.25">
      <c r="B69" s="2"/>
      <c r="I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Algoma Power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</dc:creator>
  <cp:keywords/>
  <dc:description/>
  <cp:lastModifiedBy>beharriellg</cp:lastModifiedBy>
  <dcterms:created xsi:type="dcterms:W3CDTF">2012-05-07T19:52:34Z</dcterms:created>
  <dcterms:modified xsi:type="dcterms:W3CDTF">2013-01-09T17:59:44Z</dcterms:modified>
  <cp:category/>
  <cp:version/>
  <cp:contentType/>
  <cp:contentStatus/>
</cp:coreProperties>
</file>