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45" windowWidth="14955" windowHeight="6990" firstSheet="1" activeTab="3"/>
  </bookViews>
  <sheets>
    <sheet name="SM Var-Rev Req method-123108" sheetId="5" r:id="rId1"/>
    <sheet name="SM Costs Est vs Actual" sheetId="9" r:id="rId2"/>
    <sheet name="PILs Calc-123109" sheetId="8" r:id="rId3"/>
    <sheet name=" Nt Fix Ass &amp;UCC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CDM_2007" localSheetId="3">#REF!</definedName>
    <definedName name="CDM_2007">#REF!</definedName>
    <definedName name="contactf" localSheetId="2">#REF!</definedName>
    <definedName name="contactf">#REF!</definedName>
    <definedName name="EDR_06_OthInfo" localSheetId="3">'[1]4. 2006 Smart Meter Information'!#REF!</definedName>
    <definedName name="EDR_06_OthInfo" localSheetId="1">'[1]4. 2006 Smart Meter Information'!#REF!</definedName>
    <definedName name="EDR_06_OthInfo">'[1]4. 2006 Smart Meter Information'!#REF!</definedName>
    <definedName name="EDR06Tariffs" localSheetId="3">'[1]3. 2006 Tariff Sheet'!#REF!</definedName>
    <definedName name="EDR06Tariffs" localSheetId="1">'[1]3. 2006 Tariff Sheet'!#REF!</definedName>
    <definedName name="EDR06Tariffs">'[1]3. 2006 Tariff Sheet'!#REF!</definedName>
    <definedName name="histdate">[2]Financials!$E$76</definedName>
    <definedName name="impactdata">'[3]8-7 OTHER CHGS, COMMOD (Input)'!$B$15:$AS$118</definedName>
    <definedName name="Incr2000" localSheetId="2">#REF!</definedName>
    <definedName name="Incr2000">#REF!</definedName>
    <definedName name="LIMIT" localSheetId="2">#REF!</definedName>
    <definedName name="LIMIT">#REF!</definedName>
    <definedName name="man_beg_bud" localSheetId="2">#REF!</definedName>
    <definedName name="man_beg_bud">#REF!</definedName>
    <definedName name="man_end_bud" localSheetId="2">#REF!</definedName>
    <definedName name="man_end_bud">#REF!</definedName>
    <definedName name="man12ACT" localSheetId="2">#REF!</definedName>
    <definedName name="man12ACT">#REF!</definedName>
    <definedName name="MANBUD" localSheetId="2">#REF!</definedName>
    <definedName name="MANBUD">#REF!</definedName>
    <definedName name="manCYACT" localSheetId="2">#REF!</definedName>
    <definedName name="manCYACT">#REF!</definedName>
    <definedName name="manCYBUD" localSheetId="2">#REF!</definedName>
    <definedName name="manCYBUD">#REF!</definedName>
    <definedName name="manCYF" localSheetId="2">#REF!</definedName>
    <definedName name="manCYF">#REF!</definedName>
    <definedName name="MANEND" localSheetId="2">#REF!</definedName>
    <definedName name="MANEND">#REF!</definedName>
    <definedName name="manNYbud" localSheetId="2">#REF!</definedName>
    <definedName name="manNYbud">#REF!</definedName>
    <definedName name="manpower_costs" localSheetId="2">#REF!</definedName>
    <definedName name="manpower_costs">#REF!</definedName>
    <definedName name="manPYACT" localSheetId="2">#REF!</definedName>
    <definedName name="manPYACT">#REF!</definedName>
    <definedName name="MANSTART" localSheetId="2">#REF!</definedName>
    <definedName name="MANSTART">#REF!</definedName>
    <definedName name="mat_beg_bud" localSheetId="2">#REF!</definedName>
    <definedName name="mat_beg_bud">#REF!</definedName>
    <definedName name="mat_end_bud" localSheetId="2">#REF!</definedName>
    <definedName name="mat_end_bud">#REF!</definedName>
    <definedName name="mat12ACT" localSheetId="2">#REF!</definedName>
    <definedName name="mat12ACT">#REF!</definedName>
    <definedName name="MATBUD" localSheetId="2">#REF!</definedName>
    <definedName name="MATBUD">#REF!</definedName>
    <definedName name="matCYACT" localSheetId="2">#REF!</definedName>
    <definedName name="matCYACT">#REF!</definedName>
    <definedName name="matCYBUD" localSheetId="2">#REF!</definedName>
    <definedName name="matCYBUD">#REF!</definedName>
    <definedName name="matCYF" localSheetId="2">#REF!</definedName>
    <definedName name="matCYF">#REF!</definedName>
    <definedName name="MATEND" localSheetId="2">#REF!</definedName>
    <definedName name="MATEND">#REF!</definedName>
    <definedName name="material_costs" localSheetId="2">#REF!</definedName>
    <definedName name="material_costs">#REF!</definedName>
    <definedName name="matNYbud" localSheetId="2">#REF!</definedName>
    <definedName name="matNYbud">#REF!</definedName>
    <definedName name="matPYACT" localSheetId="2">#REF!</definedName>
    <definedName name="matPYACT">#REF!</definedName>
    <definedName name="MATSTART" localSheetId="2">#REF!</definedName>
    <definedName name="MATSTART">#REF!</definedName>
    <definedName name="Model_Organization" localSheetId="3">#REF!</definedName>
    <definedName name="Model_Organization">#REF!</definedName>
    <definedName name="MofF" localSheetId="2">#REF!</definedName>
    <definedName name="MofF">#REF!</definedName>
    <definedName name="oth_beg_bud" localSheetId="2">#REF!</definedName>
    <definedName name="oth_beg_bud">#REF!</definedName>
    <definedName name="oth_end_bud" localSheetId="2">#REF!</definedName>
    <definedName name="oth_end_bud">#REF!</definedName>
    <definedName name="oth12ACT" localSheetId="2">#REF!</definedName>
    <definedName name="oth12ACT">#REF!</definedName>
    <definedName name="othCYACT" localSheetId="2">#REF!</definedName>
    <definedName name="othCYACT">#REF!</definedName>
    <definedName name="othCYBUD" localSheetId="2">#REF!</definedName>
    <definedName name="othCYBUD">#REF!</definedName>
    <definedName name="othCYF" localSheetId="2">#REF!</definedName>
    <definedName name="othCYF">#REF!</definedName>
    <definedName name="OTHEND" localSheetId="2">#REF!</definedName>
    <definedName name="OTHEND">#REF!</definedName>
    <definedName name="other_costs" localSheetId="2">#REF!</definedName>
    <definedName name="other_costs">#REF!</definedName>
    <definedName name="OTHERBUD" localSheetId="2">#REF!</definedName>
    <definedName name="OTHERBUD">#REF!</definedName>
    <definedName name="OtherRateCharges" localSheetId="3">#REF!</definedName>
    <definedName name="OtherRateCharges">#REF!</definedName>
    <definedName name="othNYbud" localSheetId="2">#REF!</definedName>
    <definedName name="othNYbud">#REF!</definedName>
    <definedName name="othPYACT" localSheetId="2">#REF!</definedName>
    <definedName name="othPYACT">#REF!</definedName>
    <definedName name="OTHSTART" localSheetId="2">#REF!</definedName>
    <definedName name="OTHSTART">#REF!</definedName>
    <definedName name="PriceCapParams" localSheetId="3">#REF!</definedName>
    <definedName name="PriceCapParams">#REF!</definedName>
    <definedName name="_xlnm.Print_Area" localSheetId="3">' Nt Fix Ass &amp;UCC'!$A$1:$E$123</definedName>
    <definedName name="_xlnm.Print_Area" localSheetId="1">'SM Costs Est vs Actual'!$A$2:$I$45</definedName>
    <definedName name="_xlnm.Print_Area" localSheetId="0">'SM Var-Rev Req method-123108'!$B$2:$I$86</definedName>
    <definedName name="print_end" localSheetId="2">#REF!</definedName>
    <definedName name="print_end">#REF!</definedName>
    <definedName name="_xlnm.Print_Titles" localSheetId="3">' Nt Fix Ass &amp;UCC'!$1:$4</definedName>
    <definedName name="Rate_Riders" localSheetId="3">#REF!</definedName>
    <definedName name="Rate_Riders">#REF!</definedName>
    <definedName name="RPP_Data" localSheetId="3">#REF!</definedName>
    <definedName name="RPP_Data">#REF!</definedName>
    <definedName name="SALBENF" localSheetId="2">#REF!</definedName>
    <definedName name="SALBENF">#REF!</definedName>
    <definedName name="salreg" localSheetId="2">#REF!</definedName>
    <definedName name="salreg">#REF!</definedName>
    <definedName name="SALREGF" localSheetId="2">#REF!</definedName>
    <definedName name="SALREGF">#REF!</definedName>
    <definedName name="Surtax" localSheetId="2">#REF!</definedName>
    <definedName name="Surtax">#REF!</definedName>
    <definedName name="TEMPA" localSheetId="2">#REF!</definedName>
    <definedName name="TEMPA">#REF!</definedName>
    <definedName name="terr_name">'[3]1-1 GENERAL (Input)'!$C$56:$D$59</definedName>
    <definedName name="total_dept" localSheetId="2">#REF!</definedName>
    <definedName name="total_dept">#REF!</definedName>
    <definedName name="total_manpower" localSheetId="2">#REF!</definedName>
    <definedName name="total_manpower">#REF!</definedName>
    <definedName name="total_material" localSheetId="2">#REF!</definedName>
    <definedName name="total_material">#REF!</definedName>
    <definedName name="total_other" localSheetId="2">#REF!</definedName>
    <definedName name="total_other">#REF!</definedName>
    <definedName name="total_transportation" localSheetId="2">#REF!</definedName>
    <definedName name="total_transportation">#REF!</definedName>
    <definedName name="TRANBUD" localSheetId="2">#REF!</definedName>
    <definedName name="TRANBUD">#REF!</definedName>
    <definedName name="TRANEND" localSheetId="2">#REF!</definedName>
    <definedName name="TRANEND">#REF!</definedName>
    <definedName name="transportation_costs" localSheetId="2">#REF!</definedName>
    <definedName name="transportation_costs">#REF!</definedName>
    <definedName name="TRANSTART" localSheetId="2">#REF!</definedName>
    <definedName name="TRANSTART">#REF!</definedName>
    <definedName name="trn_beg_bud" localSheetId="2">#REF!</definedName>
    <definedName name="trn_beg_bud">#REF!</definedName>
    <definedName name="trn_end_bud" localSheetId="2">#REF!</definedName>
    <definedName name="trn_end_bud">#REF!</definedName>
    <definedName name="trn12ACT" localSheetId="2">#REF!</definedName>
    <definedName name="trn12ACT">#REF!</definedName>
    <definedName name="trnCYACT" localSheetId="2">#REF!</definedName>
    <definedName name="trnCYACT">#REF!</definedName>
    <definedName name="trnCYBUD" localSheetId="2">#REF!</definedName>
    <definedName name="trnCYBUD">#REF!</definedName>
    <definedName name="trnCYF" localSheetId="2">#REF!</definedName>
    <definedName name="trnCYF">#REF!</definedName>
    <definedName name="trnNYbud" localSheetId="2">#REF!</definedName>
    <definedName name="trnNYbud">#REF!</definedName>
    <definedName name="trnPYACT" localSheetId="2">#REF!</definedName>
    <definedName name="trnPYACT">#REF!</definedName>
    <definedName name="Utility">[2]Financials!$A$1</definedName>
    <definedName name="UtilityInfo" localSheetId="3">#REF!</definedName>
    <definedName name="UtilityInfo">#REF!</definedName>
    <definedName name="utitliy1">[4]Financials!$A$1</definedName>
    <definedName name="WAGBENF" localSheetId="2">#REF!</definedName>
    <definedName name="WAGBENF">#REF!</definedName>
    <definedName name="wagdob" localSheetId="2">#REF!</definedName>
    <definedName name="wagdob">#REF!</definedName>
    <definedName name="wagdobf" localSheetId="2">#REF!</definedName>
    <definedName name="wagdobf">#REF!</definedName>
    <definedName name="wagreg" localSheetId="2">#REF!</definedName>
    <definedName name="wagreg">#REF!</definedName>
    <definedName name="wagregf" localSheetId="2">#REF!</definedName>
    <definedName name="wagregf">#REF!</definedName>
    <definedName name="Z_Factor_Analysis" localSheetId="3">#REF!</definedName>
    <definedName name="Z_Factor_Analysis">#REF!</definedName>
  </definedNames>
  <calcPr calcId="125725"/>
</workbook>
</file>

<file path=xl/calcChain.xml><?xml version="1.0" encoding="utf-8"?>
<calcChain xmlns="http://schemas.openxmlformats.org/spreadsheetml/2006/main">
  <c r="G21" i="9"/>
  <c r="H57" i="5"/>
  <c r="E75"/>
  <c r="E73"/>
  <c r="G31"/>
  <c r="G9" i="9"/>
  <c r="G8"/>
  <c r="G7"/>
  <c r="D9" l="1"/>
  <c r="G20" i="5" l="1"/>
  <c r="G85"/>
  <c r="F85"/>
  <c r="E85"/>
  <c r="D85"/>
  <c r="D7" i="9"/>
  <c r="F49" i="5" l="1"/>
  <c r="E49"/>
  <c r="D49"/>
  <c r="D70" i="10"/>
  <c r="C70"/>
  <c r="D56"/>
  <c r="D41"/>
  <c r="D27"/>
  <c r="D13"/>
  <c r="C13"/>
  <c r="B70"/>
  <c r="B74" s="1"/>
  <c r="B56"/>
  <c r="B60" s="1"/>
  <c r="B41"/>
  <c r="B45" s="1"/>
  <c r="B27"/>
  <c r="B31" s="1"/>
  <c r="D42" i="9"/>
  <c r="D43"/>
  <c r="D44"/>
  <c r="D45"/>
  <c r="D41"/>
  <c r="B77" i="10"/>
  <c r="B63"/>
  <c r="B48"/>
  <c r="B34"/>
  <c r="B20"/>
  <c r="C77"/>
  <c r="A74"/>
  <c r="C63"/>
  <c r="A60"/>
  <c r="C48"/>
  <c r="A45"/>
  <c r="C34"/>
  <c r="A31"/>
  <c r="A17"/>
  <c r="H28" i="9"/>
  <c r="G26"/>
  <c r="G27"/>
  <c r="F25"/>
  <c r="C30"/>
  <c r="D27"/>
  <c r="D26"/>
  <c r="E26" s="1"/>
  <c r="D25"/>
  <c r="F30"/>
  <c r="B25"/>
  <c r="D29" i="5"/>
  <c r="D53" s="1"/>
  <c r="B7" i="9"/>
  <c r="B13" i="10" s="1"/>
  <c r="B22" i="9"/>
  <c r="D21"/>
  <c r="C21"/>
  <c r="F21" s="1"/>
  <c r="G20"/>
  <c r="H20" s="1"/>
  <c r="F20"/>
  <c r="D20"/>
  <c r="E20" s="1"/>
  <c r="G19"/>
  <c r="D19"/>
  <c r="E19" s="1"/>
  <c r="C19"/>
  <c r="C22" s="1"/>
  <c r="F18"/>
  <c r="F17"/>
  <c r="C12"/>
  <c r="H11"/>
  <c r="E11"/>
  <c r="H10"/>
  <c r="D10"/>
  <c r="E10" s="1"/>
  <c r="H9"/>
  <c r="F9"/>
  <c r="E9"/>
  <c r="F8"/>
  <c r="D8"/>
  <c r="E8" s="1"/>
  <c r="H7"/>
  <c r="F7"/>
  <c r="F12" s="1"/>
  <c r="B12" l="1"/>
  <c r="H49" i="5"/>
  <c r="D12" i="9"/>
  <c r="B30"/>
  <c r="D30" i="5" s="1"/>
  <c r="B17" i="10"/>
  <c r="C16" s="1"/>
  <c r="E25" i="9"/>
  <c r="C17" i="10"/>
  <c r="E27" i="9"/>
  <c r="C45" i="10"/>
  <c r="H27" i="9"/>
  <c r="D45" i="10"/>
  <c r="C31"/>
  <c r="H26" i="9"/>
  <c r="D31" i="10"/>
  <c r="D20" i="5"/>
  <c r="D31"/>
  <c r="C27" i="10"/>
  <c r="C41"/>
  <c r="C56"/>
  <c r="C60" s="1"/>
  <c r="D30" i="9"/>
  <c r="E7"/>
  <c r="H8"/>
  <c r="H12" s="1"/>
  <c r="E12"/>
  <c r="H21"/>
  <c r="G12"/>
  <c r="F19"/>
  <c r="F22" s="1"/>
  <c r="E21"/>
  <c r="E22" s="1"/>
  <c r="D22"/>
  <c r="E29" i="5" s="1"/>
  <c r="E53" s="1"/>
  <c r="G22" i="9" l="1"/>
  <c r="F29" i="5" s="1"/>
  <c r="G53" s="1"/>
  <c r="E30"/>
  <c r="E31" s="1"/>
  <c r="E30" i="9"/>
  <c r="E20" i="5"/>
  <c r="H19" i="9"/>
  <c r="H22" s="1"/>
  <c r="F20" i="5" l="1"/>
  <c r="F53"/>
  <c r="G25" i="9"/>
  <c r="C9" i="8"/>
  <c r="E36" i="5"/>
  <c r="D36"/>
  <c r="D37"/>
  <c r="D17" i="10" l="1"/>
  <c r="H25" i="9"/>
  <c r="H30" s="1"/>
  <c r="G30"/>
  <c r="F30" i="5" s="1"/>
  <c r="F31" s="1"/>
  <c r="G36"/>
  <c r="E37"/>
  <c r="F36"/>
  <c r="D9" i="8" l="1"/>
  <c r="F37" i="5"/>
  <c r="E9" i="8" l="1"/>
  <c r="B90" i="10" l="1"/>
  <c r="B14"/>
  <c r="C74"/>
  <c r="B18" l="1"/>
  <c r="B21" s="1"/>
  <c r="C12"/>
  <c r="C14" s="1"/>
  <c r="D116"/>
  <c r="E116"/>
  <c r="E115"/>
  <c r="D115"/>
  <c r="D103"/>
  <c r="E103"/>
  <c r="D90"/>
  <c r="D92" s="1"/>
  <c r="E90"/>
  <c r="E92" s="1"/>
  <c r="E102"/>
  <c r="E105" s="1"/>
  <c r="D102"/>
  <c r="B42"/>
  <c r="B103"/>
  <c r="B46"/>
  <c r="B115"/>
  <c r="B57"/>
  <c r="B92"/>
  <c r="B93" s="1"/>
  <c r="B95" s="1"/>
  <c r="B91"/>
  <c r="B116"/>
  <c r="B71"/>
  <c r="B102"/>
  <c r="B28"/>
  <c r="C26" s="1"/>
  <c r="C28" s="1"/>
  <c r="C102"/>
  <c r="C116"/>
  <c r="C71"/>
  <c r="C75" s="1"/>
  <c r="D73" s="1"/>
  <c r="C115"/>
  <c r="C57"/>
  <c r="C61" s="1"/>
  <c r="D59" s="1"/>
  <c r="C90"/>
  <c r="C103"/>
  <c r="C42"/>
  <c r="C46" s="1"/>
  <c r="D44" s="1"/>
  <c r="D105" l="1"/>
  <c r="B22"/>
  <c r="C20"/>
  <c r="C18" s="1"/>
  <c r="D118"/>
  <c r="E118"/>
  <c r="B104"/>
  <c r="B105"/>
  <c r="B106" s="1"/>
  <c r="B108" s="1"/>
  <c r="B118"/>
  <c r="B119" s="1"/>
  <c r="B121" s="1"/>
  <c r="B117"/>
  <c r="B49"/>
  <c r="B50" s="1"/>
  <c r="B32"/>
  <c r="B75"/>
  <c r="B78" s="1"/>
  <c r="B79" s="1"/>
  <c r="B96"/>
  <c r="B61"/>
  <c r="B64" s="1"/>
  <c r="B65" s="1"/>
  <c r="D40"/>
  <c r="D42" s="1"/>
  <c r="C49"/>
  <c r="C64"/>
  <c r="D55"/>
  <c r="D57" s="1"/>
  <c r="C118"/>
  <c r="C119" s="1"/>
  <c r="C121" s="1"/>
  <c r="C117"/>
  <c r="C105"/>
  <c r="C106" s="1"/>
  <c r="C108" s="1"/>
  <c r="C104"/>
  <c r="D12"/>
  <c r="D14" s="1"/>
  <c r="C92"/>
  <c r="C93" s="1"/>
  <c r="C95" s="1"/>
  <c r="C91"/>
  <c r="D69"/>
  <c r="D71" s="1"/>
  <c r="C78"/>
  <c r="D26"/>
  <c r="D28" s="1"/>
  <c r="C10" i="8" l="1"/>
  <c r="D16" i="10"/>
  <c r="C21"/>
  <c r="C22" s="1"/>
  <c r="D10" i="8"/>
  <c r="B35" i="10"/>
  <c r="C30"/>
  <c r="C32" s="1"/>
  <c r="B122"/>
  <c r="C109"/>
  <c r="D101" s="1"/>
  <c r="D104" s="1"/>
  <c r="C122"/>
  <c r="D114" s="1"/>
  <c r="D117" s="1"/>
  <c r="B109"/>
  <c r="E69"/>
  <c r="E71" s="1"/>
  <c r="E12"/>
  <c r="E14" s="1"/>
  <c r="C65"/>
  <c r="D63"/>
  <c r="D60" s="1"/>
  <c r="D61" s="1"/>
  <c r="E59" s="1"/>
  <c r="E40"/>
  <c r="E42" s="1"/>
  <c r="E26"/>
  <c r="E28" s="1"/>
  <c r="D77"/>
  <c r="D74" s="1"/>
  <c r="D75" s="1"/>
  <c r="E73" s="1"/>
  <c r="C79"/>
  <c r="C96"/>
  <c r="D89"/>
  <c r="E55"/>
  <c r="E57" s="1"/>
  <c r="D48"/>
  <c r="D46" s="1"/>
  <c r="E44" s="1"/>
  <c r="C50"/>
  <c r="D20" l="1"/>
  <c r="D106"/>
  <c r="D108" s="1"/>
  <c r="D109" s="1"/>
  <c r="E101" s="1"/>
  <c r="E104" s="1"/>
  <c r="D119"/>
  <c r="D121" s="1"/>
  <c r="D122" s="1"/>
  <c r="E114" s="1"/>
  <c r="E117" s="1"/>
  <c r="D18"/>
  <c r="E16" s="1"/>
  <c r="B36"/>
  <c r="D19" i="5" s="1"/>
  <c r="D21" s="1"/>
  <c r="D9"/>
  <c r="D30" i="10"/>
  <c r="C35"/>
  <c r="E9" i="5" s="1"/>
  <c r="D64" i="10"/>
  <c r="E63" s="1"/>
  <c r="E60" s="1"/>
  <c r="E61" s="1"/>
  <c r="E64" s="1"/>
  <c r="D49"/>
  <c r="E48" s="1"/>
  <c r="E45" s="1"/>
  <c r="D21"/>
  <c r="E20" s="1"/>
  <c r="E17" s="1"/>
  <c r="D78"/>
  <c r="D79" s="1"/>
  <c r="D93"/>
  <c r="D95" s="1"/>
  <c r="E10" i="8" s="1"/>
  <c r="D91" i="10"/>
  <c r="D22" l="1"/>
  <c r="G11" i="5"/>
  <c r="D25"/>
  <c r="D24"/>
  <c r="E119" i="10"/>
  <c r="E121" s="1"/>
  <c r="E46"/>
  <c r="G13" i="5"/>
  <c r="D50" i="10"/>
  <c r="D65"/>
  <c r="E18"/>
  <c r="E15" i="5"/>
  <c r="D16" i="8"/>
  <c r="D18" s="1"/>
  <c r="D20" s="1"/>
  <c r="D25" s="1"/>
  <c r="D32" s="1"/>
  <c r="C36" i="10"/>
  <c r="E19" i="5" s="1"/>
  <c r="E21" s="1"/>
  <c r="D34" i="10"/>
  <c r="D32" s="1"/>
  <c r="D15" i="5"/>
  <c r="C16" i="8"/>
  <c r="C18" s="1"/>
  <c r="C20" s="1"/>
  <c r="C25" s="1"/>
  <c r="E106" i="10"/>
  <c r="E108" s="1"/>
  <c r="E109" s="1"/>
  <c r="E77"/>
  <c r="E74" s="1"/>
  <c r="E75" s="1"/>
  <c r="E78" s="1"/>
  <c r="E122"/>
  <c r="E49"/>
  <c r="E65"/>
  <c r="E89"/>
  <c r="D96"/>
  <c r="E50" l="1"/>
  <c r="E21"/>
  <c r="E22" s="1"/>
  <c r="E25" i="5"/>
  <c r="E24"/>
  <c r="C32" i="8"/>
  <c r="E30" i="10"/>
  <c r="D35"/>
  <c r="D38" i="5"/>
  <c r="D26"/>
  <c r="D33" s="1"/>
  <c r="E79" i="10"/>
  <c r="E93"/>
  <c r="E95" s="1"/>
  <c r="E91"/>
  <c r="D39" i="5" l="1"/>
  <c r="D36" i="10"/>
  <c r="F19" i="5" s="1"/>
  <c r="F21" s="1"/>
  <c r="E34" i="10"/>
  <c r="E31" s="1"/>
  <c r="F9" i="5"/>
  <c r="E38"/>
  <c r="E26"/>
  <c r="E33" s="1"/>
  <c r="E96" i="10"/>
  <c r="G9" i="5" l="1"/>
  <c r="G12"/>
  <c r="F25"/>
  <c r="F24"/>
  <c r="F9" i="8"/>
  <c r="F15" i="5"/>
  <c r="E16" i="8"/>
  <c r="E18" s="1"/>
  <c r="E20" s="1"/>
  <c r="E25" s="1"/>
  <c r="E32" s="1"/>
  <c r="C8"/>
  <c r="C11" s="1"/>
  <c r="C13" s="1"/>
  <c r="C24" s="1"/>
  <c r="E32" i="10"/>
  <c r="E39" i="5"/>
  <c r="E35" i="10" l="1"/>
  <c r="E36" s="1"/>
  <c r="G19" i="5" s="1"/>
  <c r="G21" s="1"/>
  <c r="F75" i="10"/>
  <c r="C26" i="8"/>
  <c r="C31"/>
  <c r="C33" s="1"/>
  <c r="D41" i="5" s="1"/>
  <c r="D46" s="1"/>
  <c r="D51" s="1"/>
  <c r="F16" i="8"/>
  <c r="F18" s="1"/>
  <c r="F20" s="1"/>
  <c r="F25" s="1"/>
  <c r="F32" s="1"/>
  <c r="D8"/>
  <c r="D11" s="1"/>
  <c r="D13" s="1"/>
  <c r="D24" s="1"/>
  <c r="F38" i="5"/>
  <c r="F26"/>
  <c r="F33" s="1"/>
  <c r="G25" l="1"/>
  <c r="G24"/>
  <c r="F39"/>
  <c r="D31" i="8"/>
  <c r="D33" s="1"/>
  <c r="E41" i="5" s="1"/>
  <c r="E46" s="1"/>
  <c r="E51" s="1"/>
  <c r="D26" i="8"/>
  <c r="G26" i="5" l="1"/>
  <c r="G33" s="1"/>
  <c r="H33" s="1"/>
  <c r="H44" s="1"/>
  <c r="G38"/>
  <c r="E8" i="8"/>
  <c r="E11" s="1"/>
  <c r="E13" s="1"/>
  <c r="E24" s="1"/>
  <c r="G39" i="5" l="1"/>
  <c r="F8" i="8" s="1"/>
  <c r="F11" s="1"/>
  <c r="F13" s="1"/>
  <c r="F24" s="1"/>
  <c r="F31" s="1"/>
  <c r="F33" s="1"/>
  <c r="G41" i="5" s="1"/>
  <c r="G46" s="1"/>
  <c r="G51" s="1"/>
  <c r="E26" i="8"/>
  <c r="E31"/>
  <c r="E33" s="1"/>
  <c r="F41" i="5" s="1"/>
  <c r="F26" i="8" l="1"/>
  <c r="H41" i="5"/>
  <c r="H45" s="1"/>
  <c r="H46" s="1"/>
  <c r="H51" s="1"/>
  <c r="F46"/>
  <c r="F51" s="1"/>
  <c r="H53" s="1"/>
  <c r="H55" l="1"/>
  <c r="H58" s="1"/>
</calcChain>
</file>

<file path=xl/sharedStrings.xml><?xml version="1.0" encoding="utf-8"?>
<sst xmlns="http://schemas.openxmlformats.org/spreadsheetml/2006/main" count="222" uniqueCount="145">
  <si>
    <t>Incremental Operating Expense</t>
  </si>
  <si>
    <t>Depreciation Expense</t>
  </si>
  <si>
    <t>Total Expenses</t>
  </si>
  <si>
    <t>Total Rate Base</t>
  </si>
  <si>
    <t>Return on Equity</t>
  </si>
  <si>
    <t>Revenue Requirement before PILs</t>
  </si>
  <si>
    <t>Calculation of Income for PILs Purposes</t>
  </si>
  <si>
    <t>Incremental Operating Expenses</t>
  </si>
  <si>
    <t>Interest Expense</t>
  </si>
  <si>
    <t>Income for PILs purposes</t>
  </si>
  <si>
    <t>Grossed up PILs</t>
  </si>
  <si>
    <t>Income Tax</t>
  </si>
  <si>
    <t>Change in taxable income</t>
  </si>
  <si>
    <t xml:space="preserve">Tax Rate </t>
  </si>
  <si>
    <t>Income Taxes Payable</t>
  </si>
  <si>
    <t xml:space="preserve">Ontario Capital Tax </t>
  </si>
  <si>
    <t>Rate Base</t>
  </si>
  <si>
    <t>Less: Exemption</t>
  </si>
  <si>
    <t>Deemed Taxable Capital</t>
  </si>
  <si>
    <t>Ontario Capital Tax Rate</t>
  </si>
  <si>
    <t xml:space="preserve">Net OCT Amount </t>
  </si>
  <si>
    <t>PILs Payable</t>
  </si>
  <si>
    <t>Gross Up</t>
  </si>
  <si>
    <t>Grossed Up PILs</t>
  </si>
  <si>
    <t>Change in Income Taxes Payable</t>
  </si>
  <si>
    <t>Change in OCT</t>
  </si>
  <si>
    <t>Total</t>
  </si>
  <si>
    <t>PILs Calculation</t>
  </si>
  <si>
    <t>Smart Meter Expenses (2006 - 2008)</t>
  </si>
  <si>
    <t>Rate Base Additions</t>
  </si>
  <si>
    <t>Rate Base Addition</t>
  </si>
  <si>
    <t>Return Calculation per Year</t>
  </si>
  <si>
    <t>Debt Cost</t>
  </si>
  <si>
    <t>Total Return on Rate Base</t>
  </si>
  <si>
    <t>PILs</t>
  </si>
  <si>
    <t>OCT</t>
  </si>
  <si>
    <t>Summary of Actual vs Estimated costs</t>
  </si>
  <si>
    <t>2006 Actual</t>
  </si>
  <si>
    <t>2007 Estimate</t>
  </si>
  <si>
    <t>2007 Actual</t>
  </si>
  <si>
    <t>Variance</t>
  </si>
  <si>
    <t>2008 Estimate</t>
  </si>
  <si>
    <t>2008 Actual</t>
  </si>
  <si>
    <t>Smart Meters</t>
  </si>
  <si>
    <t>Computer Hardware</t>
  </si>
  <si>
    <t>Computer Software</t>
  </si>
  <si>
    <t>Tools &amp; Equipment</t>
  </si>
  <si>
    <t>Total Capital Costs</t>
  </si>
  <si>
    <t>Note:  Credit indicates Actual less than Estimate</t>
  </si>
  <si>
    <t>O M &amp; A</t>
  </si>
  <si>
    <t>2.1 Advanced metering communication device (AMCD)</t>
  </si>
  <si>
    <t>2.2 Advanced metering regional collector (AMRC) (includes LAN)</t>
  </si>
  <si>
    <t>2.3 Advanced metering control computer (AMCC)</t>
  </si>
  <si>
    <t>2.4 Wide area network (WAN)</t>
  </si>
  <si>
    <t>2.5 Other AMI OM&amp;A costs related to minimum functionality</t>
  </si>
  <si>
    <t>Total O M &amp; A Costs</t>
  </si>
  <si>
    <t>Amortization Expenses</t>
  </si>
  <si>
    <t>Total Amortization Expenses</t>
  </si>
  <si>
    <t>Smart Meter Average Net Fixed Assets</t>
  </si>
  <si>
    <t>Net Fixed Assets - Smart Meters</t>
  </si>
  <si>
    <t>Opening Capital Investment</t>
  </si>
  <si>
    <t>Closing Capital Investment</t>
  </si>
  <si>
    <t>Opening Accumulated Amortization</t>
  </si>
  <si>
    <t>Closing Accumulated Amortization</t>
  </si>
  <si>
    <t>Opening Net Fixed Assets</t>
  </si>
  <si>
    <t>Closing Net Fixed Assets</t>
  </si>
  <si>
    <t>Average Net Fixed Assets</t>
  </si>
  <si>
    <t>Net Fixed Assets - Computer Hardware</t>
  </si>
  <si>
    <t>Net Fixed Assets - Computer Software</t>
  </si>
  <si>
    <t>Net Fixed Assets - Tools &amp; Equipment</t>
  </si>
  <si>
    <t>Net Fixed Assets - Other Equipment</t>
  </si>
  <si>
    <t>For PILs Calculation</t>
  </si>
  <si>
    <t>UCC - Smart Meters</t>
  </si>
  <si>
    <t>CCA Class 47 (8%)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</si>
  <si>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</si>
  <si>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</si>
  <si>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</si>
  <si>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</si>
  <si>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</si>
  <si>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  47</t>
  </si>
  <si>
    <t>CCA</t>
  </si>
  <si>
    <t>Closing UCC</t>
  </si>
  <si>
    <t>UCC - Computer Equipment</t>
  </si>
  <si>
    <t>CCA Class 45 (45%)</t>
  </si>
  <si>
    <t>Capital Additions Computer Hardware</t>
  </si>
  <si>
    <t>Capital Additions Computer Software</t>
  </si>
  <si>
    <t>CCA Rate Class  45</t>
  </si>
  <si>
    <t>UCC - General Equipment</t>
  </si>
  <si>
    <t>CCA Class 8 (20%)</t>
  </si>
  <si>
    <t>Capital Additions Tools &amp; Equipment</t>
  </si>
  <si>
    <t>Capital Additions Other Equipment</t>
  </si>
  <si>
    <t>CCA Rate Class  8</t>
  </si>
  <si>
    <t>LDC Amortization Policy:</t>
  </si>
  <si>
    <t>Amortization</t>
  </si>
  <si>
    <t>CCA Class</t>
  </si>
  <si>
    <t>CCA Rate</t>
  </si>
  <si>
    <t>Years</t>
  </si>
  <si>
    <t>%</t>
  </si>
  <si>
    <t>Amort %age</t>
  </si>
  <si>
    <t>CCA - from Nt Fix Ass &amp; UCC</t>
  </si>
  <si>
    <t>Less: Smart Meter Adder Recovery</t>
  </si>
  <si>
    <t>Prescribed Interest Rates OEB - Average Per Year</t>
  </si>
  <si>
    <t>Q1</t>
  </si>
  <si>
    <t>Q2</t>
  </si>
  <si>
    <t>Q3</t>
  </si>
  <si>
    <t>Q4</t>
  </si>
  <si>
    <t>Average</t>
  </si>
  <si>
    <t>15% Working Capital Allowance</t>
  </si>
  <si>
    <t>Calculation of Disposition of Smart Meter Deferral Account for Balances as of December 31, 2008</t>
  </si>
  <si>
    <t>Smart Meter Related Fixed Assets Net Book Value - Dec 31</t>
  </si>
  <si>
    <t xml:space="preserve">     Smart Meters - 1860</t>
  </si>
  <si>
    <t xml:space="preserve">     Computer Hardware - 1920</t>
  </si>
  <si>
    <t xml:space="preserve">     Computer Software - 1925</t>
  </si>
  <si>
    <t>Recovery on 2010 Forecasted number of metered Customers/Connections</t>
  </si>
  <si>
    <t>Charge per metered customer per month</t>
  </si>
  <si>
    <t>Difference under/(over) recovered</t>
  </si>
  <si>
    <t>Carrying Charge on Under/(over)Recovery (See below for Calc)</t>
  </si>
  <si>
    <t>Difference Under/(over) Recovered plus Carrying Charge</t>
  </si>
  <si>
    <t>Cost of Capital Assumptions</t>
  </si>
  <si>
    <t>Capital Structure Assumptions</t>
  </si>
  <si>
    <t>Long Term Debt Portion</t>
  </si>
  <si>
    <t>Short Term Debt Portion</t>
  </si>
  <si>
    <t>Equity Portion</t>
  </si>
  <si>
    <t>Long Term Debt Rate</t>
  </si>
  <si>
    <t>Equity Rate</t>
  </si>
  <si>
    <t>Summary of Smart Meter Actual vs Estimated Costs</t>
  </si>
  <si>
    <t>Disposition of Smart Meter Deferral Account for Balances as of December 31, 2008</t>
  </si>
  <si>
    <r>
      <t>Net Income</t>
    </r>
    <r>
      <rPr>
        <i/>
        <sz val="11"/>
        <rFont val="Times New Roman"/>
        <family val="1"/>
      </rPr>
      <t xml:space="preserve"> </t>
    </r>
  </si>
  <si>
    <r>
      <t>Amortization</t>
    </r>
    <r>
      <rPr>
        <i/>
        <sz val="11"/>
        <rFont val="Times New Roman"/>
        <family val="1"/>
      </rPr>
      <t xml:space="preserve"> </t>
    </r>
  </si>
  <si>
    <r>
      <t xml:space="preserve">Smart Meter Amortization Rate </t>
    </r>
    <r>
      <rPr>
        <i/>
        <sz val="8"/>
        <rFont val="Times New Roman"/>
        <family val="1"/>
      </rPr>
      <t>Enter Amortization Policy</t>
    </r>
  </si>
  <si>
    <r>
      <t xml:space="preserve">Computer Hardware Amortization Rate </t>
    </r>
    <r>
      <rPr>
        <i/>
        <sz val="8"/>
        <rFont val="Times New Roman"/>
        <family val="1"/>
      </rPr>
      <t>Enter Amortization Policy</t>
    </r>
  </si>
  <si>
    <r>
      <t xml:space="preserve">Computer Software Amortization Rate </t>
    </r>
    <r>
      <rPr>
        <i/>
        <sz val="8"/>
        <rFont val="Times New Roman"/>
        <family val="1"/>
      </rPr>
      <t>Enter Amortization Policy</t>
    </r>
  </si>
  <si>
    <r>
      <t>Tools &amp; Equipment Amortization Rate</t>
    </r>
    <r>
      <rPr>
        <i/>
        <sz val="8"/>
        <rFont val="Times New Roman"/>
        <family val="1"/>
      </rPr>
      <t xml:space="preserve"> Enter Amortization Policy</t>
    </r>
  </si>
  <si>
    <r>
      <t xml:space="preserve">Other Equipment Amortization Rate </t>
    </r>
    <r>
      <rPr>
        <i/>
        <sz val="8"/>
        <rFont val="Times New Roman"/>
        <family val="1"/>
      </rPr>
      <t>Enter Amortization Policy</t>
    </r>
  </si>
  <si>
    <r>
      <t xml:space="preserve">Capital Costs </t>
    </r>
    <r>
      <rPr>
        <b/>
        <i/>
        <sz val="11"/>
        <rFont val="Times New Roman"/>
        <family val="1"/>
      </rPr>
      <t>(must be installed, and used and useful)</t>
    </r>
  </si>
  <si>
    <r>
      <t>Other Equipment</t>
    </r>
    <r>
      <rPr>
        <i/>
        <sz val="11"/>
        <rFont val="Times New Roman"/>
        <family val="1"/>
      </rPr>
      <t xml:space="preserve"> </t>
    </r>
  </si>
  <si>
    <t>Veridian Connections</t>
  </si>
  <si>
    <r>
      <t xml:space="preserve">Capital Investment </t>
    </r>
    <r>
      <rPr>
        <i/>
        <sz val="11"/>
        <rFont val="Times New Roman"/>
        <family val="1"/>
      </rPr>
      <t>(3.  LDC Assumptions and Data)</t>
    </r>
  </si>
  <si>
    <r>
      <t>Capital Investment</t>
    </r>
    <r>
      <rPr>
        <i/>
        <sz val="11"/>
        <rFont val="Times New Roman"/>
        <family val="1"/>
      </rPr>
      <t xml:space="preserve"> (3.  LDC Assumptions and Data)</t>
    </r>
  </si>
  <si>
    <t>Net Fixed Assets and UCC</t>
  </si>
  <si>
    <t xml:space="preserve"> Calculation of Disposition of Smart Meter Deferral Account for Balances as of December 31, 2008</t>
  </si>
  <si>
    <t>Veridian Connections inc.</t>
  </si>
  <si>
    <t>EB-2012-0247</t>
  </si>
  <si>
    <t>Motion to Review</t>
  </si>
  <si>
    <t>Exhibit "B" - 2010 COS Application - 2008 Interim Disposition Model</t>
  </si>
</sst>
</file>

<file path=xl/styles.xml><?xml version="1.0" encoding="utf-8"?>
<styleSheet xmlns="http://schemas.openxmlformats.org/spreadsheetml/2006/main">
  <numFmts count="19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_(* #,##0.0_);_(* \(#,##0.0\);_(* &quot;-&quot;??_);_(@_)"/>
    <numFmt numFmtId="168" formatCode="_(* #,##0_);_(* \(#,##0\);_(* &quot;-&quot;??_);_(@_)"/>
    <numFmt numFmtId="169" formatCode="&quot;£ &quot;#,##0.00;[Red]\-&quot;£ &quot;#,##0.00"/>
    <numFmt numFmtId="170" formatCode="##\-#"/>
    <numFmt numFmtId="171" formatCode="mm/dd/yyyy"/>
    <numFmt numFmtId="172" formatCode="0\-0"/>
    <numFmt numFmtId="173" formatCode="0.0000%"/>
    <numFmt numFmtId="174" formatCode="_-&quot;$&quot;* #,##0_-;\-&quot;$&quot;* #,##0_-;_-&quot;$&quot;* &quot;-&quot;??_-;_-@_-"/>
    <numFmt numFmtId="175" formatCode="[$-F800]dddd\,\ mmmm\ dd\,\ yyyy"/>
    <numFmt numFmtId="176" formatCode="0.0%"/>
    <numFmt numFmtId="177" formatCode="_-&quot;$&quot;* #,##0.00_-;\-&quot;$&quot;* #,##0.00_-;_-&quot;$&quot;* &quot;-&quot;??_-;_-@_-"/>
    <numFmt numFmtId="178" formatCode="0.000"/>
    <numFmt numFmtId="179" formatCode="0.0000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8"/>
      <name val="Times New Roman"/>
      <family val="1"/>
    </font>
    <font>
      <sz val="10"/>
      <color indexed="10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b/>
      <sz val="13"/>
      <color theme="1"/>
      <name val="Calibri"/>
      <family val="2"/>
      <scheme val="minor"/>
    </font>
    <font>
      <b/>
      <sz val="16"/>
      <name val="Times New Roman"/>
      <family val="1"/>
    </font>
    <font>
      <sz val="12"/>
      <color theme="1"/>
      <name val="Calibri"/>
      <family val="2"/>
      <scheme val="minor"/>
    </font>
    <font>
      <b/>
      <sz val="14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167" fontId="1" fillId="0" borderId="0"/>
    <xf numFmtId="166" fontId="1" fillId="0" borderId="0"/>
    <xf numFmtId="171" fontId="1" fillId="0" borderId="0"/>
    <xf numFmtId="172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8" fillId="4" borderId="0" applyNumberFormat="0" applyBorder="0" applyAlignment="0" applyProtection="0"/>
    <xf numFmtId="38" fontId="9" fillId="22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10" fontId="9" fillId="23" borderId="6" applyNumberFormat="0" applyBorder="0" applyAlignment="0" applyProtection="0"/>
    <xf numFmtId="0" fontId="14" fillId="0" borderId="7" applyNumberFormat="0" applyFill="0" applyAlignment="0" applyProtection="0"/>
    <xf numFmtId="170" fontId="1" fillId="0" borderId="0"/>
    <xf numFmtId="168" fontId="1" fillId="0" borderId="0"/>
    <xf numFmtId="0" fontId="15" fillId="24" borderId="0" applyNumberFormat="0" applyBorder="0" applyAlignment="0" applyProtection="0"/>
    <xf numFmtId="169" fontId="1" fillId="0" borderId="0"/>
    <xf numFmtId="0" fontId="1" fillId="25" borderId="8" applyNumberFormat="0" applyFont="0" applyAlignment="0" applyProtection="0"/>
    <xf numFmtId="0" fontId="16" fillId="20" borderId="9" applyNumberFormat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Fill="1" applyProtection="1"/>
    <xf numFmtId="0" fontId="23" fillId="0" borderId="0" xfId="0" applyFont="1" applyFill="1" applyAlignment="1" applyProtection="1">
      <alignment horizontal="center"/>
    </xf>
    <xf numFmtId="0" fontId="24" fillId="0" borderId="11" xfId="0" applyFont="1" applyFill="1" applyBorder="1" applyProtection="1"/>
    <xf numFmtId="0" fontId="24" fillId="0" borderId="12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14" xfId="0" applyFont="1" applyFill="1" applyBorder="1" applyProtection="1"/>
    <xf numFmtId="0" fontId="24" fillId="0" borderId="0" xfId="0" applyFont="1" applyBorder="1" applyAlignment="1">
      <alignment horizontal="center"/>
    </xf>
    <xf numFmtId="0" fontId="23" fillId="0" borderId="0" xfId="0" applyFont="1" applyFill="1" applyBorder="1" applyProtection="1"/>
    <xf numFmtId="0" fontId="24" fillId="0" borderId="26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3" fillId="0" borderId="14" xfId="0" applyFont="1" applyFill="1" applyBorder="1" applyProtection="1"/>
    <xf numFmtId="3" fontId="23" fillId="0" borderId="0" xfId="0" applyNumberFormat="1" applyFont="1" applyBorder="1" applyAlignment="1">
      <alignment vertical="top" wrapText="1"/>
    </xf>
    <xf numFmtId="3" fontId="23" fillId="0" borderId="22" xfId="0" applyNumberFormat="1" applyFont="1" applyBorder="1" applyAlignment="1">
      <alignment vertical="top" wrapText="1"/>
    </xf>
    <xf numFmtId="37" fontId="23" fillId="0" borderId="0" xfId="0" applyNumberFormat="1" applyFont="1" applyBorder="1"/>
    <xf numFmtId="37" fontId="23" fillId="0" borderId="22" xfId="0" applyNumberFormat="1" applyFont="1" applyBorder="1"/>
    <xf numFmtId="10" fontId="23" fillId="0" borderId="0" xfId="0" applyNumberFormat="1" applyFont="1" applyFill="1" applyBorder="1" applyAlignment="1" applyProtection="1">
      <alignment horizontal="center"/>
    </xf>
    <xf numFmtId="10" fontId="23" fillId="0" borderId="22" xfId="0" applyNumberFormat="1" applyFont="1" applyFill="1" applyBorder="1" applyAlignment="1" applyProtection="1">
      <alignment horizontal="center"/>
    </xf>
    <xf numFmtId="37" fontId="24" fillId="0" borderId="0" xfId="0" applyNumberFormat="1" applyFont="1" applyBorder="1"/>
    <xf numFmtId="37" fontId="24" fillId="0" borderId="22" xfId="0" applyNumberFormat="1" applyFont="1" applyBorder="1"/>
    <xf numFmtId="165" fontId="23" fillId="0" borderId="0" xfId="32" applyNumberFormat="1" applyFont="1" applyFill="1" applyBorder="1" applyProtection="1"/>
    <xf numFmtId="165" fontId="23" fillId="0" borderId="22" xfId="32" applyNumberFormat="1" applyFont="1" applyFill="1" applyBorder="1" applyProtection="1"/>
    <xf numFmtId="173" fontId="23" fillId="0" borderId="0" xfId="53" applyNumberFormat="1" applyFont="1" applyFill="1" applyBorder="1" applyProtection="1"/>
    <xf numFmtId="173" fontId="23" fillId="0" borderId="22" xfId="53" applyNumberFormat="1" applyFont="1" applyFill="1" applyBorder="1" applyProtection="1"/>
    <xf numFmtId="165" fontId="24" fillId="0" borderId="0" xfId="32" applyNumberFormat="1" applyFont="1" applyFill="1" applyBorder="1" applyProtection="1"/>
    <xf numFmtId="165" fontId="24" fillId="0" borderId="22" xfId="32" applyNumberFormat="1" applyFont="1" applyFill="1" applyBorder="1" applyProtection="1"/>
    <xf numFmtId="0" fontId="23" fillId="0" borderId="22" xfId="0" applyFont="1" applyFill="1" applyBorder="1" applyProtection="1"/>
    <xf numFmtId="0" fontId="23" fillId="0" borderId="14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23" fillId="0" borderId="22" xfId="0" applyFont="1" applyFill="1" applyBorder="1" applyAlignment="1" applyProtection="1">
      <alignment horizontal="center"/>
    </xf>
    <xf numFmtId="0" fontId="24" fillId="0" borderId="0" xfId="0" applyFont="1" applyFill="1" applyBorder="1" applyProtection="1"/>
    <xf numFmtId="0" fontId="24" fillId="0" borderId="22" xfId="0" applyFont="1" applyFill="1" applyBorder="1" applyProtection="1"/>
    <xf numFmtId="0" fontId="23" fillId="0" borderId="0" xfId="0" applyFont="1" applyBorder="1"/>
    <xf numFmtId="0" fontId="23" fillId="0" borderId="22" xfId="0" applyFont="1" applyBorder="1"/>
    <xf numFmtId="0" fontId="23" fillId="0" borderId="23" xfId="0" applyFont="1" applyFill="1" applyBorder="1" applyProtection="1"/>
    <xf numFmtId="3" fontId="23" fillId="0" borderId="17" xfId="0" applyNumberFormat="1" applyFont="1" applyBorder="1" applyAlignment="1">
      <alignment vertical="top" wrapText="1"/>
    </xf>
    <xf numFmtId="3" fontId="23" fillId="0" borderId="24" xfId="0" applyNumberFormat="1" applyFont="1" applyBorder="1" applyAlignment="1">
      <alignment vertical="top" wrapText="1"/>
    </xf>
    <xf numFmtId="0" fontId="23" fillId="0" borderId="0" xfId="0" applyFont="1" applyFill="1"/>
    <xf numFmtId="0" fontId="27" fillId="0" borderId="0" xfId="58" applyFont="1"/>
    <xf numFmtId="0" fontId="26" fillId="0" borderId="0" xfId="58" applyFont="1" applyBorder="1" applyAlignment="1">
      <alignment horizontal="center"/>
    </xf>
    <xf numFmtId="174" fontId="27" fillId="0" borderId="0" xfId="59" applyNumberFormat="1" applyFont="1" applyBorder="1"/>
    <xf numFmtId="0" fontId="29" fillId="0" borderId="0" xfId="0" applyFont="1"/>
    <xf numFmtId="0" fontId="28" fillId="0" borderId="0" xfId="58" applyFont="1"/>
    <xf numFmtId="42" fontId="27" fillId="0" borderId="0" xfId="58" applyNumberFormat="1" applyFont="1"/>
    <xf numFmtId="0" fontId="28" fillId="26" borderId="0" xfId="0" applyFont="1" applyFill="1" applyProtection="1"/>
    <xf numFmtId="0" fontId="22" fillId="26" borderId="0" xfId="0" applyFont="1" applyFill="1" applyAlignment="1" applyProtection="1">
      <alignment horizontal="right"/>
    </xf>
    <xf numFmtId="0" fontId="22" fillId="26" borderId="0" xfId="0" applyFont="1" applyFill="1" applyProtection="1"/>
    <xf numFmtId="44" fontId="27" fillId="0" borderId="0" xfId="58" applyNumberFormat="1" applyFont="1"/>
    <xf numFmtId="0" fontId="22" fillId="26" borderId="0" xfId="0" applyFont="1" applyFill="1" applyAlignment="1" applyProtection="1">
      <alignment horizontal="left" indent="1"/>
    </xf>
    <xf numFmtId="165" fontId="31" fillId="27" borderId="0" xfId="32" applyNumberFormat="1" applyFont="1" applyFill="1" applyAlignment="1" applyProtection="1">
      <alignment horizontal="center"/>
      <protection locked="0"/>
    </xf>
    <xf numFmtId="176" fontId="27" fillId="0" borderId="0" xfId="53" applyNumberFormat="1" applyFont="1"/>
    <xf numFmtId="0" fontId="22" fillId="27" borderId="0" xfId="0" applyFont="1" applyFill="1" applyAlignment="1" applyProtection="1">
      <alignment horizontal="left" indent="1"/>
    </xf>
    <xf numFmtId="0" fontId="23" fillId="0" borderId="0" xfId="58" applyFont="1"/>
    <xf numFmtId="0" fontId="24" fillId="0" borderId="6" xfId="0" applyFont="1" applyBorder="1"/>
    <xf numFmtId="0" fontId="24" fillId="0" borderId="6" xfId="0" applyFont="1" applyBorder="1" applyAlignment="1">
      <alignment horizontal="center"/>
    </xf>
    <xf numFmtId="0" fontId="24" fillId="0" borderId="0" xfId="0" applyFont="1"/>
    <xf numFmtId="0" fontId="23" fillId="0" borderId="0" xfId="58" applyFont="1" applyAlignment="1">
      <alignment horizontal="left" indent="1"/>
    </xf>
    <xf numFmtId="174" fontId="23" fillId="0" borderId="0" xfId="59" applyNumberFormat="1" applyFont="1"/>
    <xf numFmtId="42" fontId="23" fillId="0" borderId="0" xfId="59" applyNumberFormat="1" applyFont="1"/>
    <xf numFmtId="42" fontId="23" fillId="0" borderId="29" xfId="59" applyNumberFormat="1" applyFont="1" applyBorder="1"/>
    <xf numFmtId="0" fontId="23" fillId="0" borderId="0" xfId="58" applyFont="1" applyFill="1"/>
    <xf numFmtId="42" fontId="23" fillId="0" borderId="0" xfId="58" applyNumberFormat="1" applyFont="1" applyFill="1"/>
    <xf numFmtId="174" fontId="23" fillId="0" borderId="0" xfId="59" applyNumberFormat="1" applyFont="1" applyBorder="1"/>
    <xf numFmtId="42" fontId="23" fillId="0" borderId="0" xfId="59" applyNumberFormat="1" applyFont="1" applyBorder="1"/>
    <xf numFmtId="0" fontId="32" fillId="0" borderId="0" xfId="0" applyFont="1"/>
    <xf numFmtId="0" fontId="24" fillId="0" borderId="0" xfId="58" applyFont="1"/>
    <xf numFmtId="174" fontId="23" fillId="0" borderId="29" xfId="59" applyNumberFormat="1" applyFont="1" applyBorder="1"/>
    <xf numFmtId="42" fontId="23" fillId="0" borderId="0" xfId="58" applyNumberFormat="1" applyFont="1"/>
    <xf numFmtId="176" fontId="23" fillId="0" borderId="0" xfId="53" applyNumberFormat="1" applyFont="1"/>
    <xf numFmtId="0" fontId="23" fillId="0" borderId="0" xfId="0" applyFont="1" applyFill="1" applyBorder="1" applyAlignment="1">
      <alignment horizontal="left" indent="1"/>
    </xf>
    <xf numFmtId="10" fontId="23" fillId="0" borderId="0" xfId="0" applyNumberFormat="1" applyFont="1" applyFill="1" applyBorder="1" applyAlignment="1">
      <alignment horizontal="left" indent="1"/>
    </xf>
    <xf numFmtId="0" fontId="23" fillId="0" borderId="0" xfId="0" applyFont="1" applyBorder="1" applyAlignment="1">
      <alignment horizontal="center"/>
    </xf>
    <xf numFmtId="0" fontId="24" fillId="0" borderId="11" xfId="0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14" xfId="0" applyFont="1" applyBorder="1"/>
    <xf numFmtId="0" fontId="24" fillId="0" borderId="0" xfId="0" applyFont="1" applyBorder="1"/>
    <xf numFmtId="0" fontId="24" fillId="0" borderId="15" xfId="0" applyFont="1" applyBorder="1"/>
    <xf numFmtId="0" fontId="23" fillId="0" borderId="14" xfId="0" applyFont="1" applyFill="1" applyBorder="1" applyAlignment="1">
      <alignment horizontal="left" indent="1"/>
    </xf>
    <xf numFmtId="165" fontId="23" fillId="0" borderId="0" xfId="0" applyNumberFormat="1" applyFont="1" applyBorder="1"/>
    <xf numFmtId="165" fontId="23" fillId="0" borderId="0" xfId="0" applyNumberFormat="1" applyFont="1" applyFill="1" applyBorder="1"/>
    <xf numFmtId="165" fontId="25" fillId="0" borderId="0" xfId="0" applyNumberFormat="1" applyFont="1" applyFill="1" applyBorder="1"/>
    <xf numFmtId="165" fontId="24" fillId="0" borderId="0" xfId="0" applyNumberFormat="1" applyFont="1" applyBorder="1"/>
    <xf numFmtId="0" fontId="24" fillId="0" borderId="0" xfId="0" applyFont="1" applyFill="1" applyBorder="1"/>
    <xf numFmtId="165" fontId="23" fillId="0" borderId="0" xfId="0" applyNumberFormat="1" applyFont="1"/>
    <xf numFmtId="165" fontId="23" fillId="0" borderId="0" xfId="32" applyNumberFormat="1" applyFont="1" applyBorder="1"/>
    <xf numFmtId="165" fontId="23" fillId="0" borderId="25" xfId="32" applyNumberFormat="1" applyFont="1" applyBorder="1"/>
    <xf numFmtId="165" fontId="24" fillId="0" borderId="0" xfId="32" applyNumberFormat="1" applyFont="1" applyBorder="1"/>
    <xf numFmtId="0" fontId="24" fillId="26" borderId="14" xfId="0" applyFont="1" applyFill="1" applyBorder="1"/>
    <xf numFmtId="0" fontId="23" fillId="26" borderId="14" xfId="0" applyFont="1" applyFill="1" applyBorder="1" applyAlignment="1">
      <alignment horizontal="left" indent="1"/>
    </xf>
    <xf numFmtId="0" fontId="23" fillId="0" borderId="14" xfId="0" applyFont="1" applyBorder="1" applyAlignment="1">
      <alignment horizontal="left" indent="1"/>
    </xf>
    <xf numFmtId="165" fontId="23" fillId="0" borderId="25" xfId="0" applyNumberFormat="1" applyFont="1" applyBorder="1"/>
    <xf numFmtId="165" fontId="23" fillId="0" borderId="15" xfId="32" applyNumberFormat="1" applyFont="1" applyBorder="1"/>
    <xf numFmtId="0" fontId="24" fillId="0" borderId="14" xfId="0" applyFont="1" applyFill="1" applyBorder="1"/>
    <xf numFmtId="0" fontId="23" fillId="0" borderId="0" xfId="0" applyFont="1" applyFill="1" applyBorder="1"/>
    <xf numFmtId="0" fontId="23" fillId="0" borderId="15" xfId="0" applyFont="1" applyBorder="1"/>
    <xf numFmtId="37" fontId="23" fillId="0" borderId="0" xfId="0" applyNumberFormat="1" applyFont="1"/>
    <xf numFmtId="0" fontId="24" fillId="0" borderId="14" xfId="0" applyFont="1" applyBorder="1" applyAlignment="1">
      <alignment horizontal="left"/>
    </xf>
    <xf numFmtId="165" fontId="23" fillId="0" borderId="16" xfId="0" applyNumberFormat="1" applyFont="1" applyBorder="1"/>
    <xf numFmtId="3" fontId="24" fillId="0" borderId="0" xfId="0" applyNumberFormat="1" applyFont="1"/>
    <xf numFmtId="3" fontId="24" fillId="0" borderId="0" xfId="0" applyNumberFormat="1" applyFont="1" applyBorder="1"/>
    <xf numFmtId="0" fontId="23" fillId="0" borderId="14" xfId="0" applyFont="1" applyBorder="1"/>
    <xf numFmtId="165" fontId="23" fillId="0" borderId="15" xfId="0" applyNumberFormat="1" applyFont="1" applyBorder="1"/>
    <xf numFmtId="0" fontId="24" fillId="0" borderId="14" xfId="0" applyFont="1" applyBorder="1" applyAlignment="1">
      <alignment wrapText="1"/>
    </xf>
    <xf numFmtId="168" fontId="23" fillId="0" borderId="0" xfId="0" applyNumberFormat="1" applyFont="1" applyBorder="1"/>
    <xf numFmtId="168" fontId="23" fillId="0" borderId="16" xfId="32" applyNumberFormat="1" applyFont="1" applyBorder="1"/>
    <xf numFmtId="168" fontId="23" fillId="0" borderId="0" xfId="32" applyNumberFormat="1" applyFont="1" applyFill="1" applyBorder="1"/>
    <xf numFmtId="37" fontId="23" fillId="0" borderId="15" xfId="0" applyNumberFormat="1" applyFont="1" applyBorder="1"/>
    <xf numFmtId="37" fontId="24" fillId="0" borderId="15" xfId="0" applyNumberFormat="1" applyFont="1" applyBorder="1"/>
    <xf numFmtId="165" fontId="23" fillId="0" borderId="0" xfId="32" applyNumberFormat="1" applyFont="1"/>
    <xf numFmtId="44" fontId="24" fillId="0" borderId="0" xfId="63" applyNumberFormat="1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17" xfId="0" applyFont="1" applyBorder="1"/>
    <xf numFmtId="0" fontId="23" fillId="0" borderId="20" xfId="0" applyFont="1" applyBorder="1"/>
    <xf numFmtId="10" fontId="23" fillId="28" borderId="0" xfId="0" applyNumberFormat="1" applyFont="1" applyFill="1" applyBorder="1" applyAlignment="1">
      <alignment horizontal="center"/>
    </xf>
    <xf numFmtId="9" fontId="23" fillId="0" borderId="0" xfId="53" applyFont="1"/>
    <xf numFmtId="176" fontId="23" fillId="0" borderId="0" xfId="0" applyNumberFormat="1" applyFont="1"/>
    <xf numFmtId="0" fontId="23" fillId="0" borderId="0" xfId="0" applyFont="1" applyAlignment="1">
      <alignment horizontal="right"/>
    </xf>
    <xf numFmtId="178" fontId="23" fillId="0" borderId="0" xfId="0" applyNumberFormat="1" applyFont="1"/>
    <xf numFmtId="179" fontId="23" fillId="0" borderId="0" xfId="0" applyNumberFormat="1" applyFont="1"/>
    <xf numFmtId="44" fontId="23" fillId="0" borderId="0" xfId="63" applyFont="1"/>
    <xf numFmtId="0" fontId="27" fillId="0" borderId="0" xfId="0" applyFont="1" applyAlignment="1">
      <alignment horizontal="center"/>
    </xf>
    <xf numFmtId="0" fontId="28" fillId="0" borderId="0" xfId="0" applyFont="1" applyFill="1" applyBorder="1" applyAlignment="1">
      <alignment horizontal="left" indent="1"/>
    </xf>
    <xf numFmtId="10" fontId="27" fillId="0" borderId="0" xfId="0" applyNumberFormat="1" applyFont="1" applyFill="1" applyBorder="1" applyAlignment="1">
      <alignment horizontal="left" indent="1"/>
    </xf>
    <xf numFmtId="0" fontId="27" fillId="0" borderId="0" xfId="0" applyFont="1"/>
    <xf numFmtId="0" fontId="27" fillId="0" borderId="0" xfId="0" applyFont="1" applyFill="1" applyAlignment="1" applyProtection="1">
      <alignment horizontal="left"/>
    </xf>
    <xf numFmtId="0" fontId="27" fillId="0" borderId="0" xfId="0" applyFont="1" applyFill="1" applyProtection="1"/>
    <xf numFmtId="0" fontId="27" fillId="26" borderId="0" xfId="60" applyFont="1" applyFill="1"/>
    <xf numFmtId="0" fontId="23" fillId="26" borderId="0" xfId="60" applyFont="1" applyFill="1" applyProtection="1"/>
    <xf numFmtId="0" fontId="23" fillId="0" borderId="0" xfId="60" applyFont="1"/>
    <xf numFmtId="0" fontId="23" fillId="26" borderId="0" xfId="60" applyFont="1" applyFill="1"/>
    <xf numFmtId="175" fontId="23" fillId="26" borderId="0" xfId="60" applyNumberFormat="1" applyFont="1" applyFill="1" applyAlignment="1" applyProtection="1">
      <alignment horizontal="left"/>
    </xf>
    <xf numFmtId="0" fontId="23" fillId="26" borderId="0" xfId="60" applyFont="1" applyFill="1" applyAlignment="1" applyProtection="1"/>
    <xf numFmtId="0" fontId="23" fillId="22" borderId="0" xfId="60" applyFont="1" applyFill="1" applyProtection="1"/>
    <xf numFmtId="0" fontId="24" fillId="26" borderId="0" xfId="60" applyFont="1" applyFill="1" applyProtection="1"/>
    <xf numFmtId="176" fontId="23" fillId="26" borderId="0" xfId="61" applyNumberFormat="1" applyFont="1" applyFill="1" applyProtection="1"/>
    <xf numFmtId="177" fontId="23" fillId="26" borderId="29" xfId="62" applyNumberFormat="1" applyFont="1" applyFill="1" applyBorder="1" applyProtection="1"/>
    <xf numFmtId="177" fontId="33" fillId="26" borderId="0" xfId="62" applyNumberFormat="1" applyFont="1" applyFill="1" applyBorder="1" applyProtection="1"/>
    <xf numFmtId="174" fontId="23" fillId="26" borderId="0" xfId="60" applyNumberFormat="1" applyFont="1" applyFill="1" applyBorder="1" applyProtection="1"/>
    <xf numFmtId="177" fontId="23" fillId="26" borderId="0" xfId="62" applyNumberFormat="1" applyFont="1" applyFill="1" applyProtection="1"/>
    <xf numFmtId="174" fontId="23" fillId="26" borderId="29" xfId="62" applyNumberFormat="1" applyFont="1" applyFill="1" applyBorder="1" applyProtection="1"/>
    <xf numFmtId="177" fontId="23" fillId="0" borderId="0" xfId="60" applyNumberFormat="1" applyFont="1"/>
    <xf numFmtId="177" fontId="23" fillId="26" borderId="16" xfId="62" applyNumberFormat="1" applyFont="1" applyFill="1" applyBorder="1" applyProtection="1"/>
    <xf numFmtId="44" fontId="23" fillId="0" borderId="0" xfId="60" applyNumberFormat="1" applyFont="1"/>
    <xf numFmtId="177" fontId="23" fillId="26" borderId="0" xfId="62" applyNumberFormat="1" applyFont="1" applyFill="1" applyBorder="1" applyProtection="1"/>
    <xf numFmtId="9" fontId="23" fillId="26" borderId="0" xfId="60" applyNumberFormat="1" applyFont="1" applyFill="1" applyProtection="1"/>
    <xf numFmtId="0" fontId="27" fillId="26" borderId="0" xfId="60" applyFont="1" applyFill="1" applyProtection="1"/>
    <xf numFmtId="0" fontId="28" fillId="26" borderId="0" xfId="60" applyFont="1" applyFill="1" applyProtection="1"/>
    <xf numFmtId="0" fontId="27" fillId="0" borderId="0" xfId="60" applyFont="1"/>
    <xf numFmtId="0" fontId="23" fillId="26" borderId="0" xfId="60" applyFont="1" applyFill="1" applyAlignment="1" applyProtection="1">
      <alignment horizontal="left"/>
    </xf>
    <xf numFmtId="0" fontId="23" fillId="26" borderId="0" xfId="60" applyFont="1" applyFill="1" applyAlignment="1" applyProtection="1">
      <alignment horizontal="left" wrapText="1"/>
    </xf>
    <xf numFmtId="0" fontId="34" fillId="26" borderId="0" xfId="60" applyFont="1" applyFill="1" applyAlignment="1" applyProtection="1"/>
    <xf numFmtId="0" fontId="28" fillId="0" borderId="0" xfId="0" applyFont="1" applyFill="1" applyAlignment="1" applyProtection="1">
      <alignment horizontal="left"/>
    </xf>
    <xf numFmtId="0" fontId="28" fillId="0" borderId="0" xfId="0" applyFont="1" applyFill="1" applyProtection="1"/>
    <xf numFmtId="0" fontId="23" fillId="0" borderId="0" xfId="60" applyFont="1" applyAlignment="1">
      <alignment horizontal="center"/>
    </xf>
    <xf numFmtId="0" fontId="24" fillId="0" borderId="0" xfId="60" applyFont="1" applyAlignment="1">
      <alignment horizontal="center"/>
    </xf>
    <xf numFmtId="0" fontId="24" fillId="0" borderId="0" xfId="0" applyFont="1" applyFill="1" applyAlignment="1" applyProtection="1">
      <alignment horizontal="left"/>
    </xf>
    <xf numFmtId="177" fontId="23" fillId="29" borderId="0" xfId="62" applyNumberFormat="1" applyFont="1" applyFill="1" applyProtection="1"/>
    <xf numFmtId="0" fontId="27" fillId="0" borderId="0" xfId="0" applyFont="1" applyFill="1" applyBorder="1" applyAlignment="1">
      <alignment horizontal="left" indent="1"/>
    </xf>
    <xf numFmtId="0" fontId="35" fillId="0" borderId="0" xfId="0" applyFont="1" applyAlignment="1">
      <alignment horizontal="center"/>
    </xf>
    <xf numFmtId="0" fontId="38" fillId="0" borderId="0" xfId="0" applyFont="1" applyFill="1" applyBorder="1" applyAlignment="1">
      <alignment horizontal="left" indent="1"/>
    </xf>
    <xf numFmtId="0" fontId="35" fillId="0" borderId="0" xfId="0" applyFont="1" applyAlignment="1">
      <alignment horizontal="right"/>
    </xf>
    <xf numFmtId="0" fontId="36" fillId="0" borderId="27" xfId="58" applyFont="1" applyBorder="1" applyAlignment="1">
      <alignment horizontal="center"/>
    </xf>
    <xf numFmtId="0" fontId="36" fillId="0" borderId="28" xfId="58" applyFont="1" applyBorder="1" applyAlignment="1">
      <alignment horizontal="center"/>
    </xf>
    <xf numFmtId="0" fontId="36" fillId="0" borderId="0" xfId="58" applyFont="1" applyBorder="1" applyAlignment="1">
      <alignment horizontal="center"/>
    </xf>
    <xf numFmtId="0" fontId="24" fillId="0" borderId="0" xfId="0" applyFont="1" applyFill="1" applyAlignment="1" applyProtection="1">
      <alignment horizontal="left"/>
    </xf>
    <xf numFmtId="0" fontId="37" fillId="0" borderId="0" xfId="0" applyFont="1" applyAlignment="1">
      <alignment horizontal="right"/>
    </xf>
  </cellXfs>
  <cellStyles count="64">
    <cellStyle name="$" xfId="1"/>
    <cellStyle name="$.00" xfId="2"/>
    <cellStyle name="$M" xfId="3"/>
    <cellStyle name="$M.00" xfId="4"/>
    <cellStyle name="20% - Accent1" xfId="5" builtinId="30" customBuiltin="1"/>
    <cellStyle name="20% - Accent2" xfId="6" builtinId="34" customBuiltin="1"/>
    <cellStyle name="20% - Accent3" xfId="7" builtinId="38" customBuiltin="1"/>
    <cellStyle name="20% - Accent4" xfId="8" builtinId="42" customBuiltin="1"/>
    <cellStyle name="20% - Accent5" xfId="9" builtinId="46" customBuiltin="1"/>
    <cellStyle name="20% - Accent6" xfId="10" builtinId="50" customBuiltin="1"/>
    <cellStyle name="40% - Accent1" xfId="11" builtinId="31" customBuiltin="1"/>
    <cellStyle name="40% - Accent2" xfId="12" builtinId="35" customBuiltin="1"/>
    <cellStyle name="40% - Accent3" xfId="13" builtinId="39" customBuiltin="1"/>
    <cellStyle name="40% - Accent4" xfId="14" builtinId="43" customBuiltin="1"/>
    <cellStyle name="40% - Accent5" xfId="15" builtinId="47" customBuiltin="1"/>
    <cellStyle name="40% - Accent6" xfId="16" builtinId="51" customBuiltin="1"/>
    <cellStyle name="60% - Accent1" xfId="17" builtinId="32" customBuiltin="1"/>
    <cellStyle name="60% - Accent2" xfId="18" builtinId="36" customBuiltin="1"/>
    <cellStyle name="60% - Accent3" xfId="19" builtinId="40" customBuiltin="1"/>
    <cellStyle name="60% - Accent4" xfId="20" builtinId="44" customBuiltin="1"/>
    <cellStyle name="60% - Accent5" xfId="21" builtinId="48" customBuiltin="1"/>
    <cellStyle name="60% - Accent6" xfId="22" builtinId="52" customBuiltin="1"/>
    <cellStyle name="Accent1" xfId="23" builtinId="29" customBuiltin="1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" xfId="32" builtinId="3"/>
    <cellStyle name="Comma0" xfId="33"/>
    <cellStyle name="Currency" xfId="63" builtinId="4"/>
    <cellStyle name="Currency 2" xfId="59"/>
    <cellStyle name="Currency 3" xfId="62"/>
    <cellStyle name="Currency0" xfId="34"/>
    <cellStyle name="Date" xfId="35"/>
    <cellStyle name="Explanatory Text" xfId="36" builtinId="53" customBuiltin="1"/>
    <cellStyle name="Fixed" xfId="37"/>
    <cellStyle name="Good" xfId="38" builtinId="26" customBuiltin="1"/>
    <cellStyle name="Grey" xfId="39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Input [yellow]" xfId="45"/>
    <cellStyle name="Linked Cell" xfId="46" builtinId="24" customBuiltin="1"/>
    <cellStyle name="M" xfId="47"/>
    <cellStyle name="M.00" xfId="48"/>
    <cellStyle name="Neutral" xfId="49" builtinId="28" customBuiltin="1"/>
    <cellStyle name="Normal" xfId="0" builtinId="0"/>
    <cellStyle name="Normal - Style1" xfId="50"/>
    <cellStyle name="Normal 2" xfId="60"/>
    <cellStyle name="Normal_Calculation of Revenue Requirement" xfId="58"/>
    <cellStyle name="Note" xfId="51" builtinId="10" customBuiltin="1"/>
    <cellStyle name="Output" xfId="52" builtinId="21" customBuiltin="1"/>
    <cellStyle name="Percent" xfId="53" builtinId="5"/>
    <cellStyle name="Percent [2]" xfId="54"/>
    <cellStyle name="Percent 2" xfId="61"/>
    <cellStyle name="Title" xfId="55" builtinId="15" customBuiltin="1"/>
    <cellStyle name="Total" xfId="56" builtinId="25" customBuiltin="1"/>
    <cellStyle name="Warning Text" xfId="57" builtinId="11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Planning/Smart%20Meter%20Implementation%20Assessment/2008%20YE%20Review/SM%20Operational%20costs%20by%20Job%20Number%20YTD-07&amp;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art%20Meters-%20half%20yr%20Rule%20Amort%20Variance%20Acct%20Adj-2006-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Board%20Staff%20example-Smart%20Meter%20Rate%20Calculation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es/Corporate%20Planning/2010%20Rate%20Application/Customer%20Counts/Customer%20Counts%20-%202006%20-%202010-v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3.1555%20Smart%20Meters2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Planning/2010%20Rate%20Application/Variance%20&amp;%20Deferral%20Accounts/Smart%20Meters/3.1555%20Smart%20Meters2-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3.1555%20Smart%20Meters-08-Final%20AnnH-18030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VCI-2009-2010-Smart%20Meter%20Funding%20Adder%20Calculation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per Job Numbers-2009 Act"/>
      <sheetName val="Oper Job Numbers-2008 Act"/>
      <sheetName val="Oper Job Numbers-2007 Act"/>
      <sheetName val="2008 SM RR Inputs"/>
      <sheetName val="2007 SM RR Inputs"/>
      <sheetName val="Sheet3"/>
    </sheetNames>
    <sheetDataSet>
      <sheetData sheetId="0"/>
      <sheetData sheetId="1">
        <row r="15">
          <cell r="O15">
            <v>145219.79999999999</v>
          </cell>
        </row>
        <row r="23">
          <cell r="O23">
            <v>41943.74</v>
          </cell>
        </row>
        <row r="31">
          <cell r="O31">
            <v>6358.82</v>
          </cell>
        </row>
        <row r="39">
          <cell r="O39">
            <v>2672.7799999999997</v>
          </cell>
        </row>
        <row r="55">
          <cell r="O55">
            <v>140597.53999999998</v>
          </cell>
        </row>
        <row r="65">
          <cell r="O65">
            <v>6597.9800000000005</v>
          </cell>
        </row>
        <row r="73">
          <cell r="O73">
            <v>17417.86</v>
          </cell>
        </row>
      </sheetData>
      <sheetData sheetId="2">
        <row r="12">
          <cell r="O12">
            <v>22092.6</v>
          </cell>
        </row>
        <row r="20">
          <cell r="O20">
            <v>5427.8899999999994</v>
          </cell>
        </row>
        <row r="25">
          <cell r="O25">
            <v>4099.95</v>
          </cell>
        </row>
        <row r="33">
          <cell r="O33">
            <v>316.19</v>
          </cell>
        </row>
        <row r="44">
          <cell r="O44">
            <v>120.66</v>
          </cell>
        </row>
        <row r="52">
          <cell r="O52">
            <v>52953.440000000002</v>
          </cell>
        </row>
        <row r="61">
          <cell r="O61">
            <v>56490.510000000009</v>
          </cell>
        </row>
        <row r="69">
          <cell r="O69">
            <v>14898.2</v>
          </cell>
        </row>
      </sheetData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mart Meter Inventory LTD 08"/>
      <sheetName val="Smart Meter Inventory LTD 0 (2)"/>
      <sheetName val="2006"/>
      <sheetName val="2007"/>
      <sheetName val="2008"/>
    </sheetNames>
    <sheetDataSet>
      <sheetData sheetId="0"/>
      <sheetData sheetId="1"/>
      <sheetData sheetId="2"/>
      <sheetData sheetId="3">
        <row r="8">
          <cell r="O8">
            <v>925.49</v>
          </cell>
        </row>
      </sheetData>
      <sheetData sheetId="4">
        <row r="8">
          <cell r="M8">
            <v>148053.63999999998</v>
          </cell>
        </row>
        <row r="9">
          <cell r="M9">
            <v>7678.4549999999999</v>
          </cell>
        </row>
        <row r="10">
          <cell r="M10">
            <v>276.16500000000002</v>
          </cell>
        </row>
        <row r="11">
          <cell r="M11">
            <v>3510.51</v>
          </cell>
        </row>
        <row r="12">
          <cell r="M12">
            <v>15956.405000000001</v>
          </cell>
        </row>
      </sheetData>
      <sheetData sheetId="5">
        <row r="8">
          <cell r="N8">
            <v>396439.67499999999</v>
          </cell>
        </row>
        <row r="9">
          <cell r="N9">
            <v>18661.78</v>
          </cell>
        </row>
        <row r="10">
          <cell r="N10">
            <v>728.71</v>
          </cell>
        </row>
        <row r="11">
          <cell r="N11">
            <v>8884.125</v>
          </cell>
        </row>
        <row r="12">
          <cell r="N12">
            <v>44351.974999999999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. LDC Information"/>
      <sheetName val="2. Smart Meter Data"/>
      <sheetName val="3.  LDC Assumptions and Data"/>
      <sheetName val="4. Smart Meter Rev &amp; Adder"/>
      <sheetName val="5. Clearing Actual"/>
      <sheetName val="6. Adder Recovery"/>
      <sheetName val="7. 2006A Smart Meter Rate Calc"/>
      <sheetName val="8A. 2006A PILs"/>
      <sheetName val="9. 2006A SM Avg Nt Fix Ass &amp;UCC"/>
      <sheetName val="10. 2007A Smart Meter Rate Calc"/>
      <sheetName val="11. 2007A PILs"/>
      <sheetName val="12. 2007A SM Nt Fix Ass &amp;UCC"/>
      <sheetName val="13. 2007E Smart Meter Rate Calc"/>
      <sheetName val="14. 2007E PILs"/>
      <sheetName val="15. 2007E SM Nt Fix Ass &amp;UCC"/>
      <sheetName val="16. Carry Cost Required to May "/>
    </sheetNames>
    <sheetDataSet>
      <sheetData sheetId="0">
        <row r="18">
          <cell r="C18" t="str">
            <v/>
          </cell>
        </row>
      </sheetData>
      <sheetData sheetId="1"/>
      <sheetData sheetId="2">
        <row r="50">
          <cell r="C50">
            <v>15</v>
          </cell>
        </row>
        <row r="51">
          <cell r="C51">
            <v>5</v>
          </cell>
        </row>
        <row r="52">
          <cell r="C52">
            <v>3</v>
          </cell>
        </row>
        <row r="53">
          <cell r="C53">
            <v>10</v>
          </cell>
        </row>
        <row r="54">
          <cell r="C54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1.04E-2</v>
          </cell>
          <cell r="I16">
            <v>6.1999999999999998E-3</v>
          </cell>
          <cell r="J16">
            <v>7.0000000000000001E-3</v>
          </cell>
          <cell r="K16">
            <v>2.3599999999999999E-2</v>
          </cell>
          <cell r="L16">
            <v>2.4121170413787661E-2</v>
          </cell>
          <cell r="M16">
            <v>0</v>
          </cell>
          <cell r="Q16">
            <v>0</v>
          </cell>
          <cell r="R16">
            <v>6.3100000000000003E-2</v>
          </cell>
          <cell r="S16">
            <v>6.3100000000000003E-2</v>
          </cell>
          <cell r="T16">
            <v>1.0422</v>
          </cell>
          <cell r="U16">
            <v>1.0421</v>
          </cell>
          <cell r="V16">
            <v>1.46E-2</v>
          </cell>
          <cell r="W16">
            <v>0</v>
          </cell>
          <cell r="X16">
            <v>9.9</v>
          </cell>
          <cell r="Y16">
            <v>1.3036245268828545E-2</v>
          </cell>
          <cell r="Z16">
            <v>0</v>
          </cell>
          <cell r="AA16">
            <v>12.002620741945689</v>
          </cell>
          <cell r="AB16">
            <v>3.5999999999999999E-3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9.4000000000000004E-3</v>
          </cell>
          <cell r="I54">
            <v>6.1999999999999998E-3</v>
          </cell>
          <cell r="J54">
            <v>7.0000000000000001E-3</v>
          </cell>
          <cell r="K54">
            <v>2.2599999999999999E-2</v>
          </cell>
          <cell r="L54">
            <v>2.3073120281894101E-2</v>
          </cell>
          <cell r="M54">
            <v>0</v>
          </cell>
          <cell r="Q54">
            <v>0</v>
          </cell>
          <cell r="R54">
            <v>6.3100000000000003E-2</v>
          </cell>
          <cell r="S54">
            <v>6.3100000000000003E-2</v>
          </cell>
          <cell r="T54">
            <v>1.0422</v>
          </cell>
          <cell r="U54">
            <v>1.0421</v>
          </cell>
          <cell r="V54">
            <v>1.01E-2</v>
          </cell>
          <cell r="W54">
            <v>0</v>
          </cell>
          <cell r="X54">
            <v>27.31</v>
          </cell>
          <cell r="Y54">
            <v>9.7244003568713929E-3</v>
          </cell>
          <cell r="Z54">
            <v>0</v>
          </cell>
          <cell r="AA54">
            <v>32.266792017609369</v>
          </cell>
          <cell r="AB54">
            <v>1.8E-3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</v>
          </cell>
          <cell r="E62" t="str">
            <v>A</v>
          </cell>
          <cell r="F62" t="str">
            <v/>
          </cell>
          <cell r="G62" t="str">
            <v/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Q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/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.CoGen - Distribution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5.0999999999999996</v>
          </cell>
          <cell r="P74">
            <v>5.0999999999999996</v>
          </cell>
          <cell r="Q74">
            <v>5.3589975500186657</v>
          </cell>
          <cell r="R74">
            <v>6.3100000000000003E-2</v>
          </cell>
          <cell r="S74">
            <v>6.3100000000000003E-2</v>
          </cell>
          <cell r="T74">
            <v>1.0422</v>
          </cell>
          <cell r="U74">
            <v>1.0421</v>
          </cell>
          <cell r="V74">
            <v>0</v>
          </cell>
          <cell r="W74">
            <v>3.8576999999999999</v>
          </cell>
          <cell r="X74">
            <v>2480.7800000000002</v>
          </cell>
          <cell r="Y74">
            <v>0</v>
          </cell>
          <cell r="Z74">
            <v>4.5860315796629632</v>
          </cell>
          <cell r="AA74">
            <v>3001.3872603329778</v>
          </cell>
          <cell r="AB74">
            <v>6.6799999999999998E-2</v>
          </cell>
          <cell r="AC74">
            <v>206784.25555555557</v>
          </cell>
          <cell r="AD74">
            <v>484.50833333333327</v>
          </cell>
          <cell r="AQ74">
            <v>1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.CoGen - Distribution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206784.25555555557</v>
          </cell>
          <cell r="AD75">
            <v>484.50833333333327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.CoGen - Distribution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206784.25555555557</v>
          </cell>
          <cell r="AD76">
            <v>484.50833333333327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.CoGen - Distribution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206784.25555555557</v>
          </cell>
          <cell r="AD77">
            <v>484.50833333333327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.Blended Non &amp; TOU Rates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3.3885999999999998</v>
          </cell>
          <cell r="P78">
            <v>3.3885999999999998</v>
          </cell>
          <cell r="Q78">
            <v>3.5585544834309846</v>
          </cell>
          <cell r="R78">
            <v>6.3100000000000003E-2</v>
          </cell>
          <cell r="S78">
            <v>6.3100000000000003E-2</v>
          </cell>
          <cell r="T78">
            <v>1.0422</v>
          </cell>
          <cell r="U78">
            <v>1.0421</v>
          </cell>
          <cell r="V78">
            <v>0</v>
          </cell>
          <cell r="W78">
            <v>1.7029000000000001</v>
          </cell>
          <cell r="X78">
            <v>201.12</v>
          </cell>
          <cell r="Y78">
            <v>0</v>
          </cell>
          <cell r="Z78">
            <v>1.2893884885616216</v>
          </cell>
          <cell r="AA78">
            <v>237.05032580306187</v>
          </cell>
          <cell r="AB78">
            <v>0.60770000000000002</v>
          </cell>
          <cell r="AC78">
            <v>15000</v>
          </cell>
          <cell r="AD78">
            <v>60</v>
          </cell>
          <cell r="AE78">
            <v>40000</v>
          </cell>
          <cell r="AF78">
            <v>100</v>
          </cell>
          <cell r="AG78">
            <v>100000</v>
          </cell>
          <cell r="AH78">
            <v>500</v>
          </cell>
          <cell r="AI78">
            <v>400000</v>
          </cell>
          <cell r="AJ78">
            <v>1000</v>
          </cell>
          <cell r="AK78">
            <v>1000000</v>
          </cell>
          <cell r="AL78">
            <v>3000</v>
          </cell>
          <cell r="AQ78">
            <v>5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.Blended Non &amp; TOU Rates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15000</v>
          </cell>
          <cell r="AD79">
            <v>60</v>
          </cell>
          <cell r="AE79">
            <v>40000</v>
          </cell>
          <cell r="AF79">
            <v>100</v>
          </cell>
          <cell r="AG79">
            <v>100000</v>
          </cell>
          <cell r="AH79">
            <v>500</v>
          </cell>
          <cell r="AI79">
            <v>400000</v>
          </cell>
          <cell r="AJ79">
            <v>1000</v>
          </cell>
          <cell r="AK79">
            <v>1000000</v>
          </cell>
          <cell r="AL79">
            <v>3000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5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.Blended Non &amp; TOU Rates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15000</v>
          </cell>
          <cell r="AD80">
            <v>60</v>
          </cell>
          <cell r="AE80">
            <v>40000</v>
          </cell>
          <cell r="AF80">
            <v>100</v>
          </cell>
          <cell r="AG80">
            <v>100000</v>
          </cell>
          <cell r="AH80">
            <v>500</v>
          </cell>
          <cell r="AI80">
            <v>400000</v>
          </cell>
          <cell r="AJ80">
            <v>1000</v>
          </cell>
          <cell r="AK80">
            <v>1000000</v>
          </cell>
          <cell r="AL80">
            <v>3000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5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.Blended Non &amp; TOU Rates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15000</v>
          </cell>
          <cell r="AD81">
            <v>60</v>
          </cell>
          <cell r="AE81">
            <v>40000</v>
          </cell>
          <cell r="AF81">
            <v>100</v>
          </cell>
          <cell r="AG81">
            <v>100000</v>
          </cell>
          <cell r="AH81">
            <v>500</v>
          </cell>
          <cell r="AI81">
            <v>400000</v>
          </cell>
          <cell r="AJ81">
            <v>1000</v>
          </cell>
          <cell r="AK81">
            <v>1000000</v>
          </cell>
          <cell r="AL81">
            <v>3000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5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4.5755999999999997</v>
          </cell>
          <cell r="P90">
            <v>4.5755999999999997</v>
          </cell>
          <cell r="Q90">
            <v>4.8014800020602486</v>
          </cell>
          <cell r="R90">
            <v>6.3100000000000003E-2</v>
          </cell>
          <cell r="S90">
            <v>6.3100000000000003E-2</v>
          </cell>
          <cell r="T90">
            <v>1.0146999999999999</v>
          </cell>
          <cell r="U90">
            <v>1.0146999999999999</v>
          </cell>
          <cell r="V90">
            <v>0</v>
          </cell>
          <cell r="W90">
            <v>1.3473999999999999</v>
          </cell>
          <cell r="X90">
            <v>11398.07</v>
          </cell>
          <cell r="Y90">
            <v>0</v>
          </cell>
          <cell r="Z90">
            <v>1.4463533260726062</v>
          </cell>
          <cell r="AA90">
            <v>13402.136885056816</v>
          </cell>
          <cell r="AB90">
            <v>0.1173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>X</v>
          </cell>
          <cell r="G94" t="str">
            <v>X</v>
          </cell>
          <cell r="H94">
            <v>9.4000000000000004E-3</v>
          </cell>
          <cell r="I94">
            <v>6.1999999999999998E-3</v>
          </cell>
          <cell r="J94">
            <v>7.0000000000000001E-3</v>
          </cell>
          <cell r="K94">
            <v>2.2599999999999999E-2</v>
          </cell>
          <cell r="L94">
            <v>2.3073120281894101E-2</v>
          </cell>
          <cell r="M94">
            <v>0</v>
          </cell>
          <cell r="Q94">
            <v>0</v>
          </cell>
          <cell r="R94">
            <v>6.3100000000000003E-2</v>
          </cell>
          <cell r="S94">
            <v>6.3100000000000003E-2</v>
          </cell>
          <cell r="T94">
            <v>1.0422</v>
          </cell>
          <cell r="U94">
            <v>1.0421</v>
          </cell>
          <cell r="V94">
            <v>1.01E-2</v>
          </cell>
          <cell r="W94">
            <v>0</v>
          </cell>
          <cell r="X94">
            <v>0.41</v>
          </cell>
          <cell r="Y94">
            <v>8.5264067839129192E-3</v>
          </cell>
          <cell r="Z94">
            <v>0</v>
          </cell>
          <cell r="AA94">
            <v>0.42118394956678262</v>
          </cell>
          <cell r="AB94">
            <v>1.8E-3</v>
          </cell>
          <cell r="AQ94">
            <v>0</v>
          </cell>
          <cell r="AR94" t="str">
            <v>kWh</v>
          </cell>
          <cell r="AS94" t="str">
            <v>X</v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>X</v>
          </cell>
          <cell r="G99" t="str">
            <v>X</v>
          </cell>
          <cell r="H99">
            <v>0</v>
          </cell>
          <cell r="I99">
            <v>6.1999999999999998E-3</v>
          </cell>
          <cell r="J99">
            <v>7.0000000000000001E-3</v>
          </cell>
          <cell r="K99">
            <v>1.32E-2</v>
          </cell>
          <cell r="L99">
            <v>1.32E-2</v>
          </cell>
          <cell r="M99">
            <v>2.9874999999999998</v>
          </cell>
          <cell r="P99">
            <v>2.9874999999999998</v>
          </cell>
          <cell r="Q99">
            <v>3.1373370194960009</v>
          </cell>
          <cell r="R99">
            <v>6.3100000000000003E-2</v>
          </cell>
          <cell r="S99">
            <v>6.3100000000000003E-2</v>
          </cell>
          <cell r="T99">
            <v>1.0422</v>
          </cell>
          <cell r="U99">
            <v>1.0421</v>
          </cell>
          <cell r="V99">
            <v>0</v>
          </cell>
          <cell r="W99">
            <v>1.8526</v>
          </cell>
          <cell r="X99">
            <v>0.41</v>
          </cell>
          <cell r="Y99">
            <v>0</v>
          </cell>
          <cell r="Z99">
            <v>1.5874314177096485</v>
          </cell>
          <cell r="AA99">
            <v>0.48552546158967252</v>
          </cell>
          <cell r="AB99">
            <v>0.5121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>X</v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2.9836999999999998</v>
          </cell>
          <cell r="P103">
            <v>2.9836999999999998</v>
          </cell>
          <cell r="Q103">
            <v>3.1333437044737584</v>
          </cell>
          <cell r="R103">
            <v>6.3100000000000003E-2</v>
          </cell>
          <cell r="S103">
            <v>6.3100000000000003E-2</v>
          </cell>
          <cell r="T103">
            <v>1.0422</v>
          </cell>
          <cell r="U103">
            <v>1.0421</v>
          </cell>
          <cell r="V103">
            <v>0</v>
          </cell>
          <cell r="W103">
            <v>1.2936000000000001</v>
          </cell>
          <cell r="X103">
            <v>0.24</v>
          </cell>
          <cell r="Y103">
            <v>0</v>
          </cell>
          <cell r="Z103">
            <v>1.4143537706275209</v>
          </cell>
          <cell r="AA103">
            <v>0.28403054551970969</v>
          </cell>
          <cell r="AB103">
            <v>9.8500000000000004E-2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6">
          <cell r="F26">
            <v>101704</v>
          </cell>
        </row>
        <row r="27">
          <cell r="F27">
            <v>8485</v>
          </cell>
        </row>
        <row r="28">
          <cell r="F28">
            <v>1088</v>
          </cell>
        </row>
        <row r="29">
          <cell r="F29">
            <v>2</v>
          </cell>
        </row>
        <row r="30">
          <cell r="F30">
            <v>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mort-Interest"/>
      <sheetName val="Summary "/>
      <sheetName val="Stranded Recoveries"/>
      <sheetName val="Res.Cost (2)"/>
      <sheetName val="Res.Cost"/>
      <sheetName val="AMI Hardware1"/>
      <sheetName val="AMI Software"/>
      <sheetName val="Other Hrdw"/>
      <sheetName val="Other Softw."/>
      <sheetName val="Stranded Meter Cost"/>
      <sheetName val="MDMR Integration"/>
      <sheetName val="SM-Res.Gravenhurst"/>
      <sheetName val="SM-Res.Scugog"/>
    </sheetNames>
    <sheetDataSet>
      <sheetData sheetId="0"/>
      <sheetData sheetId="1">
        <row r="9">
          <cell r="C9">
            <v>46178.509999999995</v>
          </cell>
        </row>
        <row r="31">
          <cell r="C31">
            <v>4411826.8100000005</v>
          </cell>
          <cell r="D31">
            <v>100405.4</v>
          </cell>
          <cell r="E31">
            <v>1658.49</v>
          </cell>
          <cell r="H31">
            <v>35639.800000000003</v>
          </cell>
          <cell r="I31">
            <v>88440.71</v>
          </cell>
          <cell r="J31">
            <v>12679.41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mort-Interest"/>
      <sheetName val="Summary "/>
      <sheetName val="Stranded Recoveries"/>
      <sheetName val="Res.Cost (2)"/>
      <sheetName val="Res.Cost"/>
      <sheetName val="AMI Hardware1"/>
      <sheetName val="AMI Software"/>
      <sheetName val="Other Hrdw"/>
      <sheetName val="Other Softw."/>
      <sheetName val="Stranded Meter Cost"/>
      <sheetName val="MDMR Integration"/>
      <sheetName val="SM-Res.Gravenhurst"/>
      <sheetName val="SM-Res.Scugog"/>
    </sheetNames>
    <sheetDataSet>
      <sheetData sheetId="0"/>
      <sheetData sheetId="1">
        <row r="9">
          <cell r="C9">
            <v>46178.509999999995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de Listing"/>
      <sheetName val="Amort-Int-Recoveries"/>
      <sheetName val="Summary "/>
      <sheetName val="Res.Cost "/>
      <sheetName val="Res.Cost Stage 2"/>
      <sheetName val="SMList"/>
      <sheetName val="AMI Hardware1"/>
      <sheetName val="AMI Software"/>
      <sheetName val="Other Hrdw"/>
      <sheetName val="Other Softw."/>
      <sheetName val="MDMR Integration"/>
      <sheetName val="SM-Res.Scugog"/>
      <sheetName val="SM-Res.Gravenhurst"/>
      <sheetName val="Stranded Meter Cost"/>
    </sheetNames>
    <sheetDataSet>
      <sheetData sheetId="0"/>
      <sheetData sheetId="1"/>
      <sheetData sheetId="2">
        <row r="9">
          <cell r="C9">
            <v>4411841.1400000006</v>
          </cell>
          <cell r="D9">
            <v>0</v>
          </cell>
          <cell r="E9">
            <v>100559.78</v>
          </cell>
          <cell r="F9">
            <v>1658.49</v>
          </cell>
          <cell r="I9">
            <v>35639.81</v>
          </cell>
          <cell r="J9">
            <v>88440.71</v>
          </cell>
          <cell r="K9">
            <v>12679.41</v>
          </cell>
        </row>
        <row r="31">
          <cell r="C31">
            <v>4966082.5500000017</v>
          </cell>
          <cell r="D31">
            <v>2489031.92</v>
          </cell>
          <cell r="E31">
            <v>132690.73000000001</v>
          </cell>
          <cell r="F31">
            <v>2710.26</v>
          </cell>
          <cell r="I31">
            <v>54595.35</v>
          </cell>
          <cell r="J31">
            <v>89640.71</v>
          </cell>
          <cell r="K31">
            <v>84564.94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. LDC Information"/>
      <sheetName val="2. Smart Meter Data"/>
      <sheetName val="3.  LDC Assumptions and Data"/>
      <sheetName val="4. Smart Meter Rev &amp; Adder"/>
      <sheetName val="5. Clearing Actual"/>
      <sheetName val="6. Adder Recovery"/>
      <sheetName val="7. 2006A Smart Meter Rate Calc"/>
      <sheetName val="8A. 2006A PILs"/>
      <sheetName val="9. 2006A SM Avg Nt Fix Ass &amp;UCC"/>
      <sheetName val="10. 2007A Smart Meter Rate Calc"/>
      <sheetName val="11. 2007A PILs"/>
      <sheetName val="12. 2007A SM Nt Fix Ass &amp;UCC"/>
      <sheetName val="13. 2007E Smart Meter Rate Calc"/>
      <sheetName val="14. 2007E PILs"/>
      <sheetName val="15. 2007E SM Nt Fix Ass &amp;UCC"/>
      <sheetName val="16. Carry Cost Required to May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C13">
            <v>0</v>
          </cell>
        </row>
        <row r="56">
          <cell r="C5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Q91"/>
  <sheetViews>
    <sheetView tabSelected="1" zoomScale="75" zoomScaleNormal="75" zoomScaleSheetLayoutView="100" workbookViewId="0">
      <selection activeCell="B2" sqref="B2"/>
    </sheetView>
  </sheetViews>
  <sheetFormatPr defaultRowHeight="15"/>
  <cols>
    <col min="1" max="1" width="3" style="1" bestFit="1" customWidth="1"/>
    <col min="2" max="2" width="50.85546875" style="2" customWidth="1"/>
    <col min="3" max="3" width="11.28515625" style="2" customWidth="1"/>
    <col min="4" max="4" width="11.85546875" style="2" customWidth="1"/>
    <col min="5" max="5" width="12.7109375" style="2" customWidth="1"/>
    <col min="6" max="7" width="12.5703125" style="2" customWidth="1"/>
    <col min="8" max="8" width="14.140625" style="2" customWidth="1"/>
    <col min="9" max="9" width="4.42578125" style="2" customWidth="1"/>
    <col min="10" max="10" width="3" style="2" customWidth="1"/>
    <col min="11" max="11" width="9.7109375" style="2" bestFit="1" customWidth="1"/>
    <col min="12" max="12" width="10.42578125" style="2" bestFit="1" customWidth="1"/>
    <col min="13" max="13" width="13.140625" style="2" bestFit="1" customWidth="1"/>
    <col min="14" max="16384" width="9.140625" style="2"/>
  </cols>
  <sheetData>
    <row r="2" spans="1:13" ht="17.25">
      <c r="B2" s="125" t="s">
        <v>144</v>
      </c>
      <c r="C2" s="72"/>
      <c r="G2" s="164" t="s">
        <v>141</v>
      </c>
      <c r="H2" s="164"/>
    </row>
    <row r="3" spans="1:13" s="127" customFormat="1" ht="17.25">
      <c r="A3" s="124"/>
      <c r="C3" s="126"/>
      <c r="G3"/>
      <c r="H3" s="162" t="s">
        <v>142</v>
      </c>
    </row>
    <row r="4" spans="1:13" ht="17.25">
      <c r="B4" s="161" t="s">
        <v>140</v>
      </c>
      <c r="C4" s="72"/>
      <c r="G4" s="164" t="s">
        <v>143</v>
      </c>
      <c r="H4" s="164"/>
    </row>
    <row r="5" spans="1:13" ht="15.75" thickBot="1">
      <c r="B5" s="57"/>
    </row>
    <row r="6" spans="1:13" ht="15.75" thickBot="1">
      <c r="A6" s="73"/>
      <c r="B6" s="74"/>
      <c r="C6" s="6"/>
      <c r="D6" s="6"/>
      <c r="E6" s="6"/>
      <c r="F6" s="6"/>
      <c r="G6" s="6"/>
      <c r="H6" s="75"/>
      <c r="I6" s="76"/>
      <c r="J6" s="34"/>
    </row>
    <row r="7" spans="1:13">
      <c r="A7" s="73"/>
      <c r="B7" s="74"/>
      <c r="C7" s="6"/>
      <c r="D7" s="6">
        <v>2006</v>
      </c>
      <c r="E7" s="6">
        <v>2007</v>
      </c>
      <c r="F7" s="6">
        <v>2008</v>
      </c>
      <c r="G7" s="6">
        <v>2009</v>
      </c>
      <c r="H7" s="6" t="s">
        <v>26</v>
      </c>
      <c r="I7" s="76"/>
      <c r="J7" s="34"/>
    </row>
    <row r="8" spans="1:13">
      <c r="A8" s="73"/>
      <c r="B8" s="77" t="s">
        <v>29</v>
      </c>
      <c r="C8" s="9"/>
      <c r="D8" s="78"/>
      <c r="E8" s="78"/>
      <c r="F8" s="78"/>
      <c r="G8" s="78"/>
      <c r="H8" s="78"/>
      <c r="I8" s="79"/>
      <c r="J8" s="34"/>
    </row>
    <row r="9" spans="1:13">
      <c r="A9" s="73"/>
      <c r="B9" s="80" t="s">
        <v>109</v>
      </c>
      <c r="C9" s="81"/>
      <c r="D9" s="81">
        <f>' Nt Fix Ass &amp;UCC'!B21+' Nt Fix Ass &amp;UCC'!B35+' Nt Fix Ass &amp;UCC'!B49+' Nt Fix Ass &amp;UCC'!B64+' Nt Fix Ass &amp;UCC'!B78</f>
        <v>45253.02</v>
      </c>
      <c r="E9" s="81">
        <f>' Nt Fix Ass &amp;UCC'!C21+' Nt Fix Ass &amp;UCC'!C35+' Nt Fix Ass &amp;UCC'!C49+' Nt Fix Ass &amp;UCC'!C64+' Nt Fix Ass &amp;UCC'!C78</f>
        <v>4474249.955000001</v>
      </c>
      <c r="F9" s="81">
        <f>' Nt Fix Ass &amp;UCC'!D21+' Nt Fix Ass &amp;UCC'!D35+' Nt Fix Ass &amp;UCC'!D49+' Nt Fix Ass &amp;UCC'!D64+' Nt Fix Ass &amp;UCC'!D78</f>
        <v>7173680.8100000024</v>
      </c>
      <c r="G9" s="82">
        <f>F9-' Nt Fix Ass &amp;UCC'!E17-' Nt Fix Ass &amp;UCC'!E31-' Nt Fix Ass &amp;UCC'!E45-' Nt Fix Ass &amp;UCC'!E74</f>
        <v>6644821.805333335</v>
      </c>
      <c r="H9" s="78"/>
      <c r="I9" s="79"/>
      <c r="J9" s="34"/>
      <c r="K9" s="39"/>
      <c r="L9" s="39"/>
      <c r="M9" s="39"/>
    </row>
    <row r="10" spans="1:13">
      <c r="A10" s="73"/>
      <c r="B10" s="80"/>
      <c r="C10" s="81"/>
      <c r="D10" s="81"/>
      <c r="E10" s="81"/>
      <c r="F10" s="81"/>
      <c r="G10" s="82"/>
      <c r="H10" s="78"/>
      <c r="I10" s="79"/>
      <c r="J10" s="34"/>
      <c r="K10" s="39"/>
      <c r="L10" s="39"/>
      <c r="M10" s="39"/>
    </row>
    <row r="11" spans="1:13">
      <c r="A11" s="73"/>
      <c r="B11" s="80" t="s">
        <v>110</v>
      </c>
      <c r="C11" s="81"/>
      <c r="D11" s="81"/>
      <c r="E11" s="81"/>
      <c r="F11" s="81"/>
      <c r="G11" s="83">
        <f>'SM Costs Est vs Actual'!B7+'SM Costs Est vs Actual'!D7+'SM Costs Est vs Actual'!G7-'SM Costs Est vs Actual'!B25-'SM Costs Est vs Actual'!D25-'SM Costs Est vs Actual'!G25-' Nt Fix Ass &amp;UCC'!E17</f>
        <v>6449035.9126666682</v>
      </c>
      <c r="H11" s="78"/>
      <c r="I11" s="79"/>
      <c r="J11" s="34"/>
      <c r="K11" s="39"/>
      <c r="L11" s="39"/>
      <c r="M11" s="39"/>
    </row>
    <row r="12" spans="1:13">
      <c r="A12" s="73"/>
      <c r="B12" s="80" t="s">
        <v>111</v>
      </c>
      <c r="C12" s="81"/>
      <c r="D12" s="81"/>
      <c r="E12" s="81"/>
      <c r="F12" s="81"/>
      <c r="G12" s="83">
        <f>'SM Costs Est vs Actual'!D8+'SM Costs Est vs Actual'!G8-'SM Costs Est vs Actual'!D26-'SM Costs Est vs Actual'!G26-' Nt Fix Ass &amp;UCC'!E31</f>
        <v>118717.45600000003</v>
      </c>
      <c r="H12" s="78"/>
      <c r="I12" s="79"/>
      <c r="J12" s="34"/>
      <c r="K12" s="39"/>
      <c r="L12" s="39"/>
      <c r="M12" s="39"/>
    </row>
    <row r="13" spans="1:13">
      <c r="A13" s="73"/>
      <c r="B13" s="80" t="s">
        <v>112</v>
      </c>
      <c r="C13" s="81"/>
      <c r="D13" s="81"/>
      <c r="E13" s="81"/>
      <c r="F13" s="81"/>
      <c r="G13" s="83">
        <f>'SM Costs Est vs Actual'!D9+'SM Costs Est vs Actual'!G9-'SM Costs Est vs Actual'!D27-'SM Costs Est vs Actual'!G27-' Nt Fix Ass &amp;UCC'!E45</f>
        <v>77068.436666666676</v>
      </c>
      <c r="H13" s="84"/>
      <c r="I13" s="79"/>
      <c r="J13" s="34"/>
      <c r="K13" s="39"/>
      <c r="L13" s="39"/>
      <c r="M13" s="39"/>
    </row>
    <row r="14" spans="1:13">
      <c r="A14" s="73"/>
      <c r="B14" s="80"/>
      <c r="D14" s="78"/>
      <c r="E14" s="78"/>
      <c r="F14" s="78"/>
      <c r="G14" s="85"/>
      <c r="H14" s="78"/>
      <c r="I14" s="79"/>
      <c r="J14" s="34"/>
      <c r="K14" s="39"/>
      <c r="L14" s="39"/>
      <c r="M14" s="39"/>
    </row>
    <row r="15" spans="1:13">
      <c r="A15" s="73"/>
      <c r="B15" s="80" t="s">
        <v>30</v>
      </c>
      <c r="C15" s="86"/>
      <c r="D15" s="81">
        <f>D9-C9</f>
        <v>45253.02</v>
      </c>
      <c r="E15" s="81">
        <f t="shared" ref="E15:F15" si="0">E9-D9</f>
        <v>4428996.9350000015</v>
      </c>
      <c r="F15" s="81">
        <f t="shared" si="0"/>
        <v>2699430.8550000014</v>
      </c>
      <c r="G15" s="82">
        <v>0</v>
      </c>
      <c r="H15" s="78"/>
      <c r="I15" s="79"/>
      <c r="J15" s="34"/>
      <c r="K15" s="39"/>
      <c r="L15" s="39"/>
      <c r="M15" s="39"/>
    </row>
    <row r="16" spans="1:13">
      <c r="A16" s="73"/>
      <c r="B16" s="80"/>
      <c r="C16" s="86"/>
      <c r="D16" s="81"/>
      <c r="E16" s="81"/>
      <c r="F16" s="81"/>
      <c r="G16" s="81"/>
      <c r="H16" s="78"/>
      <c r="I16" s="79"/>
      <c r="J16" s="34"/>
    </row>
    <row r="17" spans="1:12">
      <c r="A17" s="73"/>
      <c r="B17" s="80" t="s">
        <v>31</v>
      </c>
      <c r="C17" s="86"/>
      <c r="D17" s="78">
        <v>2006</v>
      </c>
      <c r="E17" s="78">
        <v>2007</v>
      </c>
      <c r="F17" s="78">
        <v>2008</v>
      </c>
      <c r="G17" s="78">
        <v>2009</v>
      </c>
      <c r="H17" s="78"/>
      <c r="I17" s="79"/>
      <c r="J17" s="34"/>
    </row>
    <row r="18" spans="1:12">
      <c r="A18" s="73"/>
      <c r="B18" s="80"/>
      <c r="C18" s="86"/>
      <c r="D18" s="84"/>
      <c r="E18" s="84"/>
      <c r="F18" s="84"/>
      <c r="G18" s="84"/>
      <c r="H18" s="78"/>
      <c r="I18" s="79"/>
      <c r="J18" s="34"/>
    </row>
    <row r="19" spans="1:12">
      <c r="A19" s="73"/>
      <c r="B19" s="80" t="s">
        <v>66</v>
      </c>
      <c r="C19" s="81"/>
      <c r="D19" s="81">
        <f>' Nt Fix Ass &amp;UCC'!B22+' Nt Fix Ass &amp;UCC'!B36+' Nt Fix Ass &amp;UCC'!B50+' Nt Fix Ass &amp;UCC'!B65+' Nt Fix Ass &amp;UCC'!B79</f>
        <v>22626.51</v>
      </c>
      <c r="E19" s="81">
        <f>' Nt Fix Ass &amp;UCC'!C22+' Nt Fix Ass &amp;UCC'!C36+' Nt Fix Ass &amp;UCC'!C50+' Nt Fix Ass &amp;UCC'!C65+' Nt Fix Ass &amp;UCC'!C79</f>
        <v>2259751.4875000003</v>
      </c>
      <c r="F19" s="81">
        <f>' Nt Fix Ass &amp;UCC'!D22+' Nt Fix Ass &amp;UCC'!D36+' Nt Fix Ass &amp;UCC'!D50+' Nt Fix Ass &amp;UCC'!D65+' Nt Fix Ass &amp;UCC'!D79</f>
        <v>5823965.3825000012</v>
      </c>
      <c r="G19" s="81">
        <f>' Nt Fix Ass &amp;UCC'!E22+' Nt Fix Ass &amp;UCC'!E36+' Nt Fix Ass &amp;UCC'!E50+' Nt Fix Ass &amp;UCC'!E65+' Nt Fix Ass &amp;UCC'!E79</f>
        <v>6909251.3076666687</v>
      </c>
      <c r="H19" s="78"/>
      <c r="I19" s="79"/>
      <c r="J19" s="34"/>
    </row>
    <row r="20" spans="1:12">
      <c r="A20" s="73"/>
      <c r="B20" s="80" t="s">
        <v>107</v>
      </c>
      <c r="C20" s="81"/>
      <c r="D20" s="87">
        <f>D29*0.15</f>
        <v>0</v>
      </c>
      <c r="E20" s="87">
        <f t="shared" ref="E20:G20" si="1">E29*0.15</f>
        <v>23459.916000000001</v>
      </c>
      <c r="F20" s="87">
        <f t="shared" si="1"/>
        <v>67284.228000000003</v>
      </c>
      <c r="G20" s="87">
        <f t="shared" si="1"/>
        <v>0</v>
      </c>
      <c r="H20" s="78"/>
      <c r="I20" s="79"/>
      <c r="J20" s="34"/>
    </row>
    <row r="21" spans="1:12">
      <c r="A21" s="73"/>
      <c r="B21" s="80" t="s">
        <v>3</v>
      </c>
      <c r="C21" s="81"/>
      <c r="D21" s="87">
        <f>D19+D20</f>
        <v>22626.51</v>
      </c>
      <c r="E21" s="87">
        <f t="shared" ref="E21:G21" si="2">E19+E20</f>
        <v>2283211.4035000005</v>
      </c>
      <c r="F21" s="87">
        <f t="shared" si="2"/>
        <v>5891249.6105000013</v>
      </c>
      <c r="G21" s="87">
        <f t="shared" si="2"/>
        <v>6909251.3076666687</v>
      </c>
      <c r="H21" s="78"/>
      <c r="I21" s="79"/>
      <c r="J21" s="34"/>
    </row>
    <row r="22" spans="1:12">
      <c r="A22" s="73"/>
      <c r="B22" s="80"/>
      <c r="C22" s="81"/>
      <c r="D22" s="87"/>
      <c r="E22" s="87"/>
      <c r="F22" s="87"/>
      <c r="G22" s="87"/>
      <c r="H22" s="78"/>
      <c r="I22" s="79"/>
      <c r="J22" s="34"/>
    </row>
    <row r="23" spans="1:12">
      <c r="A23" s="73"/>
      <c r="B23" s="80"/>
      <c r="C23" s="81"/>
      <c r="D23" s="78"/>
      <c r="E23" s="78"/>
      <c r="F23" s="78"/>
      <c r="G23" s="78"/>
      <c r="H23" s="78"/>
      <c r="I23" s="79"/>
      <c r="J23" s="34"/>
    </row>
    <row r="24" spans="1:12">
      <c r="A24" s="73"/>
      <c r="B24" s="80" t="s">
        <v>32</v>
      </c>
      <c r="D24" s="81">
        <f>D21*D73*D67</f>
        <v>884.80967354999996</v>
      </c>
      <c r="E24" s="81">
        <f>E21*E73*E67</f>
        <v>89284.98193386753</v>
      </c>
      <c r="F24" s="81">
        <f>F21*F73*F67</f>
        <v>240849.01220126628</v>
      </c>
      <c r="G24" s="81">
        <f>G21*G73*G67</f>
        <v>294748.66078506003</v>
      </c>
      <c r="H24" s="84"/>
      <c r="I24" s="79"/>
      <c r="J24" s="34"/>
    </row>
    <row r="25" spans="1:12">
      <c r="A25" s="73"/>
      <c r="B25" s="80" t="s">
        <v>4</v>
      </c>
      <c r="D25" s="88">
        <f>D21*D75*D69</f>
        <v>916.37365499999999</v>
      </c>
      <c r="E25" s="88">
        <f>E21*E75*E69</f>
        <v>92470.061841750023</v>
      </c>
      <c r="F25" s="88">
        <f>F21*F75*F69</f>
        <v>225340.29760162506</v>
      </c>
      <c r="G25" s="88">
        <f>G21*G75*G69</f>
        <v>248733.0470760001</v>
      </c>
      <c r="H25" s="84"/>
      <c r="I25" s="79"/>
      <c r="J25" s="34"/>
    </row>
    <row r="26" spans="1:12">
      <c r="A26" s="73"/>
      <c r="B26" s="80" t="s">
        <v>33</v>
      </c>
      <c r="D26" s="89">
        <f>SUM(D24:D25)</f>
        <v>1801.1833285499999</v>
      </c>
      <c r="E26" s="89">
        <f t="shared" ref="E26:F26" si="3">SUM(E24:E25)</f>
        <v>181755.04377561755</v>
      </c>
      <c r="F26" s="89">
        <f t="shared" si="3"/>
        <v>466189.30980289134</v>
      </c>
      <c r="G26" s="89">
        <f>SUM(G24:G25)</f>
        <v>543481.70786106016</v>
      </c>
      <c r="H26" s="84"/>
      <c r="I26" s="79"/>
      <c r="J26" s="34"/>
    </row>
    <row r="27" spans="1:12">
      <c r="A27" s="73"/>
      <c r="B27" s="80"/>
      <c r="D27" s="78"/>
      <c r="E27" s="78"/>
      <c r="F27" s="78"/>
      <c r="G27" s="78"/>
      <c r="H27" s="78"/>
      <c r="I27" s="79"/>
      <c r="J27" s="34"/>
    </row>
    <row r="28" spans="1:12">
      <c r="A28" s="73"/>
      <c r="B28" s="90" t="s">
        <v>28</v>
      </c>
      <c r="C28" s="9"/>
      <c r="D28" s="9"/>
      <c r="E28" s="78"/>
      <c r="F28" s="78"/>
      <c r="G28" s="78"/>
      <c r="H28" s="78"/>
      <c r="I28" s="79"/>
      <c r="J28" s="34"/>
    </row>
    <row r="29" spans="1:12">
      <c r="A29" s="73"/>
      <c r="B29" s="91" t="s">
        <v>0</v>
      </c>
      <c r="D29" s="81">
        <f>'SM Costs Est vs Actual'!B22</f>
        <v>0</v>
      </c>
      <c r="E29" s="81">
        <f>'SM Costs Est vs Actual'!D22</f>
        <v>156399.44</v>
      </c>
      <c r="F29" s="81">
        <f>'SM Costs Est vs Actual'!G22</f>
        <v>448561.52</v>
      </c>
      <c r="G29" s="82">
        <v>0</v>
      </c>
      <c r="H29" s="89"/>
      <c r="I29" s="79"/>
      <c r="J29" s="34"/>
      <c r="K29" s="39"/>
      <c r="L29" s="39"/>
    </row>
    <row r="30" spans="1:12">
      <c r="A30" s="73"/>
      <c r="B30" s="92" t="s">
        <v>1</v>
      </c>
      <c r="D30" s="93">
        <f>'SM Costs Est vs Actual'!B30</f>
        <v>925.49</v>
      </c>
      <c r="E30" s="93">
        <f>'SM Costs Est vs Actual'!D30</f>
        <v>175475.17499999999</v>
      </c>
      <c r="F30" s="93">
        <f>'SM Costs Est vs Actual'!G30</f>
        <v>469066.26499999996</v>
      </c>
      <c r="G30" s="93"/>
      <c r="H30" s="78"/>
      <c r="I30" s="79"/>
      <c r="J30" s="34"/>
    </row>
    <row r="31" spans="1:12">
      <c r="A31" s="73"/>
      <c r="B31" s="92" t="s">
        <v>2</v>
      </c>
      <c r="D31" s="84">
        <f>SUM(D29:D30)</f>
        <v>925.49</v>
      </c>
      <c r="E31" s="84">
        <f t="shared" ref="E31:G31" si="4">SUM(E29:E30)</f>
        <v>331874.61499999999</v>
      </c>
      <c r="F31" s="84">
        <f t="shared" si="4"/>
        <v>917627.78499999992</v>
      </c>
      <c r="G31" s="84">
        <f t="shared" si="4"/>
        <v>0</v>
      </c>
      <c r="H31" s="78"/>
      <c r="I31" s="94"/>
    </row>
    <row r="32" spans="1:12">
      <c r="A32" s="73"/>
      <c r="B32" s="92"/>
      <c r="C32" s="87"/>
      <c r="D32" s="87"/>
      <c r="E32" s="87"/>
      <c r="F32" s="87"/>
      <c r="G32" s="87"/>
      <c r="H32" s="78"/>
      <c r="I32" s="94"/>
    </row>
    <row r="33" spans="1:14">
      <c r="A33" s="73"/>
      <c r="B33" s="80" t="s">
        <v>5</v>
      </c>
      <c r="C33" s="87"/>
      <c r="D33" s="84">
        <f>D31+D26</f>
        <v>2726.67332855</v>
      </c>
      <c r="E33" s="84">
        <f>E31+E26</f>
        <v>513629.65877561754</v>
      </c>
      <c r="F33" s="84">
        <f>F31+F26</f>
        <v>1383817.0948028914</v>
      </c>
      <c r="G33" s="84">
        <f>G31+G26</f>
        <v>543481.70786106016</v>
      </c>
      <c r="H33" s="84">
        <f>SUM(D33:G33)</f>
        <v>2443655.1347681191</v>
      </c>
      <c r="I33" s="94"/>
    </row>
    <row r="34" spans="1:14">
      <c r="A34" s="73"/>
      <c r="B34" s="92"/>
      <c r="C34" s="87"/>
      <c r="D34" s="87"/>
      <c r="E34" s="87"/>
      <c r="F34" s="87"/>
      <c r="G34" s="87"/>
      <c r="H34" s="87"/>
      <c r="I34" s="94"/>
    </row>
    <row r="35" spans="1:14">
      <c r="A35" s="73"/>
      <c r="B35" s="95" t="s">
        <v>6</v>
      </c>
      <c r="C35" s="96"/>
      <c r="D35" s="82"/>
      <c r="E35" s="34"/>
      <c r="F35" s="34"/>
      <c r="G35" s="34"/>
      <c r="H35" s="78"/>
      <c r="I35" s="97"/>
    </row>
    <row r="36" spans="1:14">
      <c r="A36" s="73"/>
      <c r="B36" s="80" t="s">
        <v>7</v>
      </c>
      <c r="C36" s="96"/>
      <c r="D36" s="86">
        <f>D29</f>
        <v>0</v>
      </c>
      <c r="E36" s="86">
        <f t="shared" ref="E36:F36" si="5">E29</f>
        <v>156399.44</v>
      </c>
      <c r="F36" s="86">
        <f t="shared" si="5"/>
        <v>448561.52</v>
      </c>
      <c r="G36" s="86">
        <f t="shared" ref="G36" si="6">G29</f>
        <v>0</v>
      </c>
      <c r="H36" s="78"/>
      <c r="I36" s="97"/>
      <c r="N36" s="98"/>
    </row>
    <row r="37" spans="1:14">
      <c r="A37" s="73"/>
      <c r="B37" s="80" t="s">
        <v>1</v>
      </c>
      <c r="C37" s="34"/>
      <c r="D37" s="86">
        <f>D30</f>
        <v>925.49</v>
      </c>
      <c r="E37" s="86">
        <f t="shared" ref="E37:F37" si="7">E30</f>
        <v>175475.17499999999</v>
      </c>
      <c r="F37" s="86">
        <f t="shared" si="7"/>
        <v>469066.26499999996</v>
      </c>
      <c r="G37" s="86"/>
      <c r="H37" s="78"/>
      <c r="I37" s="97"/>
      <c r="N37" s="98"/>
    </row>
    <row r="38" spans="1:14">
      <c r="A38" s="73"/>
      <c r="B38" s="92" t="s">
        <v>8</v>
      </c>
      <c r="C38" s="34"/>
      <c r="D38" s="81">
        <f>D24</f>
        <v>884.80967354999996</v>
      </c>
      <c r="E38" s="81">
        <f t="shared" ref="E38:F38" si="8">E24</f>
        <v>89284.98193386753</v>
      </c>
      <c r="F38" s="81">
        <f t="shared" si="8"/>
        <v>240849.01220126628</v>
      </c>
      <c r="G38" s="81">
        <f t="shared" ref="G38" si="9">G24</f>
        <v>294748.66078506003</v>
      </c>
      <c r="H38" s="78"/>
      <c r="I38" s="97"/>
      <c r="N38" s="98"/>
    </row>
    <row r="39" spans="1:14" ht="15.75" thickBot="1">
      <c r="A39" s="73"/>
      <c r="B39" s="99" t="s">
        <v>9</v>
      </c>
      <c r="C39" s="34"/>
      <c r="D39" s="100">
        <f>D33-D36-D37-D38</f>
        <v>916.37365499999999</v>
      </c>
      <c r="E39" s="100">
        <f>E33-E36-E37-E38</f>
        <v>92470.061841750023</v>
      </c>
      <c r="F39" s="100">
        <f>F33-F36-F37-F38</f>
        <v>225340.29760162512</v>
      </c>
      <c r="G39" s="100">
        <f>G33-G36-G37-G38</f>
        <v>248733.04707600013</v>
      </c>
      <c r="H39" s="78"/>
      <c r="I39" s="97"/>
      <c r="N39" s="98"/>
    </row>
    <row r="40" spans="1:14">
      <c r="A40" s="73"/>
      <c r="B40" s="99"/>
      <c r="C40" s="34"/>
      <c r="E40" s="34"/>
      <c r="F40" s="34"/>
      <c r="G40" s="34"/>
      <c r="H40" s="78"/>
      <c r="I40" s="97"/>
      <c r="N40" s="98"/>
    </row>
    <row r="41" spans="1:14">
      <c r="A41" s="73"/>
      <c r="B41" s="99" t="s">
        <v>10</v>
      </c>
      <c r="C41" s="34"/>
      <c r="D41" s="101">
        <f>'PILs Calc-123109'!C33</f>
        <v>132.7754026831561</v>
      </c>
      <c r="E41" s="102">
        <f>'PILs Calc-123109'!D33</f>
        <v>35133.769338155893</v>
      </c>
      <c r="F41" s="102">
        <f>'PILs Calc-123109'!E33</f>
        <v>79578.539662848678</v>
      </c>
      <c r="G41" s="102">
        <f>'PILs Calc-123109'!F33</f>
        <v>137461.1558307762</v>
      </c>
      <c r="H41" s="102">
        <f>SUM(D41:G41)</f>
        <v>252306.24023446394</v>
      </c>
      <c r="I41" s="97"/>
      <c r="N41" s="98"/>
    </row>
    <row r="42" spans="1:14">
      <c r="A42" s="73"/>
      <c r="B42" s="80"/>
      <c r="C42" s="81"/>
      <c r="D42" s="34"/>
      <c r="E42" s="34"/>
      <c r="F42" s="34"/>
      <c r="G42" s="34"/>
      <c r="H42" s="78"/>
      <c r="I42" s="97"/>
      <c r="N42" s="98"/>
    </row>
    <row r="43" spans="1:14">
      <c r="A43" s="73"/>
      <c r="B43" s="80"/>
      <c r="C43" s="81"/>
      <c r="D43" s="34"/>
      <c r="E43" s="34"/>
      <c r="F43" s="34"/>
      <c r="G43" s="34"/>
      <c r="H43" s="78"/>
      <c r="I43" s="97"/>
      <c r="N43" s="98"/>
    </row>
    <row r="44" spans="1:14">
      <c r="A44" s="73"/>
      <c r="B44" s="103" t="s">
        <v>5</v>
      </c>
      <c r="C44" s="34"/>
      <c r="D44" s="81"/>
      <c r="E44" s="81"/>
      <c r="F44" s="81"/>
      <c r="G44" s="81"/>
      <c r="H44" s="81">
        <f>H33</f>
        <v>2443655.1347681191</v>
      </c>
      <c r="I44" s="104"/>
    </row>
    <row r="45" spans="1:14">
      <c r="A45" s="73"/>
      <c r="B45" s="103" t="s">
        <v>10</v>
      </c>
      <c r="C45" s="34"/>
      <c r="D45" s="81"/>
      <c r="E45" s="81"/>
      <c r="F45" s="81"/>
      <c r="G45" s="81"/>
      <c r="H45" s="81">
        <f>H41</f>
        <v>252306.24023446394</v>
      </c>
      <c r="I45" s="104"/>
    </row>
    <row r="46" spans="1:14" ht="15" customHeight="1" thickBot="1">
      <c r="A46" s="73"/>
      <c r="B46" s="105"/>
      <c r="C46" s="34"/>
      <c r="D46" s="81">
        <f>D33+D41</f>
        <v>2859.4487312331562</v>
      </c>
      <c r="E46" s="81">
        <f>E33+E41</f>
        <v>548763.42811377347</v>
      </c>
      <c r="F46" s="81">
        <f>F33+F41</f>
        <v>1463395.6344657401</v>
      </c>
      <c r="G46" s="81">
        <f>G33+G41</f>
        <v>680942.86369183636</v>
      </c>
      <c r="H46" s="100">
        <f>H45+H44</f>
        <v>2695961.375002583</v>
      </c>
      <c r="I46" s="104"/>
    </row>
    <row r="47" spans="1:14">
      <c r="A47" s="73"/>
      <c r="B47" s="103"/>
      <c r="C47" s="34"/>
      <c r="D47" s="81"/>
      <c r="E47" s="34"/>
      <c r="F47" s="34"/>
      <c r="G47" s="34"/>
      <c r="H47" s="34"/>
      <c r="I47" s="97"/>
    </row>
    <row r="48" spans="1:14">
      <c r="A48" s="73"/>
      <c r="B48" s="92"/>
      <c r="C48" s="34"/>
      <c r="D48" s="34"/>
      <c r="E48" s="34"/>
      <c r="F48" s="34"/>
      <c r="G48" s="34"/>
      <c r="H48" s="34"/>
      <c r="I48" s="97"/>
    </row>
    <row r="49" spans="1:17" ht="15.75" thickBot="1">
      <c r="A49" s="73"/>
      <c r="B49" s="95" t="s">
        <v>100</v>
      </c>
      <c r="C49" s="34"/>
      <c r="D49" s="106">
        <f>-19261.8-5321.3-221630.28</f>
        <v>-246213.38</v>
      </c>
      <c r="E49" s="106">
        <f>-(17228+38902+641510)</f>
        <v>-697640</v>
      </c>
      <c r="F49" s="106">
        <f>-(23815+53155.7+904258.6)</f>
        <v>-981229.29999999993</v>
      </c>
      <c r="G49" s="87"/>
      <c r="H49" s="107">
        <f>SUM(D49:G49)</f>
        <v>-1925082.68</v>
      </c>
      <c r="I49" s="94"/>
    </row>
    <row r="50" spans="1:17">
      <c r="A50" s="73"/>
      <c r="B50" s="103"/>
      <c r="C50" s="34"/>
      <c r="D50" s="108"/>
      <c r="E50" s="108"/>
      <c r="F50" s="108"/>
      <c r="G50" s="34"/>
      <c r="H50" s="34"/>
      <c r="I50" s="97"/>
      <c r="K50" s="39"/>
      <c r="L50" s="39"/>
      <c r="M50" s="96"/>
      <c r="N50" s="39"/>
      <c r="O50" s="39"/>
      <c r="P50" s="39"/>
      <c r="Q50" s="39"/>
    </row>
    <row r="51" spans="1:17">
      <c r="A51" s="73"/>
      <c r="B51" s="77" t="s">
        <v>115</v>
      </c>
      <c r="C51" s="34"/>
      <c r="D51" s="106">
        <f>D46+D49</f>
        <v>-243353.93126876684</v>
      </c>
      <c r="E51" s="106">
        <f t="shared" ref="E51:F51" si="10">E46+E49</f>
        <v>-148876.57188622653</v>
      </c>
      <c r="F51" s="106">
        <f t="shared" si="10"/>
        <v>482166.33446574013</v>
      </c>
      <c r="G51" s="106">
        <f>G46+G49</f>
        <v>680942.86369183636</v>
      </c>
      <c r="H51" s="16">
        <f>H46+H49</f>
        <v>770878.69500258309</v>
      </c>
      <c r="I51" s="109"/>
      <c r="M51" s="106"/>
    </row>
    <row r="52" spans="1:17">
      <c r="A52" s="73"/>
      <c r="B52" s="77"/>
      <c r="C52" s="34"/>
      <c r="D52" s="34"/>
      <c r="E52" s="16"/>
      <c r="F52" s="16"/>
      <c r="G52" s="16"/>
      <c r="H52" s="16"/>
      <c r="I52" s="109"/>
    </row>
    <row r="53" spans="1:17">
      <c r="A53" s="73"/>
      <c r="B53" s="77" t="s">
        <v>116</v>
      </c>
      <c r="C53" s="34"/>
      <c r="D53" s="106">
        <f>D85*D29</f>
        <v>0</v>
      </c>
      <c r="E53" s="106">
        <f>E85*(E29+D29)</f>
        <v>7393.7835260000011</v>
      </c>
      <c r="F53" s="106">
        <f>F85*(F29+E29)</f>
        <v>24077.446208000001</v>
      </c>
      <c r="G53" s="106">
        <f>G85*(G29+F29+E29+D29)</f>
        <v>6881.4309199999998</v>
      </c>
      <c r="H53" s="16">
        <f>SUM(D53:G53)</f>
        <v>38352.660653999999</v>
      </c>
      <c r="I53" s="109"/>
    </row>
    <row r="54" spans="1:17">
      <c r="A54" s="73"/>
      <c r="B54" s="77"/>
      <c r="C54" s="34"/>
      <c r="D54" s="34"/>
      <c r="E54" s="16"/>
      <c r="F54" s="16"/>
      <c r="G54" s="16"/>
      <c r="H54" s="16"/>
      <c r="I54" s="109"/>
    </row>
    <row r="55" spans="1:17" ht="29.25">
      <c r="A55" s="73"/>
      <c r="B55" s="105" t="s">
        <v>117</v>
      </c>
      <c r="C55" s="34"/>
      <c r="D55" s="34"/>
      <c r="E55" s="20"/>
      <c r="F55" s="20"/>
      <c r="G55" s="20"/>
      <c r="H55" s="20">
        <f>H51+H53</f>
        <v>809231.35565658309</v>
      </c>
      <c r="I55" s="110"/>
    </row>
    <row r="56" spans="1:17">
      <c r="A56" s="73"/>
      <c r="B56" s="77"/>
      <c r="C56" s="34"/>
      <c r="D56" s="34"/>
      <c r="E56" s="20"/>
      <c r="F56" s="20"/>
      <c r="G56" s="20"/>
      <c r="H56" s="20"/>
      <c r="I56" s="110"/>
    </row>
    <row r="57" spans="1:17">
      <c r="A57" s="73"/>
      <c r="B57" s="103" t="s">
        <v>113</v>
      </c>
      <c r="C57" s="34"/>
      <c r="D57" s="34"/>
      <c r="E57" s="20"/>
      <c r="F57" s="20"/>
      <c r="G57" s="20"/>
      <c r="H57" s="111">
        <f>SUM([5]Sheet1!$F$26:$F$30)</f>
        <v>111284</v>
      </c>
      <c r="I57" s="110"/>
    </row>
    <row r="58" spans="1:17">
      <c r="A58" s="73"/>
      <c r="B58" s="95" t="s">
        <v>114</v>
      </c>
      <c r="C58" s="34"/>
      <c r="D58" s="34"/>
      <c r="E58" s="20"/>
      <c r="F58" s="20"/>
      <c r="G58" s="20"/>
      <c r="H58" s="112">
        <f>H55/H57/12</f>
        <v>0.60598061091185851</v>
      </c>
      <c r="I58" s="110"/>
    </row>
    <row r="59" spans="1:17" ht="15.75" thickBot="1">
      <c r="A59" s="73"/>
      <c r="B59" s="113"/>
      <c r="C59" s="114"/>
      <c r="D59" s="115"/>
      <c r="E59" s="115"/>
      <c r="F59" s="115"/>
      <c r="G59" s="115"/>
      <c r="H59" s="115"/>
      <c r="I59" s="116"/>
    </row>
    <row r="60" spans="1:17" ht="15.75">
      <c r="A60" s="73"/>
      <c r="B60" s="125" t="s">
        <v>108</v>
      </c>
      <c r="C60" s="34"/>
      <c r="D60" s="34"/>
      <c r="E60" s="34"/>
      <c r="F60" s="34"/>
      <c r="G60" s="34"/>
      <c r="H60" s="34"/>
      <c r="I60" s="34"/>
    </row>
    <row r="61" spans="1:17" ht="15.75">
      <c r="A61" s="73"/>
      <c r="B61" s="125"/>
      <c r="C61" s="34"/>
      <c r="D61" s="34"/>
      <c r="E61" s="34"/>
      <c r="F61" s="34"/>
      <c r="G61" s="34"/>
      <c r="H61" s="34"/>
      <c r="I61" s="34"/>
    </row>
    <row r="62" spans="1:17" ht="15.75">
      <c r="A62" s="73"/>
      <c r="B62" s="125"/>
      <c r="C62" s="34"/>
      <c r="D62" s="34"/>
      <c r="E62" s="34"/>
      <c r="F62" s="34"/>
      <c r="G62" s="34"/>
      <c r="H62" s="34"/>
      <c r="I62" s="34"/>
    </row>
    <row r="63" spans="1:17" ht="15.75">
      <c r="A63" s="73"/>
      <c r="B63" s="125"/>
      <c r="C63" s="34"/>
      <c r="D63" s="34"/>
      <c r="E63" s="34"/>
      <c r="F63" s="34"/>
      <c r="G63" s="34"/>
      <c r="H63" s="34"/>
      <c r="I63" s="34"/>
    </row>
    <row r="64" spans="1:17" ht="15.75">
      <c r="A64" s="73"/>
      <c r="B64" s="125"/>
      <c r="C64" s="34"/>
      <c r="D64" s="34"/>
      <c r="E64" s="34"/>
      <c r="F64" s="34"/>
      <c r="G64" s="34"/>
      <c r="H64" s="34"/>
      <c r="I64" s="34"/>
    </row>
    <row r="65" spans="1:9">
      <c r="A65" s="73"/>
      <c r="B65" s="34" t="s">
        <v>118</v>
      </c>
      <c r="C65" s="34"/>
      <c r="D65" s="34"/>
      <c r="E65" s="34"/>
      <c r="F65" s="34"/>
      <c r="G65" s="34"/>
      <c r="H65" s="34"/>
      <c r="I65" s="34"/>
    </row>
    <row r="67" spans="1:9">
      <c r="B67" s="71" t="s">
        <v>123</v>
      </c>
      <c r="C67" s="117"/>
      <c r="D67" s="117">
        <v>7.1099999999999997E-2</v>
      </c>
      <c r="E67" s="117">
        <v>7.1099999999999997E-2</v>
      </c>
      <c r="F67" s="117">
        <v>7.1099999999999997E-2</v>
      </c>
      <c r="G67" s="117">
        <v>7.1099999999999997E-2</v>
      </c>
    </row>
    <row r="68" spans="1:9">
      <c r="B68" s="71"/>
      <c r="C68" s="117"/>
      <c r="D68" s="117"/>
      <c r="E68" s="117"/>
      <c r="F68" s="117"/>
      <c r="G68" s="117"/>
    </row>
    <row r="69" spans="1:9">
      <c r="B69" s="71" t="s">
        <v>124</v>
      </c>
      <c r="C69" s="117"/>
      <c r="D69" s="117">
        <v>0.09</v>
      </c>
      <c r="E69" s="117">
        <v>0.09</v>
      </c>
      <c r="F69" s="117">
        <v>0.09</v>
      </c>
      <c r="G69" s="117">
        <v>0.09</v>
      </c>
    </row>
    <row r="71" spans="1:9">
      <c r="B71" s="2" t="s">
        <v>119</v>
      </c>
    </row>
    <row r="73" spans="1:9">
      <c r="B73" s="2" t="s">
        <v>120</v>
      </c>
      <c r="D73" s="118">
        <v>0.55000000000000004</v>
      </c>
      <c r="E73" s="118">
        <f>D73</f>
        <v>0.55000000000000004</v>
      </c>
      <c r="F73" s="70">
        <v>0.57499999999999996</v>
      </c>
      <c r="G73" s="118">
        <v>0.6</v>
      </c>
    </row>
    <row r="74" spans="1:9">
      <c r="B74" s="2" t="s">
        <v>121</v>
      </c>
      <c r="D74" s="118"/>
      <c r="E74" s="118"/>
      <c r="F74" s="70"/>
      <c r="G74" s="118"/>
    </row>
    <row r="75" spans="1:9">
      <c r="B75" s="2" t="s">
        <v>122</v>
      </c>
      <c r="D75" s="118">
        <v>0.45</v>
      </c>
      <c r="E75" s="118">
        <f t="shared" ref="E75" si="11">D75</f>
        <v>0.45</v>
      </c>
      <c r="F75" s="70">
        <v>0.42499999999999999</v>
      </c>
      <c r="G75" s="118">
        <v>0.4</v>
      </c>
    </row>
    <row r="76" spans="1:9">
      <c r="F76" s="119"/>
    </row>
    <row r="78" spans="1:9">
      <c r="B78" s="2" t="s">
        <v>101</v>
      </c>
      <c r="D78" s="2">
        <v>2006</v>
      </c>
      <c r="E78" s="2">
        <v>2007</v>
      </c>
      <c r="F78" s="2">
        <v>2008</v>
      </c>
      <c r="G78" s="2">
        <v>2009</v>
      </c>
    </row>
    <row r="80" spans="1:9">
      <c r="B80" s="120" t="s">
        <v>102</v>
      </c>
      <c r="E80" s="2">
        <v>4.5900000000000003E-2</v>
      </c>
      <c r="F80" s="2">
        <v>5.1400000000000001E-2</v>
      </c>
      <c r="G80" s="2">
        <v>2.4500000000000001E-2</v>
      </c>
    </row>
    <row r="81" spans="2:7">
      <c r="B81" s="120" t="s">
        <v>103</v>
      </c>
      <c r="D81" s="2">
        <v>4.1399999999999999E-2</v>
      </c>
      <c r="E81" s="2">
        <v>4.5900000000000003E-2</v>
      </c>
      <c r="F81" s="2">
        <v>4.0800000000000003E-2</v>
      </c>
      <c r="G81" s="121">
        <v>0.01</v>
      </c>
    </row>
    <row r="82" spans="2:7">
      <c r="B82" s="120" t="s">
        <v>104</v>
      </c>
      <c r="D82" s="2">
        <v>4.5900000000000003E-2</v>
      </c>
      <c r="E82" s="2">
        <v>4.5900000000000003E-2</v>
      </c>
      <c r="F82" s="2">
        <v>3.3500000000000002E-2</v>
      </c>
      <c r="G82" s="122">
        <v>5.4999999999999997E-3</v>
      </c>
    </row>
    <row r="83" spans="2:7">
      <c r="B83" s="120" t="s">
        <v>105</v>
      </c>
      <c r="D83" s="2">
        <v>4.5900000000000003E-2</v>
      </c>
      <c r="E83" s="2">
        <v>5.1400000000000001E-2</v>
      </c>
      <c r="F83" s="2">
        <v>3.3500000000000002E-2</v>
      </c>
      <c r="G83" s="122">
        <v>5.4999999999999997E-3</v>
      </c>
    </row>
    <row r="85" spans="2:7">
      <c r="B85" s="120" t="s">
        <v>106</v>
      </c>
      <c r="D85" s="2">
        <f>SUM(D81:D84)/3</f>
        <v>4.4400000000000002E-2</v>
      </c>
      <c r="E85" s="2">
        <f>SUM(E80:E83)/4</f>
        <v>4.7275000000000005E-2</v>
      </c>
      <c r="F85" s="2">
        <f>SUM(F80:F83)/4</f>
        <v>3.9800000000000002E-2</v>
      </c>
      <c r="G85" s="2">
        <f>SUM(G80:G83)/4</f>
        <v>1.1375E-2</v>
      </c>
    </row>
    <row r="91" spans="2:7">
      <c r="C91" s="123"/>
    </row>
  </sheetData>
  <mergeCells count="2">
    <mergeCell ref="G2:H2"/>
    <mergeCell ref="G4:H4"/>
  </mergeCells>
  <printOptions horizontalCentered="1"/>
  <pageMargins left="0.25" right="0.74803149606299202" top="0.84" bottom="0.6" header="0.511811023622047" footer="0.511811023622047"/>
  <pageSetup scale="70" orientation="portrait" r:id="rId1"/>
  <headerFooter alignWithMargins="0"/>
  <rowBreaks count="1" manualBreakCount="1">
    <brk id="59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tabSelected="1" zoomScale="70" zoomScaleNormal="70" workbookViewId="0">
      <selection activeCell="B2" sqref="B2"/>
    </sheetView>
  </sheetViews>
  <sheetFormatPr defaultColWidth="11.42578125" defaultRowHeight="15.75"/>
  <cols>
    <col min="1" max="1" width="41.42578125" style="40" customWidth="1"/>
    <col min="2" max="2" width="19.5703125" style="40" customWidth="1"/>
    <col min="3" max="3" width="17.140625" style="40" customWidth="1"/>
    <col min="4" max="4" width="15.5703125" style="40" customWidth="1"/>
    <col min="5" max="5" width="16.5703125" style="40" customWidth="1"/>
    <col min="6" max="6" width="18.5703125" style="40" customWidth="1"/>
    <col min="7" max="7" width="18.85546875" style="40" customWidth="1"/>
    <col min="8" max="8" width="17.42578125" style="40" customWidth="1"/>
    <col min="9" max="9" width="3.42578125" style="40" customWidth="1"/>
    <col min="10" max="10" width="11.42578125" style="40"/>
    <col min="11" max="11" width="14.28515625" style="40" bestFit="1" customWidth="1"/>
    <col min="12" max="256" width="11.42578125" style="40"/>
    <col min="257" max="257" width="79.140625" style="40" bestFit="1" customWidth="1"/>
    <col min="258" max="258" width="19.5703125" style="40" customWidth="1"/>
    <col min="259" max="259" width="17.140625" style="40" customWidth="1"/>
    <col min="260" max="260" width="15.5703125" style="40" customWidth="1"/>
    <col min="261" max="261" width="16.5703125" style="40" customWidth="1"/>
    <col min="262" max="262" width="18.5703125" style="40" customWidth="1"/>
    <col min="263" max="263" width="18.85546875" style="40" customWidth="1"/>
    <col min="264" max="264" width="17.42578125" style="40" customWidth="1"/>
    <col min="265" max="265" width="3.42578125" style="40" customWidth="1"/>
    <col min="266" max="512" width="11.42578125" style="40"/>
    <col min="513" max="513" width="79.140625" style="40" bestFit="1" customWidth="1"/>
    <col min="514" max="514" width="19.5703125" style="40" customWidth="1"/>
    <col min="515" max="515" width="17.140625" style="40" customWidth="1"/>
    <col min="516" max="516" width="15.5703125" style="40" customWidth="1"/>
    <col min="517" max="517" width="16.5703125" style="40" customWidth="1"/>
    <col min="518" max="518" width="18.5703125" style="40" customWidth="1"/>
    <col min="519" max="519" width="18.85546875" style="40" customWidth="1"/>
    <col min="520" max="520" width="17.42578125" style="40" customWidth="1"/>
    <col min="521" max="521" width="3.42578125" style="40" customWidth="1"/>
    <col min="522" max="768" width="11.42578125" style="40"/>
    <col min="769" max="769" width="79.140625" style="40" bestFit="1" customWidth="1"/>
    <col min="770" max="770" width="19.5703125" style="40" customWidth="1"/>
    <col min="771" max="771" width="17.140625" style="40" customWidth="1"/>
    <col min="772" max="772" width="15.5703125" style="40" customWidth="1"/>
    <col min="773" max="773" width="16.5703125" style="40" customWidth="1"/>
    <col min="774" max="774" width="18.5703125" style="40" customWidth="1"/>
    <col min="775" max="775" width="18.85546875" style="40" customWidth="1"/>
    <col min="776" max="776" width="17.42578125" style="40" customWidth="1"/>
    <col min="777" max="777" width="3.42578125" style="40" customWidth="1"/>
    <col min="778" max="1024" width="11.42578125" style="40"/>
    <col min="1025" max="1025" width="79.140625" style="40" bestFit="1" customWidth="1"/>
    <col min="1026" max="1026" width="19.5703125" style="40" customWidth="1"/>
    <col min="1027" max="1027" width="17.140625" style="40" customWidth="1"/>
    <col min="1028" max="1028" width="15.5703125" style="40" customWidth="1"/>
    <col min="1029" max="1029" width="16.5703125" style="40" customWidth="1"/>
    <col min="1030" max="1030" width="18.5703125" style="40" customWidth="1"/>
    <col min="1031" max="1031" width="18.85546875" style="40" customWidth="1"/>
    <col min="1032" max="1032" width="17.42578125" style="40" customWidth="1"/>
    <col min="1033" max="1033" width="3.42578125" style="40" customWidth="1"/>
    <col min="1034" max="1280" width="11.42578125" style="40"/>
    <col min="1281" max="1281" width="79.140625" style="40" bestFit="1" customWidth="1"/>
    <col min="1282" max="1282" width="19.5703125" style="40" customWidth="1"/>
    <col min="1283" max="1283" width="17.140625" style="40" customWidth="1"/>
    <col min="1284" max="1284" width="15.5703125" style="40" customWidth="1"/>
    <col min="1285" max="1285" width="16.5703125" style="40" customWidth="1"/>
    <col min="1286" max="1286" width="18.5703125" style="40" customWidth="1"/>
    <col min="1287" max="1287" width="18.85546875" style="40" customWidth="1"/>
    <col min="1288" max="1288" width="17.42578125" style="40" customWidth="1"/>
    <col min="1289" max="1289" width="3.42578125" style="40" customWidth="1"/>
    <col min="1290" max="1536" width="11.42578125" style="40"/>
    <col min="1537" max="1537" width="79.140625" style="40" bestFit="1" customWidth="1"/>
    <col min="1538" max="1538" width="19.5703125" style="40" customWidth="1"/>
    <col min="1539" max="1539" width="17.140625" style="40" customWidth="1"/>
    <col min="1540" max="1540" width="15.5703125" style="40" customWidth="1"/>
    <col min="1541" max="1541" width="16.5703125" style="40" customWidth="1"/>
    <col min="1542" max="1542" width="18.5703125" style="40" customWidth="1"/>
    <col min="1543" max="1543" width="18.85546875" style="40" customWidth="1"/>
    <col min="1544" max="1544" width="17.42578125" style="40" customWidth="1"/>
    <col min="1545" max="1545" width="3.42578125" style="40" customWidth="1"/>
    <col min="1546" max="1792" width="11.42578125" style="40"/>
    <col min="1793" max="1793" width="79.140625" style="40" bestFit="1" customWidth="1"/>
    <col min="1794" max="1794" width="19.5703125" style="40" customWidth="1"/>
    <col min="1795" max="1795" width="17.140625" style="40" customWidth="1"/>
    <col min="1796" max="1796" width="15.5703125" style="40" customWidth="1"/>
    <col min="1797" max="1797" width="16.5703125" style="40" customWidth="1"/>
    <col min="1798" max="1798" width="18.5703125" style="40" customWidth="1"/>
    <col min="1799" max="1799" width="18.85546875" style="40" customWidth="1"/>
    <col min="1800" max="1800" width="17.42578125" style="40" customWidth="1"/>
    <col min="1801" max="1801" width="3.42578125" style="40" customWidth="1"/>
    <col min="1802" max="2048" width="11.42578125" style="40"/>
    <col min="2049" max="2049" width="79.140625" style="40" bestFit="1" customWidth="1"/>
    <col min="2050" max="2050" width="19.5703125" style="40" customWidth="1"/>
    <col min="2051" max="2051" width="17.140625" style="40" customWidth="1"/>
    <col min="2052" max="2052" width="15.5703125" style="40" customWidth="1"/>
    <col min="2053" max="2053" width="16.5703125" style="40" customWidth="1"/>
    <col min="2054" max="2054" width="18.5703125" style="40" customWidth="1"/>
    <col min="2055" max="2055" width="18.85546875" style="40" customWidth="1"/>
    <col min="2056" max="2056" width="17.42578125" style="40" customWidth="1"/>
    <col min="2057" max="2057" width="3.42578125" style="40" customWidth="1"/>
    <col min="2058" max="2304" width="11.42578125" style="40"/>
    <col min="2305" max="2305" width="79.140625" style="40" bestFit="1" customWidth="1"/>
    <col min="2306" max="2306" width="19.5703125" style="40" customWidth="1"/>
    <col min="2307" max="2307" width="17.140625" style="40" customWidth="1"/>
    <col min="2308" max="2308" width="15.5703125" style="40" customWidth="1"/>
    <col min="2309" max="2309" width="16.5703125" style="40" customWidth="1"/>
    <col min="2310" max="2310" width="18.5703125" style="40" customWidth="1"/>
    <col min="2311" max="2311" width="18.85546875" style="40" customWidth="1"/>
    <col min="2312" max="2312" width="17.42578125" style="40" customWidth="1"/>
    <col min="2313" max="2313" width="3.42578125" style="40" customWidth="1"/>
    <col min="2314" max="2560" width="11.42578125" style="40"/>
    <col min="2561" max="2561" width="79.140625" style="40" bestFit="1" customWidth="1"/>
    <col min="2562" max="2562" width="19.5703125" style="40" customWidth="1"/>
    <col min="2563" max="2563" width="17.140625" style="40" customWidth="1"/>
    <col min="2564" max="2564" width="15.5703125" style="40" customWidth="1"/>
    <col min="2565" max="2565" width="16.5703125" style="40" customWidth="1"/>
    <col min="2566" max="2566" width="18.5703125" style="40" customWidth="1"/>
    <col min="2567" max="2567" width="18.85546875" style="40" customWidth="1"/>
    <col min="2568" max="2568" width="17.42578125" style="40" customWidth="1"/>
    <col min="2569" max="2569" width="3.42578125" style="40" customWidth="1"/>
    <col min="2570" max="2816" width="11.42578125" style="40"/>
    <col min="2817" max="2817" width="79.140625" style="40" bestFit="1" customWidth="1"/>
    <col min="2818" max="2818" width="19.5703125" style="40" customWidth="1"/>
    <col min="2819" max="2819" width="17.140625" style="40" customWidth="1"/>
    <col min="2820" max="2820" width="15.5703125" style="40" customWidth="1"/>
    <col min="2821" max="2821" width="16.5703125" style="40" customWidth="1"/>
    <col min="2822" max="2822" width="18.5703125" style="40" customWidth="1"/>
    <col min="2823" max="2823" width="18.85546875" style="40" customWidth="1"/>
    <col min="2824" max="2824" width="17.42578125" style="40" customWidth="1"/>
    <col min="2825" max="2825" width="3.42578125" style="40" customWidth="1"/>
    <col min="2826" max="3072" width="11.42578125" style="40"/>
    <col min="3073" max="3073" width="79.140625" style="40" bestFit="1" customWidth="1"/>
    <col min="3074" max="3074" width="19.5703125" style="40" customWidth="1"/>
    <col min="3075" max="3075" width="17.140625" style="40" customWidth="1"/>
    <col min="3076" max="3076" width="15.5703125" style="40" customWidth="1"/>
    <col min="3077" max="3077" width="16.5703125" style="40" customWidth="1"/>
    <col min="3078" max="3078" width="18.5703125" style="40" customWidth="1"/>
    <col min="3079" max="3079" width="18.85546875" style="40" customWidth="1"/>
    <col min="3080" max="3080" width="17.42578125" style="40" customWidth="1"/>
    <col min="3081" max="3081" width="3.42578125" style="40" customWidth="1"/>
    <col min="3082" max="3328" width="11.42578125" style="40"/>
    <col min="3329" max="3329" width="79.140625" style="40" bestFit="1" customWidth="1"/>
    <col min="3330" max="3330" width="19.5703125" style="40" customWidth="1"/>
    <col min="3331" max="3331" width="17.140625" style="40" customWidth="1"/>
    <col min="3332" max="3332" width="15.5703125" style="40" customWidth="1"/>
    <col min="3333" max="3333" width="16.5703125" style="40" customWidth="1"/>
    <col min="3334" max="3334" width="18.5703125" style="40" customWidth="1"/>
    <col min="3335" max="3335" width="18.85546875" style="40" customWidth="1"/>
    <col min="3336" max="3336" width="17.42578125" style="40" customWidth="1"/>
    <col min="3337" max="3337" width="3.42578125" style="40" customWidth="1"/>
    <col min="3338" max="3584" width="11.42578125" style="40"/>
    <col min="3585" max="3585" width="79.140625" style="40" bestFit="1" customWidth="1"/>
    <col min="3586" max="3586" width="19.5703125" style="40" customWidth="1"/>
    <col min="3587" max="3587" width="17.140625" style="40" customWidth="1"/>
    <col min="3588" max="3588" width="15.5703125" style="40" customWidth="1"/>
    <col min="3589" max="3589" width="16.5703125" style="40" customWidth="1"/>
    <col min="3590" max="3590" width="18.5703125" style="40" customWidth="1"/>
    <col min="3591" max="3591" width="18.85546875" style="40" customWidth="1"/>
    <col min="3592" max="3592" width="17.42578125" style="40" customWidth="1"/>
    <col min="3593" max="3593" width="3.42578125" style="40" customWidth="1"/>
    <col min="3594" max="3840" width="11.42578125" style="40"/>
    <col min="3841" max="3841" width="79.140625" style="40" bestFit="1" customWidth="1"/>
    <col min="3842" max="3842" width="19.5703125" style="40" customWidth="1"/>
    <col min="3843" max="3843" width="17.140625" style="40" customWidth="1"/>
    <col min="3844" max="3844" width="15.5703125" style="40" customWidth="1"/>
    <col min="3845" max="3845" width="16.5703125" style="40" customWidth="1"/>
    <col min="3846" max="3846" width="18.5703125" style="40" customWidth="1"/>
    <col min="3847" max="3847" width="18.85546875" style="40" customWidth="1"/>
    <col min="3848" max="3848" width="17.42578125" style="40" customWidth="1"/>
    <col min="3849" max="3849" width="3.42578125" style="40" customWidth="1"/>
    <col min="3850" max="4096" width="11.42578125" style="40"/>
    <col min="4097" max="4097" width="79.140625" style="40" bestFit="1" customWidth="1"/>
    <col min="4098" max="4098" width="19.5703125" style="40" customWidth="1"/>
    <col min="4099" max="4099" width="17.140625" style="40" customWidth="1"/>
    <col min="4100" max="4100" width="15.5703125" style="40" customWidth="1"/>
    <col min="4101" max="4101" width="16.5703125" style="40" customWidth="1"/>
    <col min="4102" max="4102" width="18.5703125" style="40" customWidth="1"/>
    <col min="4103" max="4103" width="18.85546875" style="40" customWidth="1"/>
    <col min="4104" max="4104" width="17.42578125" style="40" customWidth="1"/>
    <col min="4105" max="4105" width="3.42578125" style="40" customWidth="1"/>
    <col min="4106" max="4352" width="11.42578125" style="40"/>
    <col min="4353" max="4353" width="79.140625" style="40" bestFit="1" customWidth="1"/>
    <col min="4354" max="4354" width="19.5703125" style="40" customWidth="1"/>
    <col min="4355" max="4355" width="17.140625" style="40" customWidth="1"/>
    <col min="4356" max="4356" width="15.5703125" style="40" customWidth="1"/>
    <col min="4357" max="4357" width="16.5703125" style="40" customWidth="1"/>
    <col min="4358" max="4358" width="18.5703125" style="40" customWidth="1"/>
    <col min="4359" max="4359" width="18.85546875" style="40" customWidth="1"/>
    <col min="4360" max="4360" width="17.42578125" style="40" customWidth="1"/>
    <col min="4361" max="4361" width="3.42578125" style="40" customWidth="1"/>
    <col min="4362" max="4608" width="11.42578125" style="40"/>
    <col min="4609" max="4609" width="79.140625" style="40" bestFit="1" customWidth="1"/>
    <col min="4610" max="4610" width="19.5703125" style="40" customWidth="1"/>
    <col min="4611" max="4611" width="17.140625" style="40" customWidth="1"/>
    <col min="4612" max="4612" width="15.5703125" style="40" customWidth="1"/>
    <col min="4613" max="4613" width="16.5703125" style="40" customWidth="1"/>
    <col min="4614" max="4614" width="18.5703125" style="40" customWidth="1"/>
    <col min="4615" max="4615" width="18.85546875" style="40" customWidth="1"/>
    <col min="4616" max="4616" width="17.42578125" style="40" customWidth="1"/>
    <col min="4617" max="4617" width="3.42578125" style="40" customWidth="1"/>
    <col min="4618" max="4864" width="11.42578125" style="40"/>
    <col min="4865" max="4865" width="79.140625" style="40" bestFit="1" customWidth="1"/>
    <col min="4866" max="4866" width="19.5703125" style="40" customWidth="1"/>
    <col min="4867" max="4867" width="17.140625" style="40" customWidth="1"/>
    <col min="4868" max="4868" width="15.5703125" style="40" customWidth="1"/>
    <col min="4869" max="4869" width="16.5703125" style="40" customWidth="1"/>
    <col min="4870" max="4870" width="18.5703125" style="40" customWidth="1"/>
    <col min="4871" max="4871" width="18.85546875" style="40" customWidth="1"/>
    <col min="4872" max="4872" width="17.42578125" style="40" customWidth="1"/>
    <col min="4873" max="4873" width="3.42578125" style="40" customWidth="1"/>
    <col min="4874" max="5120" width="11.42578125" style="40"/>
    <col min="5121" max="5121" width="79.140625" style="40" bestFit="1" customWidth="1"/>
    <col min="5122" max="5122" width="19.5703125" style="40" customWidth="1"/>
    <col min="5123" max="5123" width="17.140625" style="40" customWidth="1"/>
    <col min="5124" max="5124" width="15.5703125" style="40" customWidth="1"/>
    <col min="5125" max="5125" width="16.5703125" style="40" customWidth="1"/>
    <col min="5126" max="5126" width="18.5703125" style="40" customWidth="1"/>
    <col min="5127" max="5127" width="18.85546875" style="40" customWidth="1"/>
    <col min="5128" max="5128" width="17.42578125" style="40" customWidth="1"/>
    <col min="5129" max="5129" width="3.42578125" style="40" customWidth="1"/>
    <col min="5130" max="5376" width="11.42578125" style="40"/>
    <col min="5377" max="5377" width="79.140625" style="40" bestFit="1" customWidth="1"/>
    <col min="5378" max="5378" width="19.5703125" style="40" customWidth="1"/>
    <col min="5379" max="5379" width="17.140625" style="40" customWidth="1"/>
    <col min="5380" max="5380" width="15.5703125" style="40" customWidth="1"/>
    <col min="5381" max="5381" width="16.5703125" style="40" customWidth="1"/>
    <col min="5382" max="5382" width="18.5703125" style="40" customWidth="1"/>
    <col min="5383" max="5383" width="18.85546875" style="40" customWidth="1"/>
    <col min="5384" max="5384" width="17.42578125" style="40" customWidth="1"/>
    <col min="5385" max="5385" width="3.42578125" style="40" customWidth="1"/>
    <col min="5386" max="5632" width="11.42578125" style="40"/>
    <col min="5633" max="5633" width="79.140625" style="40" bestFit="1" customWidth="1"/>
    <col min="5634" max="5634" width="19.5703125" style="40" customWidth="1"/>
    <col min="5635" max="5635" width="17.140625" style="40" customWidth="1"/>
    <col min="5636" max="5636" width="15.5703125" style="40" customWidth="1"/>
    <col min="5637" max="5637" width="16.5703125" style="40" customWidth="1"/>
    <col min="5638" max="5638" width="18.5703125" style="40" customWidth="1"/>
    <col min="5639" max="5639" width="18.85546875" style="40" customWidth="1"/>
    <col min="5640" max="5640" width="17.42578125" style="40" customWidth="1"/>
    <col min="5641" max="5641" width="3.42578125" style="40" customWidth="1"/>
    <col min="5642" max="5888" width="11.42578125" style="40"/>
    <col min="5889" max="5889" width="79.140625" style="40" bestFit="1" customWidth="1"/>
    <col min="5890" max="5890" width="19.5703125" style="40" customWidth="1"/>
    <col min="5891" max="5891" width="17.140625" style="40" customWidth="1"/>
    <col min="5892" max="5892" width="15.5703125" style="40" customWidth="1"/>
    <col min="5893" max="5893" width="16.5703125" style="40" customWidth="1"/>
    <col min="5894" max="5894" width="18.5703125" style="40" customWidth="1"/>
    <col min="5895" max="5895" width="18.85546875" style="40" customWidth="1"/>
    <col min="5896" max="5896" width="17.42578125" style="40" customWidth="1"/>
    <col min="5897" max="5897" width="3.42578125" style="40" customWidth="1"/>
    <col min="5898" max="6144" width="11.42578125" style="40"/>
    <col min="6145" max="6145" width="79.140625" style="40" bestFit="1" customWidth="1"/>
    <col min="6146" max="6146" width="19.5703125" style="40" customWidth="1"/>
    <col min="6147" max="6147" width="17.140625" style="40" customWidth="1"/>
    <col min="6148" max="6148" width="15.5703125" style="40" customWidth="1"/>
    <col min="6149" max="6149" width="16.5703125" style="40" customWidth="1"/>
    <col min="6150" max="6150" width="18.5703125" style="40" customWidth="1"/>
    <col min="6151" max="6151" width="18.85546875" style="40" customWidth="1"/>
    <col min="6152" max="6152" width="17.42578125" style="40" customWidth="1"/>
    <col min="6153" max="6153" width="3.42578125" style="40" customWidth="1"/>
    <col min="6154" max="6400" width="11.42578125" style="40"/>
    <col min="6401" max="6401" width="79.140625" style="40" bestFit="1" customWidth="1"/>
    <col min="6402" max="6402" width="19.5703125" style="40" customWidth="1"/>
    <col min="6403" max="6403" width="17.140625" style="40" customWidth="1"/>
    <col min="6404" max="6404" width="15.5703125" style="40" customWidth="1"/>
    <col min="6405" max="6405" width="16.5703125" style="40" customWidth="1"/>
    <col min="6406" max="6406" width="18.5703125" style="40" customWidth="1"/>
    <col min="6407" max="6407" width="18.85546875" style="40" customWidth="1"/>
    <col min="6408" max="6408" width="17.42578125" style="40" customWidth="1"/>
    <col min="6409" max="6409" width="3.42578125" style="40" customWidth="1"/>
    <col min="6410" max="6656" width="11.42578125" style="40"/>
    <col min="6657" max="6657" width="79.140625" style="40" bestFit="1" customWidth="1"/>
    <col min="6658" max="6658" width="19.5703125" style="40" customWidth="1"/>
    <col min="6659" max="6659" width="17.140625" style="40" customWidth="1"/>
    <col min="6660" max="6660" width="15.5703125" style="40" customWidth="1"/>
    <col min="6661" max="6661" width="16.5703125" style="40" customWidth="1"/>
    <col min="6662" max="6662" width="18.5703125" style="40" customWidth="1"/>
    <col min="6663" max="6663" width="18.85546875" style="40" customWidth="1"/>
    <col min="6664" max="6664" width="17.42578125" style="40" customWidth="1"/>
    <col min="6665" max="6665" width="3.42578125" style="40" customWidth="1"/>
    <col min="6666" max="6912" width="11.42578125" style="40"/>
    <col min="6913" max="6913" width="79.140625" style="40" bestFit="1" customWidth="1"/>
    <col min="6914" max="6914" width="19.5703125" style="40" customWidth="1"/>
    <col min="6915" max="6915" width="17.140625" style="40" customWidth="1"/>
    <col min="6916" max="6916" width="15.5703125" style="40" customWidth="1"/>
    <col min="6917" max="6917" width="16.5703125" style="40" customWidth="1"/>
    <col min="6918" max="6918" width="18.5703125" style="40" customWidth="1"/>
    <col min="6919" max="6919" width="18.85546875" style="40" customWidth="1"/>
    <col min="6920" max="6920" width="17.42578125" style="40" customWidth="1"/>
    <col min="6921" max="6921" width="3.42578125" style="40" customWidth="1"/>
    <col min="6922" max="7168" width="11.42578125" style="40"/>
    <col min="7169" max="7169" width="79.140625" style="40" bestFit="1" customWidth="1"/>
    <col min="7170" max="7170" width="19.5703125" style="40" customWidth="1"/>
    <col min="7171" max="7171" width="17.140625" style="40" customWidth="1"/>
    <col min="7172" max="7172" width="15.5703125" style="40" customWidth="1"/>
    <col min="7173" max="7173" width="16.5703125" style="40" customWidth="1"/>
    <col min="7174" max="7174" width="18.5703125" style="40" customWidth="1"/>
    <col min="7175" max="7175" width="18.85546875" style="40" customWidth="1"/>
    <col min="7176" max="7176" width="17.42578125" style="40" customWidth="1"/>
    <col min="7177" max="7177" width="3.42578125" style="40" customWidth="1"/>
    <col min="7178" max="7424" width="11.42578125" style="40"/>
    <col min="7425" max="7425" width="79.140625" style="40" bestFit="1" customWidth="1"/>
    <col min="7426" max="7426" width="19.5703125" style="40" customWidth="1"/>
    <col min="7427" max="7427" width="17.140625" style="40" customWidth="1"/>
    <col min="7428" max="7428" width="15.5703125" style="40" customWidth="1"/>
    <col min="7429" max="7429" width="16.5703125" style="40" customWidth="1"/>
    <col min="7430" max="7430" width="18.5703125" style="40" customWidth="1"/>
    <col min="7431" max="7431" width="18.85546875" style="40" customWidth="1"/>
    <col min="7432" max="7432" width="17.42578125" style="40" customWidth="1"/>
    <col min="7433" max="7433" width="3.42578125" style="40" customWidth="1"/>
    <col min="7434" max="7680" width="11.42578125" style="40"/>
    <col min="7681" max="7681" width="79.140625" style="40" bestFit="1" customWidth="1"/>
    <col min="7682" max="7682" width="19.5703125" style="40" customWidth="1"/>
    <col min="7683" max="7683" width="17.140625" style="40" customWidth="1"/>
    <col min="7684" max="7684" width="15.5703125" style="40" customWidth="1"/>
    <col min="7685" max="7685" width="16.5703125" style="40" customWidth="1"/>
    <col min="7686" max="7686" width="18.5703125" style="40" customWidth="1"/>
    <col min="7687" max="7687" width="18.85546875" style="40" customWidth="1"/>
    <col min="7688" max="7688" width="17.42578125" style="40" customWidth="1"/>
    <col min="7689" max="7689" width="3.42578125" style="40" customWidth="1"/>
    <col min="7690" max="7936" width="11.42578125" style="40"/>
    <col min="7937" max="7937" width="79.140625" style="40" bestFit="1" customWidth="1"/>
    <col min="7938" max="7938" width="19.5703125" style="40" customWidth="1"/>
    <col min="7939" max="7939" width="17.140625" style="40" customWidth="1"/>
    <col min="7940" max="7940" width="15.5703125" style="40" customWidth="1"/>
    <col min="7941" max="7941" width="16.5703125" style="40" customWidth="1"/>
    <col min="7942" max="7942" width="18.5703125" style="40" customWidth="1"/>
    <col min="7943" max="7943" width="18.85546875" style="40" customWidth="1"/>
    <col min="7944" max="7944" width="17.42578125" style="40" customWidth="1"/>
    <col min="7945" max="7945" width="3.42578125" style="40" customWidth="1"/>
    <col min="7946" max="8192" width="11.42578125" style="40"/>
    <col min="8193" max="8193" width="79.140625" style="40" bestFit="1" customWidth="1"/>
    <col min="8194" max="8194" width="19.5703125" style="40" customWidth="1"/>
    <col min="8195" max="8195" width="17.140625" style="40" customWidth="1"/>
    <col min="8196" max="8196" width="15.5703125" style="40" customWidth="1"/>
    <col min="8197" max="8197" width="16.5703125" style="40" customWidth="1"/>
    <col min="8198" max="8198" width="18.5703125" style="40" customWidth="1"/>
    <col min="8199" max="8199" width="18.85546875" style="40" customWidth="1"/>
    <col min="8200" max="8200" width="17.42578125" style="40" customWidth="1"/>
    <col min="8201" max="8201" width="3.42578125" style="40" customWidth="1"/>
    <col min="8202" max="8448" width="11.42578125" style="40"/>
    <col min="8449" max="8449" width="79.140625" style="40" bestFit="1" customWidth="1"/>
    <col min="8450" max="8450" width="19.5703125" style="40" customWidth="1"/>
    <col min="8451" max="8451" width="17.140625" style="40" customWidth="1"/>
    <col min="8452" max="8452" width="15.5703125" style="40" customWidth="1"/>
    <col min="8453" max="8453" width="16.5703125" style="40" customWidth="1"/>
    <col min="8454" max="8454" width="18.5703125" style="40" customWidth="1"/>
    <col min="8455" max="8455" width="18.85546875" style="40" customWidth="1"/>
    <col min="8456" max="8456" width="17.42578125" style="40" customWidth="1"/>
    <col min="8457" max="8457" width="3.42578125" style="40" customWidth="1"/>
    <col min="8458" max="8704" width="11.42578125" style="40"/>
    <col min="8705" max="8705" width="79.140625" style="40" bestFit="1" customWidth="1"/>
    <col min="8706" max="8706" width="19.5703125" style="40" customWidth="1"/>
    <col min="8707" max="8707" width="17.140625" style="40" customWidth="1"/>
    <col min="8708" max="8708" width="15.5703125" style="40" customWidth="1"/>
    <col min="8709" max="8709" width="16.5703125" style="40" customWidth="1"/>
    <col min="8710" max="8710" width="18.5703125" style="40" customWidth="1"/>
    <col min="8711" max="8711" width="18.85546875" style="40" customWidth="1"/>
    <col min="8712" max="8712" width="17.42578125" style="40" customWidth="1"/>
    <col min="8713" max="8713" width="3.42578125" style="40" customWidth="1"/>
    <col min="8714" max="8960" width="11.42578125" style="40"/>
    <col min="8961" max="8961" width="79.140625" style="40" bestFit="1" customWidth="1"/>
    <col min="8962" max="8962" width="19.5703125" style="40" customWidth="1"/>
    <col min="8963" max="8963" width="17.140625" style="40" customWidth="1"/>
    <col min="8964" max="8964" width="15.5703125" style="40" customWidth="1"/>
    <col min="8965" max="8965" width="16.5703125" style="40" customWidth="1"/>
    <col min="8966" max="8966" width="18.5703125" style="40" customWidth="1"/>
    <col min="8967" max="8967" width="18.85546875" style="40" customWidth="1"/>
    <col min="8968" max="8968" width="17.42578125" style="40" customWidth="1"/>
    <col min="8969" max="8969" width="3.42578125" style="40" customWidth="1"/>
    <col min="8970" max="9216" width="11.42578125" style="40"/>
    <col min="9217" max="9217" width="79.140625" style="40" bestFit="1" customWidth="1"/>
    <col min="9218" max="9218" width="19.5703125" style="40" customWidth="1"/>
    <col min="9219" max="9219" width="17.140625" style="40" customWidth="1"/>
    <col min="9220" max="9220" width="15.5703125" style="40" customWidth="1"/>
    <col min="9221" max="9221" width="16.5703125" style="40" customWidth="1"/>
    <col min="9222" max="9222" width="18.5703125" style="40" customWidth="1"/>
    <col min="9223" max="9223" width="18.85546875" style="40" customWidth="1"/>
    <col min="9224" max="9224" width="17.42578125" style="40" customWidth="1"/>
    <col min="9225" max="9225" width="3.42578125" style="40" customWidth="1"/>
    <col min="9226" max="9472" width="11.42578125" style="40"/>
    <col min="9473" max="9473" width="79.140625" style="40" bestFit="1" customWidth="1"/>
    <col min="9474" max="9474" width="19.5703125" style="40" customWidth="1"/>
    <col min="9475" max="9475" width="17.140625" style="40" customWidth="1"/>
    <col min="9476" max="9476" width="15.5703125" style="40" customWidth="1"/>
    <col min="9477" max="9477" width="16.5703125" style="40" customWidth="1"/>
    <col min="9478" max="9478" width="18.5703125" style="40" customWidth="1"/>
    <col min="9479" max="9479" width="18.85546875" style="40" customWidth="1"/>
    <col min="9480" max="9480" width="17.42578125" style="40" customWidth="1"/>
    <col min="9481" max="9481" width="3.42578125" style="40" customWidth="1"/>
    <col min="9482" max="9728" width="11.42578125" style="40"/>
    <col min="9729" max="9729" width="79.140625" style="40" bestFit="1" customWidth="1"/>
    <col min="9730" max="9730" width="19.5703125" style="40" customWidth="1"/>
    <col min="9731" max="9731" width="17.140625" style="40" customWidth="1"/>
    <col min="9732" max="9732" width="15.5703125" style="40" customWidth="1"/>
    <col min="9733" max="9733" width="16.5703125" style="40" customWidth="1"/>
    <col min="9734" max="9734" width="18.5703125" style="40" customWidth="1"/>
    <col min="9735" max="9735" width="18.85546875" style="40" customWidth="1"/>
    <col min="9736" max="9736" width="17.42578125" style="40" customWidth="1"/>
    <col min="9737" max="9737" width="3.42578125" style="40" customWidth="1"/>
    <col min="9738" max="9984" width="11.42578125" style="40"/>
    <col min="9985" max="9985" width="79.140625" style="40" bestFit="1" customWidth="1"/>
    <col min="9986" max="9986" width="19.5703125" style="40" customWidth="1"/>
    <col min="9987" max="9987" width="17.140625" style="40" customWidth="1"/>
    <col min="9988" max="9988" width="15.5703125" style="40" customWidth="1"/>
    <col min="9989" max="9989" width="16.5703125" style="40" customWidth="1"/>
    <col min="9990" max="9990" width="18.5703125" style="40" customWidth="1"/>
    <col min="9991" max="9991" width="18.85546875" style="40" customWidth="1"/>
    <col min="9992" max="9992" width="17.42578125" style="40" customWidth="1"/>
    <col min="9993" max="9993" width="3.42578125" style="40" customWidth="1"/>
    <col min="9994" max="10240" width="11.42578125" style="40"/>
    <col min="10241" max="10241" width="79.140625" style="40" bestFit="1" customWidth="1"/>
    <col min="10242" max="10242" width="19.5703125" style="40" customWidth="1"/>
    <col min="10243" max="10243" width="17.140625" style="40" customWidth="1"/>
    <col min="10244" max="10244" width="15.5703125" style="40" customWidth="1"/>
    <col min="10245" max="10245" width="16.5703125" style="40" customWidth="1"/>
    <col min="10246" max="10246" width="18.5703125" style="40" customWidth="1"/>
    <col min="10247" max="10247" width="18.85546875" style="40" customWidth="1"/>
    <col min="10248" max="10248" width="17.42578125" style="40" customWidth="1"/>
    <col min="10249" max="10249" width="3.42578125" style="40" customWidth="1"/>
    <col min="10250" max="10496" width="11.42578125" style="40"/>
    <col min="10497" max="10497" width="79.140625" style="40" bestFit="1" customWidth="1"/>
    <col min="10498" max="10498" width="19.5703125" style="40" customWidth="1"/>
    <col min="10499" max="10499" width="17.140625" style="40" customWidth="1"/>
    <col min="10500" max="10500" width="15.5703125" style="40" customWidth="1"/>
    <col min="10501" max="10501" width="16.5703125" style="40" customWidth="1"/>
    <col min="10502" max="10502" width="18.5703125" style="40" customWidth="1"/>
    <col min="10503" max="10503" width="18.85546875" style="40" customWidth="1"/>
    <col min="10504" max="10504" width="17.42578125" style="40" customWidth="1"/>
    <col min="10505" max="10505" width="3.42578125" style="40" customWidth="1"/>
    <col min="10506" max="10752" width="11.42578125" style="40"/>
    <col min="10753" max="10753" width="79.140625" style="40" bestFit="1" customWidth="1"/>
    <col min="10754" max="10754" width="19.5703125" style="40" customWidth="1"/>
    <col min="10755" max="10755" width="17.140625" style="40" customWidth="1"/>
    <col min="10756" max="10756" width="15.5703125" style="40" customWidth="1"/>
    <col min="10757" max="10757" width="16.5703125" style="40" customWidth="1"/>
    <col min="10758" max="10758" width="18.5703125" style="40" customWidth="1"/>
    <col min="10759" max="10759" width="18.85546875" style="40" customWidth="1"/>
    <col min="10760" max="10760" width="17.42578125" style="40" customWidth="1"/>
    <col min="10761" max="10761" width="3.42578125" style="40" customWidth="1"/>
    <col min="10762" max="11008" width="11.42578125" style="40"/>
    <col min="11009" max="11009" width="79.140625" style="40" bestFit="1" customWidth="1"/>
    <col min="11010" max="11010" width="19.5703125" style="40" customWidth="1"/>
    <col min="11011" max="11011" width="17.140625" style="40" customWidth="1"/>
    <col min="11012" max="11012" width="15.5703125" style="40" customWidth="1"/>
    <col min="11013" max="11013" width="16.5703125" style="40" customWidth="1"/>
    <col min="11014" max="11014" width="18.5703125" style="40" customWidth="1"/>
    <col min="11015" max="11015" width="18.85546875" style="40" customWidth="1"/>
    <col min="11016" max="11016" width="17.42578125" style="40" customWidth="1"/>
    <col min="11017" max="11017" width="3.42578125" style="40" customWidth="1"/>
    <col min="11018" max="11264" width="11.42578125" style="40"/>
    <col min="11265" max="11265" width="79.140625" style="40" bestFit="1" customWidth="1"/>
    <col min="11266" max="11266" width="19.5703125" style="40" customWidth="1"/>
    <col min="11267" max="11267" width="17.140625" style="40" customWidth="1"/>
    <col min="11268" max="11268" width="15.5703125" style="40" customWidth="1"/>
    <col min="11269" max="11269" width="16.5703125" style="40" customWidth="1"/>
    <col min="11270" max="11270" width="18.5703125" style="40" customWidth="1"/>
    <col min="11271" max="11271" width="18.85546875" style="40" customWidth="1"/>
    <col min="11272" max="11272" width="17.42578125" style="40" customWidth="1"/>
    <col min="11273" max="11273" width="3.42578125" style="40" customWidth="1"/>
    <col min="11274" max="11520" width="11.42578125" style="40"/>
    <col min="11521" max="11521" width="79.140625" style="40" bestFit="1" customWidth="1"/>
    <col min="11522" max="11522" width="19.5703125" style="40" customWidth="1"/>
    <col min="11523" max="11523" width="17.140625" style="40" customWidth="1"/>
    <col min="11524" max="11524" width="15.5703125" style="40" customWidth="1"/>
    <col min="11525" max="11525" width="16.5703125" style="40" customWidth="1"/>
    <col min="11526" max="11526" width="18.5703125" style="40" customWidth="1"/>
    <col min="11527" max="11527" width="18.85546875" style="40" customWidth="1"/>
    <col min="11528" max="11528" width="17.42578125" style="40" customWidth="1"/>
    <col min="11529" max="11529" width="3.42578125" style="40" customWidth="1"/>
    <col min="11530" max="11776" width="11.42578125" style="40"/>
    <col min="11777" max="11777" width="79.140625" style="40" bestFit="1" customWidth="1"/>
    <col min="11778" max="11778" width="19.5703125" style="40" customWidth="1"/>
    <col min="11779" max="11779" width="17.140625" style="40" customWidth="1"/>
    <col min="11780" max="11780" width="15.5703125" style="40" customWidth="1"/>
    <col min="11781" max="11781" width="16.5703125" style="40" customWidth="1"/>
    <col min="11782" max="11782" width="18.5703125" style="40" customWidth="1"/>
    <col min="11783" max="11783" width="18.85546875" style="40" customWidth="1"/>
    <col min="11784" max="11784" width="17.42578125" style="40" customWidth="1"/>
    <col min="11785" max="11785" width="3.42578125" style="40" customWidth="1"/>
    <col min="11786" max="12032" width="11.42578125" style="40"/>
    <col min="12033" max="12033" width="79.140625" style="40" bestFit="1" customWidth="1"/>
    <col min="12034" max="12034" width="19.5703125" style="40" customWidth="1"/>
    <col min="12035" max="12035" width="17.140625" style="40" customWidth="1"/>
    <col min="12036" max="12036" width="15.5703125" style="40" customWidth="1"/>
    <col min="12037" max="12037" width="16.5703125" style="40" customWidth="1"/>
    <col min="12038" max="12038" width="18.5703125" style="40" customWidth="1"/>
    <col min="12039" max="12039" width="18.85546875" style="40" customWidth="1"/>
    <col min="12040" max="12040" width="17.42578125" style="40" customWidth="1"/>
    <col min="12041" max="12041" width="3.42578125" style="40" customWidth="1"/>
    <col min="12042" max="12288" width="11.42578125" style="40"/>
    <col min="12289" max="12289" width="79.140625" style="40" bestFit="1" customWidth="1"/>
    <col min="12290" max="12290" width="19.5703125" style="40" customWidth="1"/>
    <col min="12291" max="12291" width="17.140625" style="40" customWidth="1"/>
    <col min="12292" max="12292" width="15.5703125" style="40" customWidth="1"/>
    <col min="12293" max="12293" width="16.5703125" style="40" customWidth="1"/>
    <col min="12294" max="12294" width="18.5703125" style="40" customWidth="1"/>
    <col min="12295" max="12295" width="18.85546875" style="40" customWidth="1"/>
    <col min="12296" max="12296" width="17.42578125" style="40" customWidth="1"/>
    <col min="12297" max="12297" width="3.42578125" style="40" customWidth="1"/>
    <col min="12298" max="12544" width="11.42578125" style="40"/>
    <col min="12545" max="12545" width="79.140625" style="40" bestFit="1" customWidth="1"/>
    <col min="12546" max="12546" width="19.5703125" style="40" customWidth="1"/>
    <col min="12547" max="12547" width="17.140625" style="40" customWidth="1"/>
    <col min="12548" max="12548" width="15.5703125" style="40" customWidth="1"/>
    <col min="12549" max="12549" width="16.5703125" style="40" customWidth="1"/>
    <col min="12550" max="12550" width="18.5703125" style="40" customWidth="1"/>
    <col min="12551" max="12551" width="18.85546875" style="40" customWidth="1"/>
    <col min="12552" max="12552" width="17.42578125" style="40" customWidth="1"/>
    <col min="12553" max="12553" width="3.42578125" style="40" customWidth="1"/>
    <col min="12554" max="12800" width="11.42578125" style="40"/>
    <col min="12801" max="12801" width="79.140625" style="40" bestFit="1" customWidth="1"/>
    <col min="12802" max="12802" width="19.5703125" style="40" customWidth="1"/>
    <col min="12803" max="12803" width="17.140625" style="40" customWidth="1"/>
    <col min="12804" max="12804" width="15.5703125" style="40" customWidth="1"/>
    <col min="12805" max="12805" width="16.5703125" style="40" customWidth="1"/>
    <col min="12806" max="12806" width="18.5703125" style="40" customWidth="1"/>
    <col min="12807" max="12807" width="18.85546875" style="40" customWidth="1"/>
    <col min="12808" max="12808" width="17.42578125" style="40" customWidth="1"/>
    <col min="12809" max="12809" width="3.42578125" style="40" customWidth="1"/>
    <col min="12810" max="13056" width="11.42578125" style="40"/>
    <col min="13057" max="13057" width="79.140625" style="40" bestFit="1" customWidth="1"/>
    <col min="13058" max="13058" width="19.5703125" style="40" customWidth="1"/>
    <col min="13059" max="13059" width="17.140625" style="40" customWidth="1"/>
    <col min="13060" max="13060" width="15.5703125" style="40" customWidth="1"/>
    <col min="13061" max="13061" width="16.5703125" style="40" customWidth="1"/>
    <col min="13062" max="13062" width="18.5703125" style="40" customWidth="1"/>
    <col min="13063" max="13063" width="18.85546875" style="40" customWidth="1"/>
    <col min="13064" max="13064" width="17.42578125" style="40" customWidth="1"/>
    <col min="13065" max="13065" width="3.42578125" style="40" customWidth="1"/>
    <col min="13066" max="13312" width="11.42578125" style="40"/>
    <col min="13313" max="13313" width="79.140625" style="40" bestFit="1" customWidth="1"/>
    <col min="13314" max="13314" width="19.5703125" style="40" customWidth="1"/>
    <col min="13315" max="13315" width="17.140625" style="40" customWidth="1"/>
    <col min="13316" max="13316" width="15.5703125" style="40" customWidth="1"/>
    <col min="13317" max="13317" width="16.5703125" style="40" customWidth="1"/>
    <col min="13318" max="13318" width="18.5703125" style="40" customWidth="1"/>
    <col min="13319" max="13319" width="18.85546875" style="40" customWidth="1"/>
    <col min="13320" max="13320" width="17.42578125" style="40" customWidth="1"/>
    <col min="13321" max="13321" width="3.42578125" style="40" customWidth="1"/>
    <col min="13322" max="13568" width="11.42578125" style="40"/>
    <col min="13569" max="13569" width="79.140625" style="40" bestFit="1" customWidth="1"/>
    <col min="13570" max="13570" width="19.5703125" style="40" customWidth="1"/>
    <col min="13571" max="13571" width="17.140625" style="40" customWidth="1"/>
    <col min="13572" max="13572" width="15.5703125" style="40" customWidth="1"/>
    <col min="13573" max="13573" width="16.5703125" style="40" customWidth="1"/>
    <col min="13574" max="13574" width="18.5703125" style="40" customWidth="1"/>
    <col min="13575" max="13575" width="18.85546875" style="40" customWidth="1"/>
    <col min="13576" max="13576" width="17.42578125" style="40" customWidth="1"/>
    <col min="13577" max="13577" width="3.42578125" style="40" customWidth="1"/>
    <col min="13578" max="13824" width="11.42578125" style="40"/>
    <col min="13825" max="13825" width="79.140625" style="40" bestFit="1" customWidth="1"/>
    <col min="13826" max="13826" width="19.5703125" style="40" customWidth="1"/>
    <col min="13827" max="13827" width="17.140625" style="40" customWidth="1"/>
    <col min="13828" max="13828" width="15.5703125" style="40" customWidth="1"/>
    <col min="13829" max="13829" width="16.5703125" style="40" customWidth="1"/>
    <col min="13830" max="13830" width="18.5703125" style="40" customWidth="1"/>
    <col min="13831" max="13831" width="18.85546875" style="40" customWidth="1"/>
    <col min="13832" max="13832" width="17.42578125" style="40" customWidth="1"/>
    <col min="13833" max="13833" width="3.42578125" style="40" customWidth="1"/>
    <col min="13834" max="14080" width="11.42578125" style="40"/>
    <col min="14081" max="14081" width="79.140625" style="40" bestFit="1" customWidth="1"/>
    <col min="14082" max="14082" width="19.5703125" style="40" customWidth="1"/>
    <col min="14083" max="14083" width="17.140625" style="40" customWidth="1"/>
    <col min="14084" max="14084" width="15.5703125" style="40" customWidth="1"/>
    <col min="14085" max="14085" width="16.5703125" style="40" customWidth="1"/>
    <col min="14086" max="14086" width="18.5703125" style="40" customWidth="1"/>
    <col min="14087" max="14087" width="18.85546875" style="40" customWidth="1"/>
    <col min="14088" max="14088" width="17.42578125" style="40" customWidth="1"/>
    <col min="14089" max="14089" width="3.42578125" style="40" customWidth="1"/>
    <col min="14090" max="14336" width="11.42578125" style="40"/>
    <col min="14337" max="14337" width="79.140625" style="40" bestFit="1" customWidth="1"/>
    <col min="14338" max="14338" width="19.5703125" style="40" customWidth="1"/>
    <col min="14339" max="14339" width="17.140625" style="40" customWidth="1"/>
    <col min="14340" max="14340" width="15.5703125" style="40" customWidth="1"/>
    <col min="14341" max="14341" width="16.5703125" style="40" customWidth="1"/>
    <col min="14342" max="14342" width="18.5703125" style="40" customWidth="1"/>
    <col min="14343" max="14343" width="18.85546875" style="40" customWidth="1"/>
    <col min="14344" max="14344" width="17.42578125" style="40" customWidth="1"/>
    <col min="14345" max="14345" width="3.42578125" style="40" customWidth="1"/>
    <col min="14346" max="14592" width="11.42578125" style="40"/>
    <col min="14593" max="14593" width="79.140625" style="40" bestFit="1" customWidth="1"/>
    <col min="14594" max="14594" width="19.5703125" style="40" customWidth="1"/>
    <col min="14595" max="14595" width="17.140625" style="40" customWidth="1"/>
    <col min="14596" max="14596" width="15.5703125" style="40" customWidth="1"/>
    <col min="14597" max="14597" width="16.5703125" style="40" customWidth="1"/>
    <col min="14598" max="14598" width="18.5703125" style="40" customWidth="1"/>
    <col min="14599" max="14599" width="18.85546875" style="40" customWidth="1"/>
    <col min="14600" max="14600" width="17.42578125" style="40" customWidth="1"/>
    <col min="14601" max="14601" width="3.42578125" style="40" customWidth="1"/>
    <col min="14602" max="14848" width="11.42578125" style="40"/>
    <col min="14849" max="14849" width="79.140625" style="40" bestFit="1" customWidth="1"/>
    <col min="14850" max="14850" width="19.5703125" style="40" customWidth="1"/>
    <col min="14851" max="14851" width="17.140625" style="40" customWidth="1"/>
    <col min="14852" max="14852" width="15.5703125" style="40" customWidth="1"/>
    <col min="14853" max="14853" width="16.5703125" style="40" customWidth="1"/>
    <col min="14854" max="14854" width="18.5703125" style="40" customWidth="1"/>
    <col min="14855" max="14855" width="18.85546875" style="40" customWidth="1"/>
    <col min="14856" max="14856" width="17.42578125" style="40" customWidth="1"/>
    <col min="14857" max="14857" width="3.42578125" style="40" customWidth="1"/>
    <col min="14858" max="15104" width="11.42578125" style="40"/>
    <col min="15105" max="15105" width="79.140625" style="40" bestFit="1" customWidth="1"/>
    <col min="15106" max="15106" width="19.5703125" style="40" customWidth="1"/>
    <col min="15107" max="15107" width="17.140625" style="40" customWidth="1"/>
    <col min="15108" max="15108" width="15.5703125" style="40" customWidth="1"/>
    <col min="15109" max="15109" width="16.5703125" style="40" customWidth="1"/>
    <col min="15110" max="15110" width="18.5703125" style="40" customWidth="1"/>
    <col min="15111" max="15111" width="18.85546875" style="40" customWidth="1"/>
    <col min="15112" max="15112" width="17.42578125" style="40" customWidth="1"/>
    <col min="15113" max="15113" width="3.42578125" style="40" customWidth="1"/>
    <col min="15114" max="15360" width="11.42578125" style="40"/>
    <col min="15361" max="15361" width="79.140625" style="40" bestFit="1" customWidth="1"/>
    <col min="15362" max="15362" width="19.5703125" style="40" customWidth="1"/>
    <col min="15363" max="15363" width="17.140625" style="40" customWidth="1"/>
    <col min="15364" max="15364" width="15.5703125" style="40" customWidth="1"/>
    <col min="15365" max="15365" width="16.5703125" style="40" customWidth="1"/>
    <col min="15366" max="15366" width="18.5703125" style="40" customWidth="1"/>
    <col min="15367" max="15367" width="18.85546875" style="40" customWidth="1"/>
    <col min="15368" max="15368" width="17.42578125" style="40" customWidth="1"/>
    <col min="15369" max="15369" width="3.42578125" style="40" customWidth="1"/>
    <col min="15370" max="15616" width="11.42578125" style="40"/>
    <col min="15617" max="15617" width="79.140625" style="40" bestFit="1" customWidth="1"/>
    <col min="15618" max="15618" width="19.5703125" style="40" customWidth="1"/>
    <col min="15619" max="15619" width="17.140625" style="40" customWidth="1"/>
    <col min="15620" max="15620" width="15.5703125" style="40" customWidth="1"/>
    <col min="15621" max="15621" width="16.5703125" style="40" customWidth="1"/>
    <col min="15622" max="15622" width="18.5703125" style="40" customWidth="1"/>
    <col min="15623" max="15623" width="18.85546875" style="40" customWidth="1"/>
    <col min="15624" max="15624" width="17.42578125" style="40" customWidth="1"/>
    <col min="15625" max="15625" width="3.42578125" style="40" customWidth="1"/>
    <col min="15626" max="15872" width="11.42578125" style="40"/>
    <col min="15873" max="15873" width="79.140625" style="40" bestFit="1" customWidth="1"/>
    <col min="15874" max="15874" width="19.5703125" style="40" customWidth="1"/>
    <col min="15875" max="15875" width="17.140625" style="40" customWidth="1"/>
    <col min="15876" max="15876" width="15.5703125" style="40" customWidth="1"/>
    <col min="15877" max="15877" width="16.5703125" style="40" customWidth="1"/>
    <col min="15878" max="15878" width="18.5703125" style="40" customWidth="1"/>
    <col min="15879" max="15879" width="18.85546875" style="40" customWidth="1"/>
    <col min="15880" max="15880" width="17.42578125" style="40" customWidth="1"/>
    <col min="15881" max="15881" width="3.42578125" style="40" customWidth="1"/>
    <col min="15882" max="16128" width="11.42578125" style="40"/>
    <col min="16129" max="16129" width="79.140625" style="40" bestFit="1" customWidth="1"/>
    <col min="16130" max="16130" width="19.5703125" style="40" customWidth="1"/>
    <col min="16131" max="16131" width="17.140625" style="40" customWidth="1"/>
    <col min="16132" max="16132" width="15.5703125" style="40" customWidth="1"/>
    <col min="16133" max="16133" width="16.5703125" style="40" customWidth="1"/>
    <col min="16134" max="16134" width="18.5703125" style="40" customWidth="1"/>
    <col min="16135" max="16135" width="18.85546875" style="40" customWidth="1"/>
    <col min="16136" max="16136" width="17.42578125" style="40" customWidth="1"/>
    <col min="16137" max="16137" width="3.42578125" style="40" customWidth="1"/>
    <col min="16138" max="16384" width="11.42578125" style="40"/>
  </cols>
  <sheetData>
    <row r="1" spans="1:13" ht="26.25" customHeight="1" thickBot="1">
      <c r="A1" s="163" t="s">
        <v>144</v>
      </c>
    </row>
    <row r="2" spans="1:13" ht="21" thickBot="1">
      <c r="A2" s="165" t="s">
        <v>125</v>
      </c>
      <c r="B2" s="166"/>
      <c r="C2" s="166"/>
      <c r="D2" s="166"/>
      <c r="E2" s="166"/>
      <c r="F2" s="166"/>
      <c r="G2" s="166"/>
      <c r="H2" s="166"/>
      <c r="I2" s="166"/>
    </row>
    <row r="3" spans="1:13" ht="20.25">
      <c r="A3" s="167" t="s">
        <v>136</v>
      </c>
      <c r="B3" s="167"/>
      <c r="C3" s="167"/>
      <c r="D3" s="167"/>
      <c r="E3" s="167"/>
      <c r="F3" s="167"/>
      <c r="G3" s="167"/>
      <c r="H3" s="167"/>
      <c r="I3" s="167"/>
    </row>
    <row r="4" spans="1:13" ht="16.5" customHeight="1">
      <c r="A4" s="41"/>
      <c r="B4" s="41"/>
      <c r="C4" s="41"/>
      <c r="D4" s="41"/>
      <c r="E4" s="41"/>
      <c r="F4" s="41"/>
      <c r="G4" s="41"/>
      <c r="H4" s="41"/>
    </row>
    <row r="5" spans="1:13" s="54" customFormat="1" ht="45.75" customHeight="1">
      <c r="A5" s="55" t="s">
        <v>36</v>
      </c>
      <c r="B5" s="56" t="s">
        <v>37</v>
      </c>
      <c r="C5" s="56" t="s">
        <v>38</v>
      </c>
      <c r="D5" s="56" t="s">
        <v>39</v>
      </c>
      <c r="E5" s="56" t="s">
        <v>40</v>
      </c>
      <c r="F5" s="56" t="s">
        <v>41</v>
      </c>
      <c r="G5" s="56" t="s">
        <v>42</v>
      </c>
      <c r="H5" s="56" t="s">
        <v>40</v>
      </c>
      <c r="I5" s="2"/>
    </row>
    <row r="6" spans="1:13" s="54" customFormat="1" ht="15">
      <c r="A6" s="57" t="s">
        <v>134</v>
      </c>
      <c r="B6" s="57"/>
      <c r="C6" s="57"/>
    </row>
    <row r="7" spans="1:13" s="54" customFormat="1" ht="15">
      <c r="A7" s="58" t="s">
        <v>43</v>
      </c>
      <c r="B7" s="59">
        <f>'[6]Summary '!$C$9</f>
        <v>46178.509999999995</v>
      </c>
      <c r="C7" s="60">
        <v>4648120</v>
      </c>
      <c r="D7" s="60">
        <f>'[6]Summary '!$C$31-'[7]Summary '!$C$9</f>
        <v>4365648.3000000007</v>
      </c>
      <c r="E7" s="60">
        <f>D7-C7</f>
        <v>-282471.69999999925</v>
      </c>
      <c r="F7" s="60">
        <f>C7</f>
        <v>4648120</v>
      </c>
      <c r="G7" s="60">
        <f>'[8]Summary '!$C$31+'[8]Summary '!$D$31-'[8]Summary '!$C$9-'[8]Summary '!$D$9</f>
        <v>3043273.330000001</v>
      </c>
      <c r="H7" s="60">
        <f>G7-F7</f>
        <v>-1604846.669999999</v>
      </c>
    </row>
    <row r="8" spans="1:13" s="54" customFormat="1" ht="15">
      <c r="A8" s="58" t="s">
        <v>44</v>
      </c>
      <c r="B8" s="59"/>
      <c r="C8" s="60">
        <v>220000</v>
      </c>
      <c r="D8" s="60">
        <f>'[6]Summary '!$D$31+'[6]Summary '!$H$31</f>
        <v>136045.20000000001</v>
      </c>
      <c r="E8" s="60">
        <f>D8-C8</f>
        <v>-83954.799999999988</v>
      </c>
      <c r="F8" s="60">
        <f>C8</f>
        <v>220000</v>
      </c>
      <c r="G8" s="60">
        <f>'[8]Summary '!$E$31+'[8]Summary '!$I$31+-'[8]Summary '!$E$9-'[8]Summary '!$I$9</f>
        <v>51086.49000000002</v>
      </c>
      <c r="H8" s="60">
        <f>G8-F8</f>
        <v>-168913.50999999998</v>
      </c>
    </row>
    <row r="9" spans="1:13" s="54" customFormat="1" ht="15">
      <c r="A9" s="58" t="s">
        <v>45</v>
      </c>
      <c r="B9" s="59"/>
      <c r="C9" s="60">
        <v>18500</v>
      </c>
      <c r="D9" s="60">
        <f>'[6]Summary '!$E$31+'[6]Summary '!$I$31+'[6]Summary '!$J$31</f>
        <v>102778.61000000002</v>
      </c>
      <c r="E9" s="60">
        <f>D9-C9</f>
        <v>84278.610000000015</v>
      </c>
      <c r="F9" s="60">
        <f>C9</f>
        <v>18500</v>
      </c>
      <c r="G9" s="60">
        <f>'[8]Summary '!$F$31+'[8]Summary '!$J$31+'[8]Summary '!$K$31-'[8]Summary '!$K$9-'[8]Summary '!$J$9-'[8]Summary '!$F$9</f>
        <v>74137.299999999988</v>
      </c>
      <c r="H9" s="60">
        <f>G9-F9</f>
        <v>55637.299999999988</v>
      </c>
    </row>
    <row r="10" spans="1:13" s="54" customFormat="1" ht="15">
      <c r="A10" s="58" t="s">
        <v>46</v>
      </c>
      <c r="B10" s="59"/>
      <c r="C10" s="60"/>
      <c r="D10" s="60">
        <f>'[9]9. 2006A SM Avg Nt Fix Ass &amp;UCC'!C56</f>
        <v>0</v>
      </c>
      <c r="E10" s="60">
        <f>D10-C10</f>
        <v>0</v>
      </c>
      <c r="F10" s="60"/>
      <c r="G10" s="60"/>
      <c r="H10" s="60">
        <f>G10-F10</f>
        <v>0</v>
      </c>
    </row>
    <row r="11" spans="1:13" s="54" customFormat="1" ht="15">
      <c r="A11" s="58" t="s">
        <v>135</v>
      </c>
      <c r="B11" s="59"/>
      <c r="C11" s="59"/>
      <c r="D11" s="59"/>
      <c r="E11" s="59">
        <f>D11-C11</f>
        <v>0</v>
      </c>
      <c r="F11" s="59"/>
      <c r="G11" s="59"/>
      <c r="H11" s="60">
        <f>G11-F11</f>
        <v>0</v>
      </c>
    </row>
    <row r="12" spans="1:13" s="54" customFormat="1" ht="15">
      <c r="A12" s="57" t="s">
        <v>47</v>
      </c>
      <c r="B12" s="61">
        <f t="shared" ref="B12:H12" si="0">SUM(B7:B11)</f>
        <v>46178.509999999995</v>
      </c>
      <c r="C12" s="61">
        <f t="shared" si="0"/>
        <v>4886620</v>
      </c>
      <c r="D12" s="61">
        <f t="shared" si="0"/>
        <v>4604472.1100000013</v>
      </c>
      <c r="E12" s="61">
        <f t="shared" si="0"/>
        <v>-282147.8899999992</v>
      </c>
      <c r="F12" s="61">
        <f t="shared" si="0"/>
        <v>4886620</v>
      </c>
      <c r="G12" s="61">
        <f t="shared" si="0"/>
        <v>3168497.120000001</v>
      </c>
      <c r="H12" s="61">
        <f t="shared" si="0"/>
        <v>-1718122.879999999</v>
      </c>
      <c r="J12" s="62"/>
      <c r="K12" s="63"/>
      <c r="L12" s="62"/>
      <c r="M12" s="62"/>
    </row>
    <row r="13" spans="1:13" s="54" customFormat="1" ht="15">
      <c r="A13" s="57"/>
      <c r="B13" s="64"/>
      <c r="C13" s="65"/>
      <c r="D13" s="65"/>
      <c r="E13" s="65"/>
      <c r="F13" s="65"/>
      <c r="G13" s="65"/>
      <c r="H13" s="65"/>
    </row>
    <row r="14" spans="1:13" s="54" customFormat="1" ht="15">
      <c r="A14" s="66" t="s">
        <v>48</v>
      </c>
      <c r="B14" s="64"/>
      <c r="C14" s="65"/>
      <c r="D14" s="65"/>
      <c r="E14" s="65"/>
      <c r="F14" s="65"/>
      <c r="G14" s="65"/>
      <c r="H14" s="65"/>
    </row>
    <row r="15" spans="1:13" s="54" customFormat="1" ht="15">
      <c r="B15" s="59"/>
      <c r="C15" s="59"/>
      <c r="D15" s="59"/>
      <c r="E15" s="59"/>
      <c r="F15" s="59"/>
      <c r="G15" s="59"/>
      <c r="H15" s="59"/>
    </row>
    <row r="16" spans="1:13" s="54" customFormat="1" ht="15">
      <c r="A16" s="67" t="s">
        <v>49</v>
      </c>
      <c r="B16" s="59"/>
      <c r="C16" s="59"/>
      <c r="D16" s="59"/>
      <c r="E16" s="59"/>
      <c r="F16" s="59"/>
      <c r="G16" s="59"/>
      <c r="H16" s="59"/>
    </row>
    <row r="17" spans="1:14" s="54" customFormat="1" ht="15">
      <c r="A17" s="58" t="s">
        <v>50</v>
      </c>
      <c r="B17" s="59"/>
      <c r="C17" s="59"/>
      <c r="D17" s="59"/>
      <c r="E17" s="59"/>
      <c r="F17" s="59">
        <f>C17</f>
        <v>0</v>
      </c>
      <c r="G17" s="59"/>
      <c r="H17" s="59"/>
    </row>
    <row r="18" spans="1:14" s="54" customFormat="1" ht="15">
      <c r="A18" s="58" t="s">
        <v>51</v>
      </c>
      <c r="B18" s="59"/>
      <c r="C18" s="59"/>
      <c r="D18" s="59"/>
      <c r="E18" s="59"/>
      <c r="F18" s="59">
        <f>C18</f>
        <v>0</v>
      </c>
      <c r="G18" s="59"/>
      <c r="H18" s="59"/>
    </row>
    <row r="19" spans="1:14" s="54" customFormat="1" ht="15">
      <c r="A19" s="58" t="s">
        <v>52</v>
      </c>
      <c r="B19" s="59"/>
      <c r="C19" s="59">
        <f>55000</f>
        <v>55000</v>
      </c>
      <c r="D19" s="59">
        <f>'[10]Oper Job Numbers-2007 Act'!$O$20+'[10]Oper Job Numbers-2007 Act'!$O$25+'[10]Oper Job Numbers-2007 Act'!$O$33+'[10]Oper Job Numbers-2007 Act'!$O$44</f>
        <v>9964.69</v>
      </c>
      <c r="E19" s="60">
        <f>D19-C19</f>
        <v>-45035.31</v>
      </c>
      <c r="F19" s="60">
        <f>C19</f>
        <v>55000</v>
      </c>
      <c r="G19" s="60">
        <f>'[10]Oper Job Numbers-2008 Act'!$O$23+'[10]Oper Job Numbers-2008 Act'!$O$31+'[10]Oper Job Numbers-2008 Act'!$O$39</f>
        <v>50975.34</v>
      </c>
      <c r="H19" s="60">
        <f>G19-F19</f>
        <v>-4024.6600000000035</v>
      </c>
    </row>
    <row r="20" spans="1:14" s="54" customFormat="1" ht="15">
      <c r="A20" s="58" t="s">
        <v>53</v>
      </c>
      <c r="B20" s="59"/>
      <c r="C20" s="59">
        <v>122000</v>
      </c>
      <c r="D20" s="59">
        <f>'[10]Oper Job Numbers-2007 Act'!$O$12</f>
        <v>22092.6</v>
      </c>
      <c r="E20" s="60">
        <f>D20-C20</f>
        <v>-99907.4</v>
      </c>
      <c r="F20" s="60">
        <f>C20</f>
        <v>122000</v>
      </c>
      <c r="G20" s="60">
        <f>'[10]Oper Job Numbers-2008 Act'!$O$15</f>
        <v>145219.79999999999</v>
      </c>
      <c r="H20" s="60">
        <f>G20-F20</f>
        <v>23219.799999999988</v>
      </c>
    </row>
    <row r="21" spans="1:14" s="54" customFormat="1" ht="15">
      <c r="A21" s="58" t="s">
        <v>54</v>
      </c>
      <c r="B21" s="59"/>
      <c r="C21" s="59">
        <f>302000</f>
        <v>302000</v>
      </c>
      <c r="D21" s="59">
        <f>'[10]Oper Job Numbers-2007 Act'!$O$52+'[10]Oper Job Numbers-2007 Act'!$O$61+'[10]Oper Job Numbers-2007 Act'!$O$69</f>
        <v>124342.15000000001</v>
      </c>
      <c r="E21" s="60">
        <f>D21-C21</f>
        <v>-177657.84999999998</v>
      </c>
      <c r="F21" s="60">
        <f>C21</f>
        <v>302000</v>
      </c>
      <c r="G21" s="60">
        <f>'[10]Oper Job Numbers-2008 Act'!$O$55+'[10]Oper Job Numbers-2008 Act'!$O$65+'[10]Oper Job Numbers-2008 Act'!$O$73+87753</f>
        <v>252366.38</v>
      </c>
      <c r="H21" s="60">
        <f>G21-F21</f>
        <v>-49633.619999999995</v>
      </c>
    </row>
    <row r="22" spans="1:14" s="54" customFormat="1" ht="15">
      <c r="A22" s="67" t="s">
        <v>55</v>
      </c>
      <c r="B22" s="68">
        <f t="shared" ref="B22:H22" si="1">SUM(B17:B21)</f>
        <v>0</v>
      </c>
      <c r="C22" s="61">
        <f t="shared" si="1"/>
        <v>479000</v>
      </c>
      <c r="D22" s="61">
        <f t="shared" si="1"/>
        <v>156399.44</v>
      </c>
      <c r="E22" s="61">
        <f t="shared" si="1"/>
        <v>-322600.55999999994</v>
      </c>
      <c r="F22" s="61">
        <f t="shared" si="1"/>
        <v>479000</v>
      </c>
      <c r="G22" s="61">
        <f t="shared" si="1"/>
        <v>448561.52</v>
      </c>
      <c r="H22" s="61">
        <f t="shared" si="1"/>
        <v>-30438.48000000001</v>
      </c>
      <c r="J22" s="62"/>
      <c r="K22" s="63"/>
      <c r="L22" s="62"/>
      <c r="M22" s="62"/>
      <c r="N22" s="62"/>
    </row>
    <row r="23" spans="1:14" s="54" customFormat="1" ht="15">
      <c r="A23" s="67"/>
      <c r="B23" s="64"/>
      <c r="C23" s="64"/>
      <c r="D23" s="64"/>
      <c r="E23" s="64"/>
      <c r="F23" s="64"/>
      <c r="G23" s="64"/>
      <c r="H23" s="64"/>
    </row>
    <row r="24" spans="1:14" s="54" customFormat="1" ht="15">
      <c r="A24" s="67" t="s">
        <v>56</v>
      </c>
      <c r="B24" s="64"/>
      <c r="C24" s="64"/>
      <c r="D24" s="64"/>
      <c r="E24" s="64"/>
      <c r="F24" s="64"/>
      <c r="G24" s="64"/>
      <c r="H24" s="64"/>
      <c r="K24" s="69"/>
    </row>
    <row r="25" spans="1:14" s="54" customFormat="1" ht="15">
      <c r="A25" s="58" t="s">
        <v>43</v>
      </c>
      <c r="B25" s="59">
        <f>'[11]2006'!$O$8</f>
        <v>925.49</v>
      </c>
      <c r="C25" s="60">
        <v>180000</v>
      </c>
      <c r="D25" s="60">
        <f>'[11]2007'!$M$8</f>
        <v>148053.63999999998</v>
      </c>
      <c r="E25" s="60">
        <f t="shared" ref="E25:E27" si="2">D25-C25</f>
        <v>-31946.360000000015</v>
      </c>
      <c r="F25" s="60">
        <f>C25</f>
        <v>180000</v>
      </c>
      <c r="G25" s="60">
        <f>'[11]2008'!$N$8</f>
        <v>396439.67499999999</v>
      </c>
      <c r="H25" s="60">
        <f t="shared" ref="H25:H28" si="3">G25-F25</f>
        <v>216439.67499999999</v>
      </c>
    </row>
    <row r="26" spans="1:14" s="54" customFormat="1" ht="15">
      <c r="A26" s="58" t="s">
        <v>44</v>
      </c>
      <c r="B26" s="59"/>
      <c r="C26" s="60"/>
      <c r="D26" s="60">
        <f>'[11]2007'!$M$9+'[11]2007'!$M$11</f>
        <v>11188.965</v>
      </c>
      <c r="E26" s="60">
        <f t="shared" si="2"/>
        <v>11188.965</v>
      </c>
      <c r="F26" s="60"/>
      <c r="G26" s="60">
        <f>'[11]2008'!$N$9+'[11]2008'!$N$11</f>
        <v>27545.904999999999</v>
      </c>
      <c r="H26" s="60">
        <f t="shared" si="3"/>
        <v>27545.904999999999</v>
      </c>
    </row>
    <row r="27" spans="1:14" s="54" customFormat="1" ht="15">
      <c r="A27" s="58" t="s">
        <v>45</v>
      </c>
      <c r="B27" s="59"/>
      <c r="C27" s="60"/>
      <c r="D27" s="60">
        <f>'[11]2007'!$M$10+'[11]2007'!$M$12</f>
        <v>16232.570000000002</v>
      </c>
      <c r="E27" s="60">
        <f t="shared" si="2"/>
        <v>16232.570000000002</v>
      </c>
      <c r="F27" s="60"/>
      <c r="G27" s="60">
        <f>'[11]2008'!$N$10+'[11]2008'!$N$12</f>
        <v>45080.684999999998</v>
      </c>
      <c r="H27" s="60">
        <f t="shared" si="3"/>
        <v>45080.684999999998</v>
      </c>
    </row>
    <row r="28" spans="1:14" s="54" customFormat="1" ht="15">
      <c r="A28" s="58" t="s">
        <v>46</v>
      </c>
      <c r="B28" s="59"/>
      <c r="C28" s="60"/>
      <c r="D28" s="60"/>
      <c r="E28" s="60"/>
      <c r="F28" s="60"/>
      <c r="G28" s="60"/>
      <c r="H28" s="60">
        <f t="shared" si="3"/>
        <v>0</v>
      </c>
    </row>
    <row r="29" spans="1:14" s="54" customFormat="1" ht="15">
      <c r="A29" s="58" t="s">
        <v>135</v>
      </c>
      <c r="B29" s="59"/>
      <c r="C29" s="59"/>
      <c r="D29" s="59"/>
      <c r="E29" s="59"/>
      <c r="F29" s="59"/>
      <c r="G29" s="59"/>
      <c r="H29" s="59"/>
    </row>
    <row r="30" spans="1:14" s="54" customFormat="1" ht="15">
      <c r="A30" s="67" t="s">
        <v>57</v>
      </c>
      <c r="B30" s="61">
        <f>SUM(B25:B29)</f>
        <v>925.49</v>
      </c>
      <c r="C30" s="61">
        <f>SUM(C25:C29)</f>
        <v>180000</v>
      </c>
      <c r="D30" s="61">
        <f>SUM(D25:D29)</f>
        <v>175475.17499999999</v>
      </c>
      <c r="E30" s="61">
        <f>SUM(E25:E29)</f>
        <v>-4524.8250000000135</v>
      </c>
      <c r="F30" s="61">
        <f t="shared" ref="F30:H30" si="4">SUM(F25:F29)</f>
        <v>180000</v>
      </c>
      <c r="G30" s="61">
        <f t="shared" si="4"/>
        <v>469066.26499999996</v>
      </c>
      <c r="H30" s="61">
        <f t="shared" si="4"/>
        <v>289066.26500000001</v>
      </c>
      <c r="K30" s="63"/>
    </row>
    <row r="31" spans="1:14">
      <c r="A31" s="44"/>
      <c r="B31" s="42"/>
      <c r="C31" s="42"/>
      <c r="D31" s="42"/>
      <c r="E31" s="42"/>
      <c r="F31" s="42"/>
      <c r="G31" s="42"/>
      <c r="H31" s="42"/>
    </row>
    <row r="32" spans="1:14">
      <c r="A32" s="44"/>
      <c r="B32" s="42"/>
      <c r="C32" s="42"/>
      <c r="D32" s="42"/>
      <c r="E32" s="42"/>
      <c r="F32" s="42"/>
      <c r="G32" s="42"/>
      <c r="H32" s="42"/>
    </row>
    <row r="33" spans="1:11">
      <c r="A33" s="44"/>
      <c r="B33" s="42"/>
      <c r="C33" s="42"/>
      <c r="D33" s="42"/>
      <c r="E33" s="42"/>
      <c r="F33" s="42"/>
      <c r="G33" s="42"/>
      <c r="H33" s="42"/>
      <c r="K33" s="45"/>
    </row>
    <row r="34" spans="1:11">
      <c r="A34" s="44"/>
      <c r="B34" s="42"/>
      <c r="C34" s="42"/>
      <c r="D34" s="42"/>
      <c r="E34" s="42"/>
      <c r="F34" s="42"/>
      <c r="G34" s="42"/>
      <c r="H34" s="42"/>
    </row>
    <row r="35" spans="1:11">
      <c r="A35" s="44"/>
      <c r="B35" s="42"/>
      <c r="C35" s="42"/>
      <c r="D35" s="42"/>
      <c r="E35" s="42"/>
      <c r="F35" s="42"/>
      <c r="G35" s="42"/>
      <c r="H35" s="42"/>
    </row>
    <row r="36" spans="1:11">
      <c r="A36" s="44"/>
      <c r="B36" s="42"/>
      <c r="C36" s="42"/>
      <c r="D36" s="42"/>
      <c r="E36" s="42"/>
      <c r="F36" s="42"/>
      <c r="G36" s="42"/>
      <c r="H36" s="42"/>
    </row>
    <row r="37" spans="1:11">
      <c r="A37" s="43" t="s">
        <v>48</v>
      </c>
      <c r="B37" s="42"/>
      <c r="D37" s="42"/>
      <c r="E37" s="42"/>
      <c r="F37" s="42"/>
      <c r="G37" s="42"/>
      <c r="H37" s="42"/>
    </row>
    <row r="38" spans="1:11">
      <c r="A38" s="44"/>
      <c r="B38" s="42"/>
      <c r="C38" s="42"/>
      <c r="D38" s="42"/>
      <c r="E38" s="42"/>
      <c r="F38" s="42"/>
      <c r="G38" s="42"/>
      <c r="H38" s="42"/>
    </row>
    <row r="40" spans="1:11">
      <c r="A40" s="46" t="s">
        <v>92</v>
      </c>
      <c r="B40" s="47" t="s">
        <v>93</v>
      </c>
      <c r="C40" s="48"/>
      <c r="D40" s="40" t="s">
        <v>98</v>
      </c>
      <c r="E40" s="47" t="s">
        <v>94</v>
      </c>
      <c r="F40" s="47" t="s">
        <v>95</v>
      </c>
      <c r="G40" s="48"/>
      <c r="H40" s="49"/>
    </row>
    <row r="41" spans="1:11">
      <c r="A41" s="50" t="s">
        <v>129</v>
      </c>
      <c r="B41" s="51">
        <v>15</v>
      </c>
      <c r="C41" s="48" t="s">
        <v>96</v>
      </c>
      <c r="D41" s="52">
        <f>1/B41</f>
        <v>6.6666666666666666E-2</v>
      </c>
      <c r="E41" s="51">
        <v>47</v>
      </c>
      <c r="F41" s="51">
        <v>8</v>
      </c>
      <c r="G41" s="48" t="s">
        <v>97</v>
      </c>
      <c r="H41" s="49"/>
    </row>
    <row r="42" spans="1:11">
      <c r="A42" s="50" t="s">
        <v>130</v>
      </c>
      <c r="B42" s="51">
        <v>5</v>
      </c>
      <c r="C42" s="48" t="s">
        <v>96</v>
      </c>
      <c r="D42" s="52">
        <f t="shared" ref="D42:D45" si="5">1/B42</f>
        <v>0.2</v>
      </c>
      <c r="E42" s="51">
        <v>45</v>
      </c>
      <c r="F42" s="51">
        <v>45</v>
      </c>
      <c r="G42" s="48" t="s">
        <v>97</v>
      </c>
      <c r="H42" s="49"/>
    </row>
    <row r="43" spans="1:11">
      <c r="A43" s="50" t="s">
        <v>131</v>
      </c>
      <c r="B43" s="51">
        <v>3</v>
      </c>
      <c r="C43" s="48" t="s">
        <v>96</v>
      </c>
      <c r="D43" s="52">
        <f t="shared" si="5"/>
        <v>0.33333333333333331</v>
      </c>
      <c r="E43" s="51">
        <v>45</v>
      </c>
      <c r="F43" s="51">
        <v>45</v>
      </c>
      <c r="G43" s="48" t="s">
        <v>97</v>
      </c>
      <c r="H43" s="49"/>
    </row>
    <row r="44" spans="1:11">
      <c r="A44" s="50" t="s">
        <v>132</v>
      </c>
      <c r="B44" s="51">
        <v>10</v>
      </c>
      <c r="C44" s="48" t="s">
        <v>96</v>
      </c>
      <c r="D44" s="52">
        <f t="shared" si="5"/>
        <v>0.1</v>
      </c>
      <c r="E44" s="51">
        <v>8</v>
      </c>
      <c r="F44" s="51">
        <v>20</v>
      </c>
      <c r="G44" s="48" t="s">
        <v>97</v>
      </c>
    </row>
    <row r="45" spans="1:11">
      <c r="A45" s="53" t="s">
        <v>133</v>
      </c>
      <c r="B45" s="51">
        <v>10</v>
      </c>
      <c r="C45" s="48" t="s">
        <v>96</v>
      </c>
      <c r="D45" s="52">
        <f t="shared" si="5"/>
        <v>0.1</v>
      </c>
      <c r="E45" s="51">
        <v>8</v>
      </c>
      <c r="F45" s="51">
        <v>20</v>
      </c>
      <c r="G45" s="48" t="s">
        <v>97</v>
      </c>
    </row>
  </sheetData>
  <mergeCells count="2">
    <mergeCell ref="A2:I2"/>
    <mergeCell ref="A3:I3"/>
  </mergeCells>
  <pageMargins left="0.75" right="0.75" top="1" bottom="1" header="0.5" footer="0.5"/>
  <pageSetup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tabSelected="1" zoomScaleNormal="100" zoomScaleSheetLayoutView="80" workbookViewId="0">
      <selection activeCell="B2" sqref="B2"/>
    </sheetView>
  </sheetViews>
  <sheetFormatPr defaultRowHeight="15"/>
  <cols>
    <col min="1" max="1" width="3.140625" style="1" bestFit="1" customWidth="1"/>
    <col min="2" max="2" width="32" style="2" bestFit="1" customWidth="1"/>
    <col min="3" max="3" width="14.5703125" style="2" bestFit="1" customWidth="1"/>
    <col min="4" max="4" width="14" style="2" customWidth="1"/>
    <col min="5" max="6" width="16.5703125" style="2" customWidth="1"/>
    <col min="7" max="16384" width="9.140625" style="2"/>
  </cols>
  <sheetData>
    <row r="1" spans="2:7" ht="15.75">
      <c r="B1" s="168" t="s">
        <v>144</v>
      </c>
      <c r="C1" s="168"/>
      <c r="D1" s="168"/>
      <c r="E1" s="168"/>
      <c r="F1" s="169" t="s">
        <v>141</v>
      </c>
      <c r="G1" s="169"/>
    </row>
    <row r="2" spans="2:7" ht="15.75">
      <c r="C2" s="3"/>
      <c r="D2" s="3"/>
      <c r="E2" s="3"/>
      <c r="F2" s="169" t="s">
        <v>142</v>
      </c>
      <c r="G2" s="169"/>
    </row>
    <row r="3" spans="2:7" ht="15.75">
      <c r="C3" s="3"/>
      <c r="D3" s="3"/>
      <c r="E3" s="3"/>
      <c r="F3" s="169" t="s">
        <v>143</v>
      </c>
      <c r="G3" s="169"/>
    </row>
    <row r="4" spans="2:7" ht="15.75">
      <c r="B4" s="128" t="s">
        <v>126</v>
      </c>
      <c r="C4" s="3"/>
      <c r="D4" s="3"/>
      <c r="E4" s="3"/>
      <c r="F4" s="3"/>
    </row>
    <row r="5" spans="2:7" ht="16.5" thickBot="1">
      <c r="B5" s="129" t="s">
        <v>27</v>
      </c>
      <c r="C5" s="4"/>
      <c r="D5" s="4"/>
      <c r="E5" s="4"/>
      <c r="F5" s="4"/>
    </row>
    <row r="6" spans="2:7">
      <c r="B6" s="5"/>
      <c r="C6" s="6">
        <v>2006</v>
      </c>
      <c r="D6" s="6">
        <v>2007</v>
      </c>
      <c r="E6" s="6">
        <v>2008</v>
      </c>
      <c r="F6" s="7">
        <v>2009</v>
      </c>
    </row>
    <row r="7" spans="2:7">
      <c r="B7" s="8" t="s">
        <v>11</v>
      </c>
      <c r="C7" s="9"/>
      <c r="D7" s="10"/>
      <c r="E7" s="11"/>
      <c r="F7" s="12"/>
    </row>
    <row r="8" spans="2:7">
      <c r="B8" s="13" t="s">
        <v>127</v>
      </c>
      <c r="C8" s="14">
        <f>'SM Var-Rev Req method-123108'!D39</f>
        <v>916.37365499999999</v>
      </c>
      <c r="D8" s="14">
        <f>'SM Var-Rev Req method-123108'!E39</f>
        <v>92470.061841750023</v>
      </c>
      <c r="E8" s="14">
        <f>'SM Var-Rev Req method-123108'!F39</f>
        <v>225340.29760162512</v>
      </c>
      <c r="F8" s="15">
        <f>'SM Var-Rev Req method-123108'!G39</f>
        <v>248733.04707600013</v>
      </c>
    </row>
    <row r="9" spans="2:7">
      <c r="B9" s="13" t="s">
        <v>128</v>
      </c>
      <c r="C9" s="14">
        <f>'SM Var-Rev Req method-123108'!D30</f>
        <v>925.49</v>
      </c>
      <c r="D9" s="14">
        <f>'SM Var-Rev Req method-123108'!E37</f>
        <v>175475.17499999999</v>
      </c>
      <c r="E9" s="14">
        <f>'SM Var-Rev Req method-123108'!F37</f>
        <v>469066.26499999996</v>
      </c>
      <c r="F9" s="15">
        <f>'SM Var-Rev Req method-123108'!G37</f>
        <v>0</v>
      </c>
    </row>
    <row r="10" spans="2:7">
      <c r="B10" s="13" t="s">
        <v>99</v>
      </c>
      <c r="C10" s="14">
        <f>-(' Nt Fix Ass &amp;UCC'!B95+' Nt Fix Ass &amp;UCC'!B108+' Nt Fix Ass &amp;UCC'!B121)</f>
        <v>-1847.1403999999998</v>
      </c>
      <c r="D10" s="14">
        <f>-(' Nt Fix Ass &amp;UCC'!C95+' Nt Fix Ass &amp;UCC'!C108+' Nt Fix Ass &amp;UCC'!C121)</f>
        <v>-228361.28925000003</v>
      </c>
      <c r="E10" s="14">
        <f>-(' Nt Fix Ass &amp;UCC'!D95+' Nt Fix Ass &amp;UCC'!D108+' Nt Fix Ass &amp;UCC'!D121)</f>
        <v>-568477.87912750011</v>
      </c>
      <c r="F10" s="15"/>
    </row>
    <row r="11" spans="2:7">
      <c r="B11" s="13" t="s">
        <v>12</v>
      </c>
      <c r="C11" s="16">
        <f>SUM(C8:C10)</f>
        <v>-5.2767449999996643</v>
      </c>
      <c r="D11" s="16">
        <f>SUM(D8:D10)</f>
        <v>39583.947591749951</v>
      </c>
      <c r="E11" s="16">
        <f>SUM(E8:E10)</f>
        <v>125928.68347412499</v>
      </c>
      <c r="F11" s="17">
        <f>SUM(F8:F10)</f>
        <v>248733.04707600013</v>
      </c>
    </row>
    <row r="12" spans="2:7">
      <c r="B12" s="13" t="s">
        <v>13</v>
      </c>
      <c r="C12" s="18">
        <v>0.36120000000000002</v>
      </c>
      <c r="D12" s="18">
        <v>0.36120000000000002</v>
      </c>
      <c r="E12" s="18">
        <v>0.33500000000000002</v>
      </c>
      <c r="F12" s="19">
        <v>0.33</v>
      </c>
    </row>
    <row r="13" spans="2:7">
      <c r="B13" s="8" t="s">
        <v>14</v>
      </c>
      <c r="C13" s="20">
        <f>C11*C12</f>
        <v>-1.9059602939998788</v>
      </c>
      <c r="D13" s="20">
        <f>D11*D12</f>
        <v>14297.721870140083</v>
      </c>
      <c r="E13" s="20">
        <f>E11*E12</f>
        <v>42186.108963831874</v>
      </c>
      <c r="F13" s="21">
        <f>F11*F12</f>
        <v>82081.905535080048</v>
      </c>
    </row>
    <row r="14" spans="2:7">
      <c r="B14" s="13"/>
      <c r="C14" s="22"/>
      <c r="D14" s="22"/>
      <c r="E14" s="22"/>
      <c r="F14" s="23"/>
    </row>
    <row r="15" spans="2:7">
      <c r="B15" s="8" t="s">
        <v>15</v>
      </c>
      <c r="C15" s="22"/>
      <c r="D15" s="22"/>
      <c r="E15" s="22"/>
      <c r="F15" s="23"/>
    </row>
    <row r="16" spans="2:7">
      <c r="B16" s="13" t="s">
        <v>16</v>
      </c>
      <c r="C16" s="22">
        <f>'SM Var-Rev Req method-123108'!D9</f>
        <v>45253.02</v>
      </c>
      <c r="D16" s="22">
        <f>'SM Var-Rev Req method-123108'!E9</f>
        <v>4474249.955000001</v>
      </c>
      <c r="E16" s="22">
        <f>'SM Var-Rev Req method-123108'!F9</f>
        <v>7173680.8100000024</v>
      </c>
      <c r="F16" s="23">
        <f>'SM Var-Rev Req method-123108'!G9</f>
        <v>6644821.805333335</v>
      </c>
    </row>
    <row r="17" spans="2:6">
      <c r="B17" s="13" t="s">
        <v>17</v>
      </c>
      <c r="C17" s="22">
        <v>0</v>
      </c>
      <c r="D17" s="22">
        <v>0</v>
      </c>
      <c r="E17" s="22">
        <v>0</v>
      </c>
      <c r="F17" s="23">
        <v>0</v>
      </c>
    </row>
    <row r="18" spans="2:6">
      <c r="B18" s="13" t="s">
        <v>18</v>
      </c>
      <c r="C18" s="22">
        <f>C16-C17</f>
        <v>45253.02</v>
      </c>
      <c r="D18" s="22">
        <f>D16-D17</f>
        <v>4474249.955000001</v>
      </c>
      <c r="E18" s="22">
        <f>E16-E17</f>
        <v>7173680.8100000024</v>
      </c>
      <c r="F18" s="23">
        <f>F16-F17</f>
        <v>6644821.805333335</v>
      </c>
    </row>
    <row r="19" spans="2:6">
      <c r="B19" s="13" t="s">
        <v>19</v>
      </c>
      <c r="C19" s="24">
        <v>3.0000000000000001E-3</v>
      </c>
      <c r="D19" s="24">
        <v>2.8500000000000001E-3</v>
      </c>
      <c r="E19" s="24">
        <v>2.2499999999999998E-3</v>
      </c>
      <c r="F19" s="25">
        <v>2.2499999999999998E-3</v>
      </c>
    </row>
    <row r="20" spans="2:6">
      <c r="B20" s="8" t="s">
        <v>20</v>
      </c>
      <c r="C20" s="26">
        <f>C18*C19</f>
        <v>135.75906000000001</v>
      </c>
      <c r="D20" s="26">
        <f>D18*D19</f>
        <v>12751.612371750003</v>
      </c>
      <c r="E20" s="26">
        <f>E18*E19</f>
        <v>16140.781822500005</v>
      </c>
      <c r="F20" s="27">
        <f>F18*F19</f>
        <v>14950.849062000003</v>
      </c>
    </row>
    <row r="21" spans="2:6">
      <c r="B21" s="13"/>
      <c r="C21" s="10"/>
      <c r="D21" s="10"/>
      <c r="E21" s="10"/>
      <c r="F21" s="28"/>
    </row>
    <row r="22" spans="2:6" s="1" customFormat="1">
      <c r="B22" s="29"/>
      <c r="C22" s="30"/>
      <c r="D22" s="30"/>
      <c r="E22" s="30"/>
      <c r="F22" s="31"/>
    </row>
    <row r="23" spans="2:6">
      <c r="B23" s="13"/>
      <c r="C23" s="32" t="s">
        <v>21</v>
      </c>
      <c r="D23" s="32" t="s">
        <v>21</v>
      </c>
      <c r="E23" s="32" t="s">
        <v>21</v>
      </c>
      <c r="F23" s="33" t="s">
        <v>21</v>
      </c>
    </row>
    <row r="24" spans="2:6">
      <c r="B24" s="13" t="s">
        <v>24</v>
      </c>
      <c r="C24" s="14">
        <f>C13</f>
        <v>-1.9059602939998788</v>
      </c>
      <c r="D24" s="14">
        <f>D13</f>
        <v>14297.721870140083</v>
      </c>
      <c r="E24" s="14">
        <f>E13</f>
        <v>42186.108963831874</v>
      </c>
      <c r="F24" s="15">
        <f>F13</f>
        <v>82081.905535080048</v>
      </c>
    </row>
    <row r="25" spans="2:6">
      <c r="B25" s="13" t="s">
        <v>25</v>
      </c>
      <c r="C25" s="14">
        <f>C20</f>
        <v>135.75906000000001</v>
      </c>
      <c r="D25" s="14">
        <f>D20</f>
        <v>12751.612371750003</v>
      </c>
      <c r="E25" s="14">
        <f>E20</f>
        <v>16140.781822500005</v>
      </c>
      <c r="F25" s="15">
        <f>F20</f>
        <v>14950.849062000003</v>
      </c>
    </row>
    <row r="26" spans="2:6">
      <c r="B26" s="13" t="s">
        <v>34</v>
      </c>
      <c r="C26" s="14">
        <f>SUM(C24:C25)</f>
        <v>133.85309970600014</v>
      </c>
      <c r="D26" s="14">
        <f>SUM(D24:D25)</f>
        <v>27049.334241890087</v>
      </c>
      <c r="E26" s="14">
        <f>SUM(E24:E25)</f>
        <v>58326.890786331875</v>
      </c>
      <c r="F26" s="15">
        <f>SUM(F24:F25)</f>
        <v>97032.754597080057</v>
      </c>
    </row>
    <row r="27" spans="2:6">
      <c r="B27" s="13"/>
      <c r="C27" s="14"/>
      <c r="D27" s="14"/>
      <c r="E27" s="14"/>
      <c r="F27" s="15"/>
    </row>
    <row r="28" spans="2:6">
      <c r="B28" s="8" t="s">
        <v>22</v>
      </c>
      <c r="C28" s="18">
        <v>0.36120000000000002</v>
      </c>
      <c r="D28" s="18">
        <v>0.36120000000000002</v>
      </c>
      <c r="E28" s="18">
        <v>0.33500000000000002</v>
      </c>
      <c r="F28" s="19">
        <v>0.33</v>
      </c>
    </row>
    <row r="29" spans="2:6">
      <c r="B29" s="13"/>
      <c r="C29" s="14"/>
      <c r="D29" s="14"/>
      <c r="E29" s="14"/>
      <c r="F29" s="15"/>
    </row>
    <row r="30" spans="2:6">
      <c r="B30" s="8" t="s">
        <v>23</v>
      </c>
      <c r="E30" s="34"/>
      <c r="F30" s="35"/>
    </row>
    <row r="31" spans="2:6">
      <c r="B31" s="13" t="s">
        <v>11</v>
      </c>
      <c r="C31" s="14">
        <f>C24/(1-C28)</f>
        <v>-2.9836573168438929</v>
      </c>
      <c r="D31" s="14">
        <f t="shared" ref="D31" si="0">D24/(1-D28)</f>
        <v>22382.156966405892</v>
      </c>
      <c r="E31" s="14">
        <f>E24/(1-E28)</f>
        <v>63437.757840348677</v>
      </c>
      <c r="F31" s="15">
        <f>F24/(1-F28)</f>
        <v>122510.30676877621</v>
      </c>
    </row>
    <row r="32" spans="2:6">
      <c r="B32" s="13" t="s">
        <v>35</v>
      </c>
      <c r="C32" s="14">
        <f>C25</f>
        <v>135.75906000000001</v>
      </c>
      <c r="D32" s="14">
        <f t="shared" ref="D32:F32" si="1">D25</f>
        <v>12751.612371750003</v>
      </c>
      <c r="E32" s="14">
        <f t="shared" si="1"/>
        <v>16140.781822500005</v>
      </c>
      <c r="F32" s="15">
        <f t="shared" si="1"/>
        <v>14950.849062000003</v>
      </c>
    </row>
    <row r="33" spans="2:6" ht="15.75" thickBot="1">
      <c r="B33" s="36" t="s">
        <v>26</v>
      </c>
      <c r="C33" s="37">
        <f>SUM(C31:C32)</f>
        <v>132.7754026831561</v>
      </c>
      <c r="D33" s="37">
        <f t="shared" ref="D33:F33" si="2">SUM(D31:D32)</f>
        <v>35133.769338155893</v>
      </c>
      <c r="E33" s="37">
        <f t="shared" si="2"/>
        <v>79578.539662848678</v>
      </c>
      <c r="F33" s="38">
        <f t="shared" si="2"/>
        <v>137461.1558307762</v>
      </c>
    </row>
    <row r="34" spans="2:6">
      <c r="B34" s="39"/>
      <c r="C34" s="39"/>
      <c r="D34" s="39"/>
      <c r="E34" s="39"/>
      <c r="F34" s="39"/>
    </row>
  </sheetData>
  <mergeCells count="4">
    <mergeCell ref="B1:E1"/>
    <mergeCell ref="F1:G1"/>
    <mergeCell ref="F3:G3"/>
    <mergeCell ref="F2:G2"/>
  </mergeCells>
  <printOptions horizontalCentered="1"/>
  <pageMargins left="0.74803149606299202" right="0.74803149606299202" top="1.5748031496063" bottom="0.98425196850393704" header="0.511811023622047" footer="0.511811023622047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3"/>
  <dimension ref="A1:H122"/>
  <sheetViews>
    <sheetView tabSelected="1" zoomScaleNormal="100" workbookViewId="0">
      <selection activeCell="B2" sqref="B2"/>
    </sheetView>
  </sheetViews>
  <sheetFormatPr defaultRowHeight="15"/>
  <cols>
    <col min="1" max="1" width="49.28515625" style="133" customWidth="1"/>
    <col min="2" max="2" width="15.7109375" style="133" customWidth="1"/>
    <col min="3" max="5" width="15" style="133" bestFit="1" customWidth="1"/>
    <col min="6" max="6" width="5.28515625" style="132" customWidth="1"/>
    <col min="7" max="7" width="21.5703125" style="132" customWidth="1"/>
    <col min="8" max="255" width="9.140625" style="133"/>
    <col min="256" max="256" width="16.5703125" style="133" customWidth="1"/>
    <col min="257" max="257" width="75.28515625" style="133" bestFit="1" customWidth="1"/>
    <col min="258" max="262" width="15" style="133" bestFit="1" customWidth="1"/>
    <col min="263" max="263" width="19.5703125" style="133" bestFit="1" customWidth="1"/>
    <col min="264" max="511" width="9.140625" style="133"/>
    <col min="512" max="512" width="16.5703125" style="133" customWidth="1"/>
    <col min="513" max="513" width="75.28515625" style="133" bestFit="1" customWidth="1"/>
    <col min="514" max="518" width="15" style="133" bestFit="1" customWidth="1"/>
    <col min="519" max="519" width="19.5703125" style="133" bestFit="1" customWidth="1"/>
    <col min="520" max="767" width="9.140625" style="133"/>
    <col min="768" max="768" width="16.5703125" style="133" customWidth="1"/>
    <col min="769" max="769" width="75.28515625" style="133" bestFit="1" customWidth="1"/>
    <col min="770" max="774" width="15" style="133" bestFit="1" customWidth="1"/>
    <col min="775" max="775" width="19.5703125" style="133" bestFit="1" customWidth="1"/>
    <col min="776" max="1023" width="9.140625" style="133"/>
    <col min="1024" max="1024" width="16.5703125" style="133" customWidth="1"/>
    <col min="1025" max="1025" width="75.28515625" style="133" bestFit="1" customWidth="1"/>
    <col min="1026" max="1030" width="15" style="133" bestFit="1" customWidth="1"/>
    <col min="1031" max="1031" width="19.5703125" style="133" bestFit="1" customWidth="1"/>
    <col min="1032" max="1279" width="9.140625" style="133"/>
    <col min="1280" max="1280" width="16.5703125" style="133" customWidth="1"/>
    <col min="1281" max="1281" width="75.28515625" style="133" bestFit="1" customWidth="1"/>
    <col min="1282" max="1286" width="15" style="133" bestFit="1" customWidth="1"/>
    <col min="1287" max="1287" width="19.5703125" style="133" bestFit="1" customWidth="1"/>
    <col min="1288" max="1535" width="9.140625" style="133"/>
    <col min="1536" max="1536" width="16.5703125" style="133" customWidth="1"/>
    <col min="1537" max="1537" width="75.28515625" style="133" bestFit="1" customWidth="1"/>
    <col min="1538" max="1542" width="15" style="133" bestFit="1" customWidth="1"/>
    <col min="1543" max="1543" width="19.5703125" style="133" bestFit="1" customWidth="1"/>
    <col min="1544" max="1791" width="9.140625" style="133"/>
    <col min="1792" max="1792" width="16.5703125" style="133" customWidth="1"/>
    <col min="1793" max="1793" width="75.28515625" style="133" bestFit="1" customWidth="1"/>
    <col min="1794" max="1798" width="15" style="133" bestFit="1" customWidth="1"/>
    <col min="1799" max="1799" width="19.5703125" style="133" bestFit="1" customWidth="1"/>
    <col min="1800" max="2047" width="9.140625" style="133"/>
    <col min="2048" max="2048" width="16.5703125" style="133" customWidth="1"/>
    <col min="2049" max="2049" width="75.28515625" style="133" bestFit="1" customWidth="1"/>
    <col min="2050" max="2054" width="15" style="133" bestFit="1" customWidth="1"/>
    <col min="2055" max="2055" width="19.5703125" style="133" bestFit="1" customWidth="1"/>
    <col min="2056" max="2303" width="9.140625" style="133"/>
    <col min="2304" max="2304" width="16.5703125" style="133" customWidth="1"/>
    <col min="2305" max="2305" width="75.28515625" style="133" bestFit="1" customWidth="1"/>
    <col min="2306" max="2310" width="15" style="133" bestFit="1" customWidth="1"/>
    <col min="2311" max="2311" width="19.5703125" style="133" bestFit="1" customWidth="1"/>
    <col min="2312" max="2559" width="9.140625" style="133"/>
    <col min="2560" max="2560" width="16.5703125" style="133" customWidth="1"/>
    <col min="2561" max="2561" width="75.28515625" style="133" bestFit="1" customWidth="1"/>
    <col min="2562" max="2566" width="15" style="133" bestFit="1" customWidth="1"/>
    <col min="2567" max="2567" width="19.5703125" style="133" bestFit="1" customWidth="1"/>
    <col min="2568" max="2815" width="9.140625" style="133"/>
    <col min="2816" max="2816" width="16.5703125" style="133" customWidth="1"/>
    <col min="2817" max="2817" width="75.28515625" style="133" bestFit="1" customWidth="1"/>
    <col min="2818" max="2822" width="15" style="133" bestFit="1" customWidth="1"/>
    <col min="2823" max="2823" width="19.5703125" style="133" bestFit="1" customWidth="1"/>
    <col min="2824" max="3071" width="9.140625" style="133"/>
    <col min="3072" max="3072" width="16.5703125" style="133" customWidth="1"/>
    <col min="3073" max="3073" width="75.28515625" style="133" bestFit="1" customWidth="1"/>
    <col min="3074" max="3078" width="15" style="133" bestFit="1" customWidth="1"/>
    <col min="3079" max="3079" width="19.5703125" style="133" bestFit="1" customWidth="1"/>
    <col min="3080" max="3327" width="9.140625" style="133"/>
    <col min="3328" max="3328" width="16.5703125" style="133" customWidth="1"/>
    <col min="3329" max="3329" width="75.28515625" style="133" bestFit="1" customWidth="1"/>
    <col min="3330" max="3334" width="15" style="133" bestFit="1" customWidth="1"/>
    <col min="3335" max="3335" width="19.5703125" style="133" bestFit="1" customWidth="1"/>
    <col min="3336" max="3583" width="9.140625" style="133"/>
    <col min="3584" max="3584" width="16.5703125" style="133" customWidth="1"/>
    <col min="3585" max="3585" width="75.28515625" style="133" bestFit="1" customWidth="1"/>
    <col min="3586" max="3590" width="15" style="133" bestFit="1" customWidth="1"/>
    <col min="3591" max="3591" width="19.5703125" style="133" bestFit="1" customWidth="1"/>
    <col min="3592" max="3839" width="9.140625" style="133"/>
    <col min="3840" max="3840" width="16.5703125" style="133" customWidth="1"/>
    <col min="3841" max="3841" width="75.28515625" style="133" bestFit="1" customWidth="1"/>
    <col min="3842" max="3846" width="15" style="133" bestFit="1" customWidth="1"/>
    <col min="3847" max="3847" width="19.5703125" style="133" bestFit="1" customWidth="1"/>
    <col min="3848" max="4095" width="9.140625" style="133"/>
    <col min="4096" max="4096" width="16.5703125" style="133" customWidth="1"/>
    <col min="4097" max="4097" width="75.28515625" style="133" bestFit="1" customWidth="1"/>
    <col min="4098" max="4102" width="15" style="133" bestFit="1" customWidth="1"/>
    <col min="4103" max="4103" width="19.5703125" style="133" bestFit="1" customWidth="1"/>
    <col min="4104" max="4351" width="9.140625" style="133"/>
    <col min="4352" max="4352" width="16.5703125" style="133" customWidth="1"/>
    <col min="4353" max="4353" width="75.28515625" style="133" bestFit="1" customWidth="1"/>
    <col min="4354" max="4358" width="15" style="133" bestFit="1" customWidth="1"/>
    <col min="4359" max="4359" width="19.5703125" style="133" bestFit="1" customWidth="1"/>
    <col min="4360" max="4607" width="9.140625" style="133"/>
    <col min="4608" max="4608" width="16.5703125" style="133" customWidth="1"/>
    <col min="4609" max="4609" width="75.28515625" style="133" bestFit="1" customWidth="1"/>
    <col min="4610" max="4614" width="15" style="133" bestFit="1" customWidth="1"/>
    <col min="4615" max="4615" width="19.5703125" style="133" bestFit="1" customWidth="1"/>
    <col min="4616" max="4863" width="9.140625" style="133"/>
    <col min="4864" max="4864" width="16.5703125" style="133" customWidth="1"/>
    <col min="4865" max="4865" width="75.28515625" style="133" bestFit="1" customWidth="1"/>
    <col min="4866" max="4870" width="15" style="133" bestFit="1" customWidth="1"/>
    <col min="4871" max="4871" width="19.5703125" style="133" bestFit="1" customWidth="1"/>
    <col min="4872" max="5119" width="9.140625" style="133"/>
    <col min="5120" max="5120" width="16.5703125" style="133" customWidth="1"/>
    <col min="5121" max="5121" width="75.28515625" style="133" bestFit="1" customWidth="1"/>
    <col min="5122" max="5126" width="15" style="133" bestFit="1" customWidth="1"/>
    <col min="5127" max="5127" width="19.5703125" style="133" bestFit="1" customWidth="1"/>
    <col min="5128" max="5375" width="9.140625" style="133"/>
    <col min="5376" max="5376" width="16.5703125" style="133" customWidth="1"/>
    <col min="5377" max="5377" width="75.28515625" style="133" bestFit="1" customWidth="1"/>
    <col min="5378" max="5382" width="15" style="133" bestFit="1" customWidth="1"/>
    <col min="5383" max="5383" width="19.5703125" style="133" bestFit="1" customWidth="1"/>
    <col min="5384" max="5631" width="9.140625" style="133"/>
    <col min="5632" max="5632" width="16.5703125" style="133" customWidth="1"/>
    <col min="5633" max="5633" width="75.28515625" style="133" bestFit="1" customWidth="1"/>
    <col min="5634" max="5638" width="15" style="133" bestFit="1" customWidth="1"/>
    <col min="5639" max="5639" width="19.5703125" style="133" bestFit="1" customWidth="1"/>
    <col min="5640" max="5887" width="9.140625" style="133"/>
    <col min="5888" max="5888" width="16.5703125" style="133" customWidth="1"/>
    <col min="5889" max="5889" width="75.28515625" style="133" bestFit="1" customWidth="1"/>
    <col min="5890" max="5894" width="15" style="133" bestFit="1" customWidth="1"/>
    <col min="5895" max="5895" width="19.5703125" style="133" bestFit="1" customWidth="1"/>
    <col min="5896" max="6143" width="9.140625" style="133"/>
    <col min="6144" max="6144" width="16.5703125" style="133" customWidth="1"/>
    <col min="6145" max="6145" width="75.28515625" style="133" bestFit="1" customWidth="1"/>
    <col min="6146" max="6150" width="15" style="133" bestFit="1" customWidth="1"/>
    <col min="6151" max="6151" width="19.5703125" style="133" bestFit="1" customWidth="1"/>
    <col min="6152" max="6399" width="9.140625" style="133"/>
    <col min="6400" max="6400" width="16.5703125" style="133" customWidth="1"/>
    <col min="6401" max="6401" width="75.28515625" style="133" bestFit="1" customWidth="1"/>
    <col min="6402" max="6406" width="15" style="133" bestFit="1" customWidth="1"/>
    <col min="6407" max="6407" width="19.5703125" style="133" bestFit="1" customWidth="1"/>
    <col min="6408" max="6655" width="9.140625" style="133"/>
    <col min="6656" max="6656" width="16.5703125" style="133" customWidth="1"/>
    <col min="6657" max="6657" width="75.28515625" style="133" bestFit="1" customWidth="1"/>
    <col min="6658" max="6662" width="15" style="133" bestFit="1" customWidth="1"/>
    <col min="6663" max="6663" width="19.5703125" style="133" bestFit="1" customWidth="1"/>
    <col min="6664" max="6911" width="9.140625" style="133"/>
    <col min="6912" max="6912" width="16.5703125" style="133" customWidth="1"/>
    <col min="6913" max="6913" width="75.28515625" style="133" bestFit="1" customWidth="1"/>
    <col min="6914" max="6918" width="15" style="133" bestFit="1" customWidth="1"/>
    <col min="6919" max="6919" width="19.5703125" style="133" bestFit="1" customWidth="1"/>
    <col min="6920" max="7167" width="9.140625" style="133"/>
    <col min="7168" max="7168" width="16.5703125" style="133" customWidth="1"/>
    <col min="7169" max="7169" width="75.28515625" style="133" bestFit="1" customWidth="1"/>
    <col min="7170" max="7174" width="15" style="133" bestFit="1" customWidth="1"/>
    <col min="7175" max="7175" width="19.5703125" style="133" bestFit="1" customWidth="1"/>
    <col min="7176" max="7423" width="9.140625" style="133"/>
    <col min="7424" max="7424" width="16.5703125" style="133" customWidth="1"/>
    <col min="7425" max="7425" width="75.28515625" style="133" bestFit="1" customWidth="1"/>
    <col min="7426" max="7430" width="15" style="133" bestFit="1" customWidth="1"/>
    <col min="7431" max="7431" width="19.5703125" style="133" bestFit="1" customWidth="1"/>
    <col min="7432" max="7679" width="9.140625" style="133"/>
    <col min="7680" max="7680" width="16.5703125" style="133" customWidth="1"/>
    <col min="7681" max="7681" width="75.28515625" style="133" bestFit="1" customWidth="1"/>
    <col min="7682" max="7686" width="15" style="133" bestFit="1" customWidth="1"/>
    <col min="7687" max="7687" width="19.5703125" style="133" bestFit="1" customWidth="1"/>
    <col min="7688" max="7935" width="9.140625" style="133"/>
    <col min="7936" max="7936" width="16.5703125" style="133" customWidth="1"/>
    <col min="7937" max="7937" width="75.28515625" style="133" bestFit="1" customWidth="1"/>
    <col min="7938" max="7942" width="15" style="133" bestFit="1" customWidth="1"/>
    <col min="7943" max="7943" width="19.5703125" style="133" bestFit="1" customWidth="1"/>
    <col min="7944" max="8191" width="9.140625" style="133"/>
    <col min="8192" max="8192" width="16.5703125" style="133" customWidth="1"/>
    <col min="8193" max="8193" width="75.28515625" style="133" bestFit="1" customWidth="1"/>
    <col min="8194" max="8198" width="15" style="133" bestFit="1" customWidth="1"/>
    <col min="8199" max="8199" width="19.5703125" style="133" bestFit="1" customWidth="1"/>
    <col min="8200" max="8447" width="9.140625" style="133"/>
    <col min="8448" max="8448" width="16.5703125" style="133" customWidth="1"/>
    <col min="8449" max="8449" width="75.28515625" style="133" bestFit="1" customWidth="1"/>
    <col min="8450" max="8454" width="15" style="133" bestFit="1" customWidth="1"/>
    <col min="8455" max="8455" width="19.5703125" style="133" bestFit="1" customWidth="1"/>
    <col min="8456" max="8703" width="9.140625" style="133"/>
    <col min="8704" max="8704" width="16.5703125" style="133" customWidth="1"/>
    <col min="8705" max="8705" width="75.28515625" style="133" bestFit="1" customWidth="1"/>
    <col min="8706" max="8710" width="15" style="133" bestFit="1" customWidth="1"/>
    <col min="8711" max="8711" width="19.5703125" style="133" bestFit="1" customWidth="1"/>
    <col min="8712" max="8959" width="9.140625" style="133"/>
    <col min="8960" max="8960" width="16.5703125" style="133" customWidth="1"/>
    <col min="8961" max="8961" width="75.28515625" style="133" bestFit="1" customWidth="1"/>
    <col min="8962" max="8966" width="15" style="133" bestFit="1" customWidth="1"/>
    <col min="8967" max="8967" width="19.5703125" style="133" bestFit="1" customWidth="1"/>
    <col min="8968" max="9215" width="9.140625" style="133"/>
    <col min="9216" max="9216" width="16.5703125" style="133" customWidth="1"/>
    <col min="9217" max="9217" width="75.28515625" style="133" bestFit="1" customWidth="1"/>
    <col min="9218" max="9222" width="15" style="133" bestFit="1" customWidth="1"/>
    <col min="9223" max="9223" width="19.5703125" style="133" bestFit="1" customWidth="1"/>
    <col min="9224" max="9471" width="9.140625" style="133"/>
    <col min="9472" max="9472" width="16.5703125" style="133" customWidth="1"/>
    <col min="9473" max="9473" width="75.28515625" style="133" bestFit="1" customWidth="1"/>
    <col min="9474" max="9478" width="15" style="133" bestFit="1" customWidth="1"/>
    <col min="9479" max="9479" width="19.5703125" style="133" bestFit="1" customWidth="1"/>
    <col min="9480" max="9727" width="9.140625" style="133"/>
    <col min="9728" max="9728" width="16.5703125" style="133" customWidth="1"/>
    <col min="9729" max="9729" width="75.28515625" style="133" bestFit="1" customWidth="1"/>
    <col min="9730" max="9734" width="15" style="133" bestFit="1" customWidth="1"/>
    <col min="9735" max="9735" width="19.5703125" style="133" bestFit="1" customWidth="1"/>
    <col min="9736" max="9983" width="9.140625" style="133"/>
    <col min="9984" max="9984" width="16.5703125" style="133" customWidth="1"/>
    <col min="9985" max="9985" width="75.28515625" style="133" bestFit="1" customWidth="1"/>
    <col min="9986" max="9990" width="15" style="133" bestFit="1" customWidth="1"/>
    <col min="9991" max="9991" width="19.5703125" style="133" bestFit="1" customWidth="1"/>
    <col min="9992" max="10239" width="9.140625" style="133"/>
    <col min="10240" max="10240" width="16.5703125" style="133" customWidth="1"/>
    <col min="10241" max="10241" width="75.28515625" style="133" bestFit="1" customWidth="1"/>
    <col min="10242" max="10246" width="15" style="133" bestFit="1" customWidth="1"/>
    <col min="10247" max="10247" width="19.5703125" style="133" bestFit="1" customWidth="1"/>
    <col min="10248" max="10495" width="9.140625" style="133"/>
    <col min="10496" max="10496" width="16.5703125" style="133" customWidth="1"/>
    <col min="10497" max="10497" width="75.28515625" style="133" bestFit="1" customWidth="1"/>
    <col min="10498" max="10502" width="15" style="133" bestFit="1" customWidth="1"/>
    <col min="10503" max="10503" width="19.5703125" style="133" bestFit="1" customWidth="1"/>
    <col min="10504" max="10751" width="9.140625" style="133"/>
    <col min="10752" max="10752" width="16.5703125" style="133" customWidth="1"/>
    <col min="10753" max="10753" width="75.28515625" style="133" bestFit="1" customWidth="1"/>
    <col min="10754" max="10758" width="15" style="133" bestFit="1" customWidth="1"/>
    <col min="10759" max="10759" width="19.5703125" style="133" bestFit="1" customWidth="1"/>
    <col min="10760" max="11007" width="9.140625" style="133"/>
    <col min="11008" max="11008" width="16.5703125" style="133" customWidth="1"/>
    <col min="11009" max="11009" width="75.28515625" style="133" bestFit="1" customWidth="1"/>
    <col min="11010" max="11014" width="15" style="133" bestFit="1" customWidth="1"/>
    <col min="11015" max="11015" width="19.5703125" style="133" bestFit="1" customWidth="1"/>
    <col min="11016" max="11263" width="9.140625" style="133"/>
    <col min="11264" max="11264" width="16.5703125" style="133" customWidth="1"/>
    <col min="11265" max="11265" width="75.28515625" style="133" bestFit="1" customWidth="1"/>
    <col min="11266" max="11270" width="15" style="133" bestFit="1" customWidth="1"/>
    <col min="11271" max="11271" width="19.5703125" style="133" bestFit="1" customWidth="1"/>
    <col min="11272" max="11519" width="9.140625" style="133"/>
    <col min="11520" max="11520" width="16.5703125" style="133" customWidth="1"/>
    <col min="11521" max="11521" width="75.28515625" style="133" bestFit="1" customWidth="1"/>
    <col min="11522" max="11526" width="15" style="133" bestFit="1" customWidth="1"/>
    <col min="11527" max="11527" width="19.5703125" style="133" bestFit="1" customWidth="1"/>
    <col min="11528" max="11775" width="9.140625" style="133"/>
    <col min="11776" max="11776" width="16.5703125" style="133" customWidth="1"/>
    <col min="11777" max="11777" width="75.28515625" style="133" bestFit="1" customWidth="1"/>
    <col min="11778" max="11782" width="15" style="133" bestFit="1" customWidth="1"/>
    <col min="11783" max="11783" width="19.5703125" style="133" bestFit="1" customWidth="1"/>
    <col min="11784" max="12031" width="9.140625" style="133"/>
    <col min="12032" max="12032" width="16.5703125" style="133" customWidth="1"/>
    <col min="12033" max="12033" width="75.28515625" style="133" bestFit="1" customWidth="1"/>
    <col min="12034" max="12038" width="15" style="133" bestFit="1" customWidth="1"/>
    <col min="12039" max="12039" width="19.5703125" style="133" bestFit="1" customWidth="1"/>
    <col min="12040" max="12287" width="9.140625" style="133"/>
    <col min="12288" max="12288" width="16.5703125" style="133" customWidth="1"/>
    <col min="12289" max="12289" width="75.28515625" style="133" bestFit="1" customWidth="1"/>
    <col min="12290" max="12294" width="15" style="133" bestFit="1" customWidth="1"/>
    <col min="12295" max="12295" width="19.5703125" style="133" bestFit="1" customWidth="1"/>
    <col min="12296" max="12543" width="9.140625" style="133"/>
    <col min="12544" max="12544" width="16.5703125" style="133" customWidth="1"/>
    <col min="12545" max="12545" width="75.28515625" style="133" bestFit="1" customWidth="1"/>
    <col min="12546" max="12550" width="15" style="133" bestFit="1" customWidth="1"/>
    <col min="12551" max="12551" width="19.5703125" style="133" bestFit="1" customWidth="1"/>
    <col min="12552" max="12799" width="9.140625" style="133"/>
    <col min="12800" max="12800" width="16.5703125" style="133" customWidth="1"/>
    <col min="12801" max="12801" width="75.28515625" style="133" bestFit="1" customWidth="1"/>
    <col min="12802" max="12806" width="15" style="133" bestFit="1" customWidth="1"/>
    <col min="12807" max="12807" width="19.5703125" style="133" bestFit="1" customWidth="1"/>
    <col min="12808" max="13055" width="9.140625" style="133"/>
    <col min="13056" max="13056" width="16.5703125" style="133" customWidth="1"/>
    <col min="13057" max="13057" width="75.28515625" style="133" bestFit="1" customWidth="1"/>
    <col min="13058" max="13062" width="15" style="133" bestFit="1" customWidth="1"/>
    <col min="13063" max="13063" width="19.5703125" style="133" bestFit="1" customWidth="1"/>
    <col min="13064" max="13311" width="9.140625" style="133"/>
    <col min="13312" max="13312" width="16.5703125" style="133" customWidth="1"/>
    <col min="13313" max="13313" width="75.28515625" style="133" bestFit="1" customWidth="1"/>
    <col min="13314" max="13318" width="15" style="133" bestFit="1" customWidth="1"/>
    <col min="13319" max="13319" width="19.5703125" style="133" bestFit="1" customWidth="1"/>
    <col min="13320" max="13567" width="9.140625" style="133"/>
    <col min="13568" max="13568" width="16.5703125" style="133" customWidth="1"/>
    <col min="13569" max="13569" width="75.28515625" style="133" bestFit="1" customWidth="1"/>
    <col min="13570" max="13574" width="15" style="133" bestFit="1" customWidth="1"/>
    <col min="13575" max="13575" width="19.5703125" style="133" bestFit="1" customWidth="1"/>
    <col min="13576" max="13823" width="9.140625" style="133"/>
    <col min="13824" max="13824" width="16.5703125" style="133" customWidth="1"/>
    <col min="13825" max="13825" width="75.28515625" style="133" bestFit="1" customWidth="1"/>
    <col min="13826" max="13830" width="15" style="133" bestFit="1" customWidth="1"/>
    <col min="13831" max="13831" width="19.5703125" style="133" bestFit="1" customWidth="1"/>
    <col min="13832" max="14079" width="9.140625" style="133"/>
    <col min="14080" max="14080" width="16.5703125" style="133" customWidth="1"/>
    <col min="14081" max="14081" width="75.28515625" style="133" bestFit="1" customWidth="1"/>
    <col min="14082" max="14086" width="15" style="133" bestFit="1" customWidth="1"/>
    <col min="14087" max="14087" width="19.5703125" style="133" bestFit="1" customWidth="1"/>
    <col min="14088" max="14335" width="9.140625" style="133"/>
    <col min="14336" max="14336" width="16.5703125" style="133" customWidth="1"/>
    <col min="14337" max="14337" width="75.28515625" style="133" bestFit="1" customWidth="1"/>
    <col min="14338" max="14342" width="15" style="133" bestFit="1" customWidth="1"/>
    <col min="14343" max="14343" width="19.5703125" style="133" bestFit="1" customWidth="1"/>
    <col min="14344" max="14591" width="9.140625" style="133"/>
    <col min="14592" max="14592" width="16.5703125" style="133" customWidth="1"/>
    <col min="14593" max="14593" width="75.28515625" style="133" bestFit="1" customWidth="1"/>
    <col min="14594" max="14598" width="15" style="133" bestFit="1" customWidth="1"/>
    <col min="14599" max="14599" width="19.5703125" style="133" bestFit="1" customWidth="1"/>
    <col min="14600" max="14847" width="9.140625" style="133"/>
    <col min="14848" max="14848" width="16.5703125" style="133" customWidth="1"/>
    <col min="14849" max="14849" width="75.28515625" style="133" bestFit="1" customWidth="1"/>
    <col min="14850" max="14854" width="15" style="133" bestFit="1" customWidth="1"/>
    <col min="14855" max="14855" width="19.5703125" style="133" bestFit="1" customWidth="1"/>
    <col min="14856" max="15103" width="9.140625" style="133"/>
    <col min="15104" max="15104" width="16.5703125" style="133" customWidth="1"/>
    <col min="15105" max="15105" width="75.28515625" style="133" bestFit="1" customWidth="1"/>
    <col min="15106" max="15110" width="15" style="133" bestFit="1" customWidth="1"/>
    <col min="15111" max="15111" width="19.5703125" style="133" bestFit="1" customWidth="1"/>
    <col min="15112" max="15359" width="9.140625" style="133"/>
    <col min="15360" max="15360" width="16.5703125" style="133" customWidth="1"/>
    <col min="15361" max="15361" width="75.28515625" style="133" bestFit="1" customWidth="1"/>
    <col min="15362" max="15366" width="15" style="133" bestFit="1" customWidth="1"/>
    <col min="15367" max="15367" width="19.5703125" style="133" bestFit="1" customWidth="1"/>
    <col min="15368" max="15615" width="9.140625" style="133"/>
    <col min="15616" max="15616" width="16.5703125" style="133" customWidth="1"/>
    <col min="15617" max="15617" width="75.28515625" style="133" bestFit="1" customWidth="1"/>
    <col min="15618" max="15622" width="15" style="133" bestFit="1" customWidth="1"/>
    <col min="15623" max="15623" width="19.5703125" style="133" bestFit="1" customWidth="1"/>
    <col min="15624" max="15871" width="9.140625" style="133"/>
    <col min="15872" max="15872" width="16.5703125" style="133" customWidth="1"/>
    <col min="15873" max="15873" width="75.28515625" style="133" bestFit="1" customWidth="1"/>
    <col min="15874" max="15878" width="15" style="133" bestFit="1" customWidth="1"/>
    <col min="15879" max="15879" width="19.5703125" style="133" bestFit="1" customWidth="1"/>
    <col min="15880" max="16127" width="9.140625" style="133"/>
    <col min="16128" max="16128" width="16.5703125" style="133" customWidth="1"/>
    <col min="16129" max="16129" width="75.28515625" style="133" bestFit="1" customWidth="1"/>
    <col min="16130" max="16134" width="15" style="133" bestFit="1" customWidth="1"/>
    <col min="16135" max="16135" width="19.5703125" style="133" bestFit="1" customWidth="1"/>
    <col min="16136" max="16384" width="9.140625" style="133"/>
  </cols>
  <sheetData>
    <row r="1" spans="1:8" ht="20.25" customHeight="1">
      <c r="A1" s="159" t="s">
        <v>144</v>
      </c>
      <c r="B1" s="159"/>
      <c r="C1" s="159"/>
      <c r="D1" s="169" t="s">
        <v>141</v>
      </c>
      <c r="E1" s="169"/>
      <c r="H1" s="131"/>
    </row>
    <row r="2" spans="1:8" ht="18.75" customHeight="1">
      <c r="A2" s="155" t="s">
        <v>126</v>
      </c>
      <c r="B2" s="152"/>
      <c r="C2" s="152"/>
      <c r="D2" s="169" t="s">
        <v>142</v>
      </c>
      <c r="E2" s="169"/>
      <c r="H2" s="131"/>
    </row>
    <row r="3" spans="1:8" ht="18.75" customHeight="1">
      <c r="A3" s="156"/>
      <c r="B3" s="153"/>
      <c r="C3" s="153"/>
      <c r="D3" s="169" t="s">
        <v>143</v>
      </c>
      <c r="E3" s="169"/>
      <c r="H3" s="131"/>
    </row>
    <row r="4" spans="1:8" ht="15.75">
      <c r="A4" s="156" t="s">
        <v>139</v>
      </c>
      <c r="B4" s="134"/>
      <c r="C4" s="135"/>
      <c r="D4" s="135"/>
      <c r="E4" s="135"/>
      <c r="H4" s="131"/>
    </row>
    <row r="5" spans="1:8" ht="21" customHeight="1">
      <c r="A5" s="154"/>
      <c r="B5" s="154"/>
      <c r="C5" s="154"/>
      <c r="D5" s="154"/>
      <c r="E5" s="154"/>
      <c r="H5" s="131"/>
    </row>
    <row r="6" spans="1:8" ht="6" customHeight="1">
      <c r="A6" s="136"/>
      <c r="B6" s="136"/>
      <c r="C6" s="136"/>
      <c r="D6" s="136"/>
      <c r="E6" s="136"/>
      <c r="H6" s="131"/>
    </row>
    <row r="7" spans="1:8">
      <c r="A7" s="131"/>
      <c r="B7" s="131"/>
      <c r="C7" s="131"/>
      <c r="D7" s="131"/>
      <c r="E7" s="131"/>
      <c r="H7" s="131"/>
    </row>
    <row r="8" spans="1:8" s="130" customFormat="1" ht="15.75">
      <c r="A8" s="150" t="s">
        <v>58</v>
      </c>
      <c r="B8" s="150"/>
      <c r="C8" s="149"/>
      <c r="D8" s="149"/>
      <c r="E8" s="149"/>
      <c r="F8" s="151"/>
      <c r="G8" s="151"/>
      <c r="H8" s="149"/>
    </row>
    <row r="9" spans="1:8">
      <c r="A9" s="131"/>
      <c r="B9" s="131"/>
      <c r="C9" s="131"/>
      <c r="D9" s="131"/>
      <c r="E9" s="131"/>
      <c r="H9" s="131"/>
    </row>
    <row r="10" spans="1:8">
      <c r="A10" s="137" t="s">
        <v>59</v>
      </c>
      <c r="B10" s="131">
        <v>2006</v>
      </c>
      <c r="C10" s="131">
        <v>2007</v>
      </c>
      <c r="D10" s="131">
        <v>2008</v>
      </c>
      <c r="E10" s="131">
        <v>2009</v>
      </c>
      <c r="H10" s="138"/>
    </row>
    <row r="11" spans="1:8">
      <c r="A11" s="131"/>
      <c r="B11" s="131"/>
      <c r="C11" s="131"/>
      <c r="D11" s="131"/>
      <c r="E11" s="131"/>
      <c r="H11" s="131"/>
    </row>
    <row r="12" spans="1:8">
      <c r="A12" s="131" t="s">
        <v>60</v>
      </c>
      <c r="B12" s="139">
        <v>0</v>
      </c>
      <c r="C12" s="139">
        <f>B14</f>
        <v>46178.509999999995</v>
      </c>
      <c r="D12" s="139">
        <f>C14</f>
        <v>4411826.8100000005</v>
      </c>
      <c r="E12" s="139">
        <f>D14</f>
        <v>7455100.1400000015</v>
      </c>
      <c r="H12" s="131"/>
    </row>
    <row r="13" spans="1:8">
      <c r="A13" s="131" t="s">
        <v>137</v>
      </c>
      <c r="B13" s="140">
        <f>'SM Costs Est vs Actual'!B7</f>
        <v>46178.509999999995</v>
      </c>
      <c r="C13" s="140">
        <f>'SM Costs Est vs Actual'!D7</f>
        <v>4365648.3000000007</v>
      </c>
      <c r="D13" s="140">
        <f>'SM Costs Est vs Actual'!G7</f>
        <v>3043273.330000001</v>
      </c>
      <c r="E13" s="140">
        <v>0</v>
      </c>
      <c r="H13" s="131"/>
    </row>
    <row r="14" spans="1:8">
      <c r="A14" s="131" t="s">
        <v>61</v>
      </c>
      <c r="B14" s="139">
        <f>SUM(B12:B13)</f>
        <v>46178.509999999995</v>
      </c>
      <c r="C14" s="139">
        <f>SUM(C12:C13)</f>
        <v>4411826.8100000005</v>
      </c>
      <c r="D14" s="139">
        <f>SUM(D12:D13)</f>
        <v>7455100.1400000015</v>
      </c>
      <c r="E14" s="139">
        <f>SUM(E12:E13)</f>
        <v>7455100.1400000015</v>
      </c>
      <c r="H14" s="131"/>
    </row>
    <row r="15" spans="1:8">
      <c r="A15" s="131"/>
      <c r="B15" s="141"/>
      <c r="C15" s="141"/>
      <c r="D15" s="141"/>
      <c r="E15" s="141"/>
      <c r="H15" s="131"/>
    </row>
    <row r="16" spans="1:8">
      <c r="A16" s="131" t="s">
        <v>62</v>
      </c>
      <c r="B16" s="139">
        <v>0</v>
      </c>
      <c r="C16" s="139">
        <f>B17</f>
        <v>925.49</v>
      </c>
      <c r="D16" s="139">
        <f>C18</f>
        <v>148979.12999999998</v>
      </c>
      <c r="E16" s="139">
        <f>D18</f>
        <v>545418.80499999993</v>
      </c>
      <c r="H16" s="131"/>
    </row>
    <row r="17" spans="1:8">
      <c r="A17" s="131" t="str">
        <f>"Amortization Year 1 (" &amp; '[12]3.  LDC Assumptions and Data'!$C$50 &amp;" Years  Straight Line)"</f>
        <v>Amortization Year 1 (15 Years  Straight Line)</v>
      </c>
      <c r="B17" s="142">
        <f>'SM Costs Est vs Actual'!B25</f>
        <v>925.49</v>
      </c>
      <c r="C17" s="142">
        <f>'SM Costs Est vs Actual'!D25</f>
        <v>148053.63999999998</v>
      </c>
      <c r="D17" s="142">
        <f>'SM Costs Est vs Actual'!G25</f>
        <v>396439.67499999999</v>
      </c>
      <c r="E17" s="160">
        <f>E13*('SM Costs Est vs Actual'!$D$41*0.5)+(E20*'SM Costs Est vs Actual'!D41)</f>
        <v>460645.42233333347</v>
      </c>
      <c r="H17" s="131"/>
    </row>
    <row r="18" spans="1:8">
      <c r="A18" s="131" t="s">
        <v>63</v>
      </c>
      <c r="B18" s="139">
        <f>SUM(B16:B17)</f>
        <v>925.49</v>
      </c>
      <c r="C18" s="139">
        <f>SUM(C16:C17)</f>
        <v>148979.12999999998</v>
      </c>
      <c r="D18" s="139">
        <f>SUM(D16:D17)</f>
        <v>545418.80499999993</v>
      </c>
      <c r="E18" s="139">
        <f>SUM(E16:E17)</f>
        <v>1006064.2273333333</v>
      </c>
      <c r="H18" s="131"/>
    </row>
    <row r="19" spans="1:8">
      <c r="A19" s="131"/>
      <c r="B19" s="143"/>
      <c r="C19" s="143"/>
      <c r="D19" s="143"/>
      <c r="E19" s="143"/>
      <c r="G19" s="157"/>
      <c r="H19" s="131"/>
    </row>
    <row r="20" spans="1:8">
      <c r="A20" s="131" t="s">
        <v>64</v>
      </c>
      <c r="B20" s="142">
        <f>0</f>
        <v>0</v>
      </c>
      <c r="C20" s="142">
        <f>B21</f>
        <v>45253.02</v>
      </c>
      <c r="D20" s="142">
        <f>C21</f>
        <v>4262847.6800000006</v>
      </c>
      <c r="E20" s="142">
        <f>D21</f>
        <v>6909681.3350000018</v>
      </c>
      <c r="H20" s="131"/>
    </row>
    <row r="21" spans="1:8">
      <c r="A21" s="131" t="s">
        <v>65</v>
      </c>
      <c r="B21" s="139">
        <f>B14-B18</f>
        <v>45253.02</v>
      </c>
      <c r="C21" s="139">
        <f>C14-C18</f>
        <v>4262847.6800000006</v>
      </c>
      <c r="D21" s="139">
        <f>D14-D18</f>
        <v>6909681.3350000018</v>
      </c>
      <c r="E21" s="139">
        <f>E14-E18</f>
        <v>6449035.9126666682</v>
      </c>
      <c r="G21" s="144"/>
    </row>
    <row r="22" spans="1:8" ht="15.75" thickBot="1">
      <c r="A22" s="131" t="s">
        <v>66</v>
      </c>
      <c r="B22" s="145">
        <f>(B21+B20)/2</f>
        <v>22626.51</v>
      </c>
      <c r="C22" s="145">
        <f>(C21+C20)/2</f>
        <v>2154050.35</v>
      </c>
      <c r="D22" s="145">
        <f>(D21+D20)/2</f>
        <v>5586264.5075000012</v>
      </c>
      <c r="E22" s="145">
        <f>(E21+E20)/2</f>
        <v>6679358.623833335</v>
      </c>
      <c r="F22" s="144"/>
    </row>
    <row r="23" spans="1:8">
      <c r="A23" s="131"/>
      <c r="B23" s="141"/>
      <c r="C23" s="141"/>
      <c r="D23" s="141"/>
      <c r="E23" s="131"/>
      <c r="F23" s="146"/>
      <c r="H23" s="131"/>
    </row>
    <row r="24" spans="1:8">
      <c r="A24" s="137" t="s">
        <v>67</v>
      </c>
      <c r="B24" s="131">
        <v>2006</v>
      </c>
      <c r="C24" s="131">
        <v>2007</v>
      </c>
      <c r="D24" s="131">
        <v>2008</v>
      </c>
      <c r="E24" s="131">
        <v>2009</v>
      </c>
      <c r="H24" s="131"/>
    </row>
    <row r="25" spans="1:8">
      <c r="A25" s="131"/>
      <c r="B25" s="131"/>
      <c r="C25" s="131"/>
      <c r="D25" s="131"/>
      <c r="E25" s="131"/>
      <c r="H25" s="131"/>
    </row>
    <row r="26" spans="1:8">
      <c r="A26" s="131" t="s">
        <v>60</v>
      </c>
      <c r="B26" s="139">
        <v>0</v>
      </c>
      <c r="C26" s="139">
        <f>B28</f>
        <v>0</v>
      </c>
      <c r="D26" s="139">
        <f>C28</f>
        <v>136045.20000000001</v>
      </c>
      <c r="E26" s="139">
        <f>D28</f>
        <v>187131.69000000003</v>
      </c>
      <c r="H26" s="131"/>
    </row>
    <row r="27" spans="1:8">
      <c r="A27" s="131" t="s">
        <v>138</v>
      </c>
      <c r="B27" s="140">
        <f>'SM Costs Est vs Actual'!B8</f>
        <v>0</v>
      </c>
      <c r="C27" s="140">
        <f>'SM Costs Est vs Actual'!D8</f>
        <v>136045.20000000001</v>
      </c>
      <c r="D27" s="140">
        <f>'SM Costs Est vs Actual'!G8</f>
        <v>51086.49000000002</v>
      </c>
      <c r="E27" s="140">
        <v>0</v>
      </c>
      <c r="G27" s="144"/>
      <c r="H27" s="131"/>
    </row>
    <row r="28" spans="1:8">
      <c r="A28" s="131" t="s">
        <v>61</v>
      </c>
      <c r="B28" s="139">
        <f>SUM(B26:B27)</f>
        <v>0</v>
      </c>
      <c r="C28" s="139">
        <f>SUM(C26:C27)</f>
        <v>136045.20000000001</v>
      </c>
      <c r="D28" s="139">
        <f>SUM(D26:D27)</f>
        <v>187131.69000000003</v>
      </c>
      <c r="E28" s="139">
        <f>SUM(E26:E27)</f>
        <v>187131.69000000003</v>
      </c>
      <c r="H28" s="131"/>
    </row>
    <row r="29" spans="1:8">
      <c r="A29" s="131"/>
      <c r="B29" s="147"/>
      <c r="C29" s="147"/>
      <c r="D29" s="147"/>
      <c r="E29" s="147"/>
      <c r="H29" s="131"/>
    </row>
    <row r="30" spans="1:8">
      <c r="A30" s="131" t="s">
        <v>62</v>
      </c>
      <c r="B30" s="139">
        <v>0</v>
      </c>
      <c r="C30" s="139">
        <f>B32</f>
        <v>0</v>
      </c>
      <c r="D30" s="139">
        <f>C32</f>
        <v>11188.965</v>
      </c>
      <c r="E30" s="139">
        <f>D32</f>
        <v>38734.869999999995</v>
      </c>
      <c r="H30" s="131"/>
    </row>
    <row r="31" spans="1:8">
      <c r="A31" s="131" t="str">
        <f>"Amortization Year 1 (" &amp; '[12]3.  LDC Assumptions and Data'!$C$51 &amp;" Years  Straight Line)"</f>
        <v>Amortization Year 1 (5 Years  Straight Line)</v>
      </c>
      <c r="B31" s="142">
        <f>B27*('SM Costs Est vs Actual'!$D$42*0.5)</f>
        <v>0</v>
      </c>
      <c r="C31" s="142">
        <f>'SM Costs Est vs Actual'!D26</f>
        <v>11188.965</v>
      </c>
      <c r="D31" s="142">
        <f>'SM Costs Est vs Actual'!G26</f>
        <v>27545.904999999999</v>
      </c>
      <c r="E31" s="160">
        <f>E27*('SM Costs Est vs Actual'!$D$42*0.5)+(E34*'SM Costs Est vs Actual'!$D$42)</f>
        <v>29679.364000000009</v>
      </c>
      <c r="H31" s="131"/>
    </row>
    <row r="32" spans="1:8">
      <c r="A32" s="131" t="s">
        <v>63</v>
      </c>
      <c r="B32" s="139">
        <f>SUM(B30:B31)</f>
        <v>0</v>
      </c>
      <c r="C32" s="139">
        <f>SUM(C30:C31)</f>
        <v>11188.965</v>
      </c>
      <c r="D32" s="139">
        <f>SUM(D30:D31)</f>
        <v>38734.869999999995</v>
      </c>
      <c r="E32" s="139">
        <f>SUM(E30:E31)</f>
        <v>68414.233999999997</v>
      </c>
      <c r="H32" s="131"/>
    </row>
    <row r="33" spans="1:8">
      <c r="A33" s="131"/>
      <c r="B33" s="139"/>
      <c r="C33" s="139"/>
      <c r="D33" s="139"/>
      <c r="E33" s="139"/>
      <c r="H33" s="131"/>
    </row>
    <row r="34" spans="1:8">
      <c r="A34" s="131" t="s">
        <v>64</v>
      </c>
      <c r="B34" s="142">
        <f>0</f>
        <v>0</v>
      </c>
      <c r="C34" s="142">
        <f>0</f>
        <v>0</v>
      </c>
      <c r="D34" s="142">
        <f>C35</f>
        <v>124856.23500000002</v>
      </c>
      <c r="E34" s="142">
        <f>D35</f>
        <v>148396.82000000004</v>
      </c>
      <c r="G34" s="157"/>
      <c r="H34" s="131"/>
    </row>
    <row r="35" spans="1:8">
      <c r="A35" s="131" t="s">
        <v>65</v>
      </c>
      <c r="B35" s="139">
        <f>B28-B32</f>
        <v>0</v>
      </c>
      <c r="C35" s="139">
        <f>C28-C32</f>
        <v>124856.23500000002</v>
      </c>
      <c r="D35" s="139">
        <f>D28-D32</f>
        <v>148396.82000000004</v>
      </c>
      <c r="E35" s="139">
        <f>E28-E32</f>
        <v>118717.45600000003</v>
      </c>
      <c r="G35" s="144"/>
      <c r="H35" s="131"/>
    </row>
    <row r="36" spans="1:8" ht="15.75" thickBot="1">
      <c r="A36" s="131" t="s">
        <v>66</v>
      </c>
      <c r="B36" s="145">
        <f>(B35+B34)/2</f>
        <v>0</v>
      </c>
      <c r="C36" s="145">
        <f>(C35+C34)/2</f>
        <v>62428.117500000008</v>
      </c>
      <c r="D36" s="145">
        <f>(D35+D34)/2</f>
        <v>136626.52750000003</v>
      </c>
      <c r="E36" s="145">
        <f>(E35+E34)/2</f>
        <v>133557.13800000004</v>
      </c>
      <c r="H36" s="131"/>
    </row>
    <row r="37" spans="1:8">
      <c r="A37" s="131"/>
      <c r="B37" s="131"/>
      <c r="C37" s="131"/>
      <c r="D37" s="131"/>
      <c r="E37" s="131"/>
      <c r="H37" s="131"/>
    </row>
    <row r="38" spans="1:8">
      <c r="A38" s="137" t="s">
        <v>68</v>
      </c>
      <c r="B38" s="131">
        <v>2006</v>
      </c>
      <c r="C38" s="131">
        <v>2007</v>
      </c>
      <c r="D38" s="131">
        <v>2008</v>
      </c>
      <c r="E38" s="131">
        <v>2009</v>
      </c>
      <c r="H38" s="131"/>
    </row>
    <row r="39" spans="1:8">
      <c r="A39" s="131"/>
      <c r="B39" s="131"/>
      <c r="C39" s="131"/>
      <c r="D39" s="131"/>
      <c r="E39" s="131"/>
      <c r="G39" s="146"/>
      <c r="H39" s="131"/>
    </row>
    <row r="40" spans="1:8">
      <c r="A40" s="131" t="s">
        <v>60</v>
      </c>
      <c r="B40" s="139">
        <v>0</v>
      </c>
      <c r="C40" s="139">
        <v>0</v>
      </c>
      <c r="D40" s="139">
        <f>C42</f>
        <v>102778.61000000002</v>
      </c>
      <c r="E40" s="139">
        <f>D42</f>
        <v>176915.91</v>
      </c>
      <c r="H40" s="131"/>
    </row>
    <row r="41" spans="1:8">
      <c r="A41" s="131" t="s">
        <v>137</v>
      </c>
      <c r="B41" s="140">
        <f>'SM Costs Est vs Actual'!B9</f>
        <v>0</v>
      </c>
      <c r="C41" s="140">
        <f>'SM Costs Est vs Actual'!D9</f>
        <v>102778.61000000002</v>
      </c>
      <c r="D41" s="140">
        <f>'SM Costs Est vs Actual'!G9</f>
        <v>74137.299999999988</v>
      </c>
      <c r="E41" s="140">
        <v>0</v>
      </c>
      <c r="H41" s="131"/>
    </row>
    <row r="42" spans="1:8">
      <c r="A42" s="131" t="s">
        <v>61</v>
      </c>
      <c r="B42" s="139">
        <f>SUM(B40:B41)</f>
        <v>0</v>
      </c>
      <c r="C42" s="139">
        <f>SUM(C40:C41)</f>
        <v>102778.61000000002</v>
      </c>
      <c r="D42" s="139">
        <f>SUM(D40:D41)</f>
        <v>176915.91</v>
      </c>
      <c r="E42" s="139">
        <f>SUM(E40:E41)</f>
        <v>176915.91</v>
      </c>
      <c r="H42" s="131"/>
    </row>
    <row r="43" spans="1:8">
      <c r="A43" s="131"/>
      <c r="B43" s="147"/>
      <c r="C43" s="147"/>
      <c r="D43" s="147"/>
      <c r="E43" s="147"/>
      <c r="H43" s="131"/>
    </row>
    <row r="44" spans="1:8">
      <c r="A44" s="131" t="s">
        <v>62</v>
      </c>
      <c r="B44" s="139">
        <v>0</v>
      </c>
      <c r="C44" s="139">
        <v>0</v>
      </c>
      <c r="D44" s="139">
        <f>C46</f>
        <v>16232.570000000002</v>
      </c>
      <c r="E44" s="139">
        <f>D46</f>
        <v>61313.254999999997</v>
      </c>
      <c r="H44" s="131"/>
    </row>
    <row r="45" spans="1:8">
      <c r="A45" s="131" t="str">
        <f>"Amortization Year 1 (" &amp; '[12]3.  LDC Assumptions and Data'!$C$52 &amp;" Years Straight Line)"</f>
        <v>Amortization Year 1 (3 Years Straight Line)</v>
      </c>
      <c r="B45" s="142">
        <f>B41*('SM Costs Est vs Actual'!$D$43*0.5)</f>
        <v>0</v>
      </c>
      <c r="C45" s="142">
        <f>'SM Costs Est vs Actual'!D27</f>
        <v>16232.570000000002</v>
      </c>
      <c r="D45" s="142">
        <f>'SM Costs Est vs Actual'!G27</f>
        <v>45080.684999999998</v>
      </c>
      <c r="E45" s="160">
        <f>E41*('SM Costs Est vs Actual'!$D$43*0.5)+(E48*'SM Costs Est vs Actual'!$D$43)</f>
        <v>38534.218333333331</v>
      </c>
      <c r="H45" s="131"/>
    </row>
    <row r="46" spans="1:8">
      <c r="A46" s="131" t="s">
        <v>63</v>
      </c>
      <c r="B46" s="139">
        <f>SUM(B44:B45)</f>
        <v>0</v>
      </c>
      <c r="C46" s="139">
        <f>SUM(C44:C45)</f>
        <v>16232.570000000002</v>
      </c>
      <c r="D46" s="139">
        <f>SUM(D44:D45)</f>
        <v>61313.254999999997</v>
      </c>
      <c r="E46" s="139">
        <f>SUM(E44:E45)</f>
        <v>99847.473333333328</v>
      </c>
      <c r="H46" s="131"/>
    </row>
    <row r="47" spans="1:8">
      <c r="A47" s="131"/>
      <c r="B47" s="139"/>
      <c r="C47" s="139"/>
      <c r="D47" s="139"/>
      <c r="E47" s="139"/>
      <c r="G47" s="157"/>
      <c r="H47" s="131"/>
    </row>
    <row r="48" spans="1:8">
      <c r="A48" s="131" t="s">
        <v>64</v>
      </c>
      <c r="B48" s="142">
        <f>0</f>
        <v>0</v>
      </c>
      <c r="C48" s="142">
        <f>0</f>
        <v>0</v>
      </c>
      <c r="D48" s="142">
        <f>C49</f>
        <v>86546.040000000008</v>
      </c>
      <c r="E48" s="142">
        <f>D49</f>
        <v>115602.655</v>
      </c>
      <c r="G48" s="144"/>
      <c r="H48" s="131"/>
    </row>
    <row r="49" spans="1:8">
      <c r="A49" s="131" t="s">
        <v>65</v>
      </c>
      <c r="B49" s="139">
        <f>B42-B46</f>
        <v>0</v>
      </c>
      <c r="C49" s="139">
        <f>C42-C46</f>
        <v>86546.040000000008</v>
      </c>
      <c r="D49" s="139">
        <f>D42-D46</f>
        <v>115602.655</v>
      </c>
      <c r="E49" s="139">
        <f>E42-E46</f>
        <v>77068.436666666676</v>
      </c>
      <c r="F49" s="144"/>
      <c r="H49" s="131"/>
    </row>
    <row r="50" spans="1:8" ht="15.75" thickBot="1">
      <c r="A50" s="131" t="s">
        <v>66</v>
      </c>
      <c r="B50" s="145">
        <f>(B49+B48)/2</f>
        <v>0</v>
      </c>
      <c r="C50" s="145">
        <f>(C49+C48)/2</f>
        <v>43273.020000000004</v>
      </c>
      <c r="D50" s="145">
        <f>(D49+D48)/2</f>
        <v>101074.3475</v>
      </c>
      <c r="E50" s="145">
        <f>(E49+E48)/2</f>
        <v>96335.545833333337</v>
      </c>
      <c r="H50" s="131"/>
    </row>
    <row r="51" spans="1:8">
      <c r="A51" s="131"/>
      <c r="B51" s="141"/>
      <c r="C51" s="141"/>
      <c r="D51" s="141"/>
      <c r="E51" s="131"/>
      <c r="H51" s="131"/>
    </row>
    <row r="52" spans="1:8">
      <c r="A52" s="131"/>
      <c r="B52" s="141"/>
      <c r="C52" s="141"/>
      <c r="D52" s="141"/>
      <c r="E52" s="131"/>
      <c r="G52" s="158"/>
      <c r="H52" s="131"/>
    </row>
    <row r="53" spans="1:8">
      <c r="A53" s="137" t="s">
        <v>69</v>
      </c>
      <c r="B53" s="131">
        <v>2006</v>
      </c>
      <c r="C53" s="131">
        <v>2007</v>
      </c>
      <c r="D53" s="131">
        <v>2008</v>
      </c>
      <c r="E53" s="131">
        <v>2009</v>
      </c>
      <c r="G53" s="144"/>
      <c r="H53" s="131"/>
    </row>
    <row r="54" spans="1:8">
      <c r="A54" s="131"/>
      <c r="B54" s="131"/>
      <c r="C54" s="131"/>
      <c r="D54" s="131"/>
      <c r="E54" s="131"/>
      <c r="H54" s="131"/>
    </row>
    <row r="55" spans="1:8">
      <c r="A55" s="131" t="s">
        <v>60</v>
      </c>
      <c r="B55" s="139">
        <v>0</v>
      </c>
      <c r="C55" s="139">
        <v>0</v>
      </c>
      <c r="D55" s="139">
        <f>C57</f>
        <v>0</v>
      </c>
      <c r="E55" s="139">
        <f>D57</f>
        <v>0</v>
      </c>
      <c r="H55" s="131"/>
    </row>
    <row r="56" spans="1:8">
      <c r="A56" s="131" t="s">
        <v>137</v>
      </c>
      <c r="B56" s="140">
        <f>'SM Costs Est vs Actual'!B10</f>
        <v>0</v>
      </c>
      <c r="C56" s="140">
        <f>'SM Costs Est vs Actual'!D10</f>
        <v>0</v>
      </c>
      <c r="D56" s="140">
        <f>'SM Costs Est vs Actual'!G10</f>
        <v>0</v>
      </c>
      <c r="E56" s="140">
        <v>0</v>
      </c>
      <c r="H56" s="131"/>
    </row>
    <row r="57" spans="1:8">
      <c r="A57" s="131" t="s">
        <v>61</v>
      </c>
      <c r="B57" s="139">
        <f>SUM(B55:B56)</f>
        <v>0</v>
      </c>
      <c r="C57" s="139">
        <f>SUM(C55:C56)</f>
        <v>0</v>
      </c>
      <c r="D57" s="139">
        <f>SUM(D55:D56)</f>
        <v>0</v>
      </c>
      <c r="E57" s="139">
        <f>SUM(E55:E56)</f>
        <v>0</v>
      </c>
      <c r="H57" s="131"/>
    </row>
    <row r="58" spans="1:8">
      <c r="A58" s="131"/>
      <c r="B58" s="147"/>
      <c r="C58" s="147"/>
      <c r="D58" s="147"/>
      <c r="E58" s="147"/>
      <c r="H58" s="131"/>
    </row>
    <row r="59" spans="1:8">
      <c r="A59" s="131" t="s">
        <v>62</v>
      </c>
      <c r="B59" s="139">
        <v>0</v>
      </c>
      <c r="C59" s="139">
        <v>0</v>
      </c>
      <c r="D59" s="139">
        <f>C61</f>
        <v>0</v>
      </c>
      <c r="E59" s="139">
        <f>D61</f>
        <v>0</v>
      </c>
      <c r="H59" s="131"/>
    </row>
    <row r="60" spans="1:8">
      <c r="A60" s="131" t="str">
        <f>"Amortization Year 1 (" &amp; '[12]3.  LDC Assumptions and Data'!$C$53 &amp;" Years Straight Line)"</f>
        <v>Amortization Year 1 (10 Years Straight Line)</v>
      </c>
      <c r="B60" s="142">
        <f>B56*('SM Costs Est vs Actual'!$D$44*0.5)</f>
        <v>0</v>
      </c>
      <c r="C60" s="142">
        <f>C56*('SM Costs Est vs Actual'!$D$44*0.5)+C63*'SM Costs Est vs Actual'!$D$44</f>
        <v>0</v>
      </c>
      <c r="D60" s="142">
        <f>D56*('SM Costs Est vs Actual'!$D$44*0.5)+D63*'SM Costs Est vs Actual'!$D$44</f>
        <v>0</v>
      </c>
      <c r="E60" s="142">
        <f>E56*('SM Costs Est vs Actual'!$D$44*0.5)+E63*'SM Costs Est vs Actual'!$D$44</f>
        <v>0</v>
      </c>
      <c r="H60" s="131"/>
    </row>
    <row r="61" spans="1:8">
      <c r="A61" s="131" t="s">
        <v>63</v>
      </c>
      <c r="B61" s="139">
        <f>SUM(B59:B60)</f>
        <v>0</v>
      </c>
      <c r="C61" s="139">
        <f>SUM(C59:C60)</f>
        <v>0</v>
      </c>
      <c r="D61" s="139">
        <f>SUM(D59:D60)</f>
        <v>0</v>
      </c>
      <c r="E61" s="139">
        <f>SUM(E59:E60)</f>
        <v>0</v>
      </c>
      <c r="H61" s="131"/>
    </row>
    <row r="62" spans="1:8">
      <c r="A62" s="131"/>
      <c r="B62" s="139"/>
      <c r="C62" s="139"/>
      <c r="D62" s="139"/>
      <c r="E62" s="139"/>
      <c r="H62" s="131"/>
    </row>
    <row r="63" spans="1:8">
      <c r="A63" s="131" t="s">
        <v>64</v>
      </c>
      <c r="B63" s="142">
        <f>0</f>
        <v>0</v>
      </c>
      <c r="C63" s="142">
        <f>0</f>
        <v>0</v>
      </c>
      <c r="D63" s="142">
        <f>C64</f>
        <v>0</v>
      </c>
      <c r="E63" s="142">
        <f>D64</f>
        <v>0</v>
      </c>
      <c r="H63" s="131"/>
    </row>
    <row r="64" spans="1:8">
      <c r="A64" s="131" t="s">
        <v>65</v>
      </c>
      <c r="B64" s="139">
        <f>B57-B61</f>
        <v>0</v>
      </c>
      <c r="C64" s="139">
        <f>C57-C61</f>
        <v>0</v>
      </c>
      <c r="D64" s="139">
        <f>D57-D61</f>
        <v>0</v>
      </c>
      <c r="E64" s="139">
        <f>E57-E61</f>
        <v>0</v>
      </c>
      <c r="H64" s="131"/>
    </row>
    <row r="65" spans="1:8" ht="15.75" thickBot="1">
      <c r="A65" s="131" t="s">
        <v>66</v>
      </c>
      <c r="B65" s="145">
        <f>(B64+B63)/2</f>
        <v>0</v>
      </c>
      <c r="C65" s="145">
        <f>(C64+C63)/2</f>
        <v>0</v>
      </c>
      <c r="D65" s="145">
        <f>(D64+D63)/2</f>
        <v>0</v>
      </c>
      <c r="E65" s="145">
        <f>(E64+E63)/2</f>
        <v>0</v>
      </c>
      <c r="H65" s="131"/>
    </row>
    <row r="66" spans="1:8">
      <c r="A66" s="131"/>
      <c r="B66" s="141"/>
      <c r="C66" s="141"/>
      <c r="D66" s="141"/>
      <c r="E66" s="131"/>
      <c r="H66" s="131"/>
    </row>
    <row r="67" spans="1:8">
      <c r="A67" s="137" t="s">
        <v>70</v>
      </c>
      <c r="B67" s="131">
        <v>2006</v>
      </c>
      <c r="C67" s="131">
        <v>2007</v>
      </c>
      <c r="D67" s="131">
        <v>2008</v>
      </c>
      <c r="E67" s="131">
        <v>2009</v>
      </c>
      <c r="H67" s="131"/>
    </row>
    <row r="68" spans="1:8">
      <c r="A68" s="131"/>
      <c r="B68" s="131"/>
      <c r="C68" s="131"/>
      <c r="D68" s="131"/>
      <c r="E68" s="131"/>
      <c r="H68" s="131"/>
    </row>
    <row r="69" spans="1:8">
      <c r="A69" s="131" t="s">
        <v>60</v>
      </c>
      <c r="B69" s="139">
        <v>0</v>
      </c>
      <c r="C69" s="139">
        <v>0</v>
      </c>
      <c r="D69" s="139">
        <f>C71</f>
        <v>0</v>
      </c>
      <c r="E69" s="139">
        <f>D71</f>
        <v>0</v>
      </c>
      <c r="H69" s="131"/>
    </row>
    <row r="70" spans="1:8">
      <c r="A70" s="131" t="s">
        <v>137</v>
      </c>
      <c r="B70" s="140">
        <f>'SM Costs Est vs Actual'!B11</f>
        <v>0</v>
      </c>
      <c r="C70" s="140">
        <f>'SM Costs Est vs Actual'!D11</f>
        <v>0</v>
      </c>
      <c r="D70" s="140">
        <f>'SM Costs Est vs Actual'!G11</f>
        <v>0</v>
      </c>
      <c r="E70" s="140">
        <v>0</v>
      </c>
      <c r="H70" s="131"/>
    </row>
    <row r="71" spans="1:8">
      <c r="A71" s="131" t="s">
        <v>61</v>
      </c>
      <c r="B71" s="139">
        <f>SUM(B69:B70)</f>
        <v>0</v>
      </c>
      <c r="C71" s="139">
        <f>SUM(C69:C70)</f>
        <v>0</v>
      </c>
      <c r="D71" s="139">
        <f>SUM(D69:D70)</f>
        <v>0</v>
      </c>
      <c r="E71" s="139">
        <f>SUM(E69:E70)</f>
        <v>0</v>
      </c>
      <c r="H71" s="131"/>
    </row>
    <row r="72" spans="1:8">
      <c r="A72" s="131"/>
      <c r="B72" s="147"/>
      <c r="C72" s="147"/>
      <c r="D72" s="147"/>
      <c r="E72" s="147"/>
      <c r="H72" s="131"/>
    </row>
    <row r="73" spans="1:8">
      <c r="A73" s="131" t="s">
        <v>62</v>
      </c>
      <c r="B73" s="139">
        <v>0</v>
      </c>
      <c r="C73" s="139">
        <v>0</v>
      </c>
      <c r="D73" s="139">
        <f>C75</f>
        <v>0</v>
      </c>
      <c r="E73" s="139">
        <f>D75</f>
        <v>0</v>
      </c>
      <c r="H73" s="131"/>
    </row>
    <row r="74" spans="1:8">
      <c r="A74" s="131" t="str">
        <f>"Amortization Year 1 (" &amp; '[12]3.  LDC Assumptions and Data'!$C$54 &amp;" Years Straight Line)"</f>
        <v>Amortization Year 1 (10 Years Straight Line)</v>
      </c>
      <c r="B74" s="142">
        <f>B70*('SM Costs Est vs Actual'!$D$45*0.5)</f>
        <v>0</v>
      </c>
      <c r="C74" s="142">
        <f>C70*('SM Costs Est vs Actual'!$D$45*0.5)</f>
        <v>0</v>
      </c>
      <c r="D74" s="142">
        <f>D70*('SM Costs Est vs Actual'!$D$45*0.5)+(D77*'SM Costs Est vs Actual'!$D$45)</f>
        <v>0</v>
      </c>
      <c r="E74" s="142">
        <f>E70*('SM Costs Est vs Actual'!$D$45*0.5)+(E77*'SM Costs Est vs Actual'!$D$45)</f>
        <v>0</v>
      </c>
      <c r="F74" s="144"/>
      <c r="H74" s="131"/>
    </row>
    <row r="75" spans="1:8">
      <c r="A75" s="131" t="s">
        <v>63</v>
      </c>
      <c r="B75" s="139">
        <f>SUM(B73:B74)</f>
        <v>0</v>
      </c>
      <c r="C75" s="139">
        <f>SUM(C73:C74)</f>
        <v>0</v>
      </c>
      <c r="D75" s="139">
        <f>SUM(D73:D74)</f>
        <v>0</v>
      </c>
      <c r="E75" s="139">
        <f>SUM(E73:E74)</f>
        <v>0</v>
      </c>
      <c r="F75" s="146">
        <f>E18+E32+E46</f>
        <v>1174325.9346666667</v>
      </c>
      <c r="H75" s="131"/>
    </row>
    <row r="76" spans="1:8">
      <c r="A76" s="131"/>
      <c r="B76" s="139"/>
      <c r="C76" s="139"/>
      <c r="D76" s="139"/>
      <c r="E76" s="139"/>
      <c r="H76" s="131"/>
    </row>
    <row r="77" spans="1:8">
      <c r="A77" s="131" t="s">
        <v>64</v>
      </c>
      <c r="B77" s="142">
        <f>0</f>
        <v>0</v>
      </c>
      <c r="C77" s="142">
        <f>0</f>
        <v>0</v>
      </c>
      <c r="D77" s="142">
        <f>C78</f>
        <v>0</v>
      </c>
      <c r="E77" s="142">
        <f>D78</f>
        <v>0</v>
      </c>
      <c r="H77" s="131"/>
    </row>
    <row r="78" spans="1:8">
      <c r="A78" s="131" t="s">
        <v>65</v>
      </c>
      <c r="B78" s="139">
        <f>B71-B75</f>
        <v>0</v>
      </c>
      <c r="C78" s="139">
        <f>C71-C75</f>
        <v>0</v>
      </c>
      <c r="D78" s="139">
        <f>D71-D75</f>
        <v>0</v>
      </c>
      <c r="E78" s="139">
        <f>E71-E75</f>
        <v>0</v>
      </c>
      <c r="H78" s="131"/>
    </row>
    <row r="79" spans="1:8" ht="15.75" thickBot="1">
      <c r="A79" s="131" t="s">
        <v>66</v>
      </c>
      <c r="B79" s="145">
        <f>(B78+B77)/2</f>
        <v>0</v>
      </c>
      <c r="C79" s="145">
        <f>(C78+C77)/2</f>
        <v>0</v>
      </c>
      <c r="D79" s="145">
        <f>(D78+D77)/2</f>
        <v>0</v>
      </c>
      <c r="E79" s="145">
        <f>(E78+E77)/2</f>
        <v>0</v>
      </c>
      <c r="H79" s="131"/>
    </row>
    <row r="80" spans="1:8">
      <c r="A80" s="131"/>
      <c r="B80" s="141"/>
      <c r="C80" s="141"/>
      <c r="D80" s="141"/>
      <c r="E80" s="131"/>
      <c r="H80" s="131"/>
    </row>
    <row r="81" spans="1:8">
      <c r="A81" s="131"/>
      <c r="B81" s="141"/>
      <c r="C81" s="141"/>
      <c r="D81" s="141"/>
      <c r="E81" s="131"/>
      <c r="H81" s="131"/>
    </row>
    <row r="82" spans="1:8">
      <c r="A82" s="131"/>
      <c r="B82" s="141"/>
      <c r="C82" s="141"/>
      <c r="D82" s="141"/>
      <c r="E82" s="131"/>
      <c r="H82" s="131"/>
    </row>
    <row r="83" spans="1:8">
      <c r="A83" s="131"/>
      <c r="B83" s="141"/>
      <c r="C83" s="141"/>
      <c r="D83" s="141"/>
      <c r="E83" s="131"/>
      <c r="H83" s="131"/>
    </row>
    <row r="84" spans="1:8">
      <c r="A84" s="137" t="s">
        <v>71</v>
      </c>
      <c r="B84" s="141"/>
      <c r="C84" s="141"/>
      <c r="D84" s="141"/>
      <c r="E84" s="131"/>
      <c r="H84" s="131"/>
    </row>
    <row r="85" spans="1:8">
      <c r="A85" s="131"/>
      <c r="B85" s="141"/>
      <c r="C85" s="141"/>
      <c r="D85" s="141"/>
      <c r="E85" s="131"/>
      <c r="H85" s="131"/>
    </row>
    <row r="86" spans="1:8">
      <c r="A86" s="137" t="s">
        <v>72</v>
      </c>
      <c r="B86" s="131"/>
      <c r="C86" s="131"/>
      <c r="D86" s="131"/>
      <c r="E86" s="131"/>
      <c r="H86" s="131"/>
    </row>
    <row r="87" spans="1:8">
      <c r="A87" s="131" t="s">
        <v>73</v>
      </c>
      <c r="B87" s="131">
        <v>2006</v>
      </c>
      <c r="C87" s="131">
        <v>2007</v>
      </c>
      <c r="D87" s="131">
        <v>2008</v>
      </c>
      <c r="E87" s="131">
        <v>2009</v>
      </c>
      <c r="H87" s="131"/>
    </row>
    <row r="88" spans="1:8">
      <c r="A88" s="131"/>
      <c r="B88" s="131"/>
      <c r="C88" s="131"/>
      <c r="D88" s="131"/>
      <c r="E88" s="131"/>
      <c r="H88" s="131"/>
    </row>
    <row r="89" spans="1:8">
      <c r="A89" s="131" t="s">
        <v>74</v>
      </c>
      <c r="B89" s="139">
        <v>0</v>
      </c>
      <c r="C89" s="139">
        <v>0</v>
      </c>
      <c r="D89" s="139">
        <f>C91-C95</f>
        <v>4191022.3680000007</v>
      </c>
      <c r="E89" s="139">
        <f>D91-D95</f>
        <v>6777282.9753600014</v>
      </c>
      <c r="H89" s="131"/>
    </row>
    <row r="90" spans="1:8">
      <c r="A90" s="131" t="s">
        <v>75</v>
      </c>
      <c r="B90" s="142">
        <f>B13</f>
        <v>46178.509999999995</v>
      </c>
      <c r="C90" s="142">
        <f>C13</f>
        <v>4365648.3000000007</v>
      </c>
      <c r="D90" s="142">
        <f>D13</f>
        <v>3043273.330000001</v>
      </c>
      <c r="E90" s="142">
        <f>E13</f>
        <v>0</v>
      </c>
      <c r="H90" s="131"/>
    </row>
    <row r="91" spans="1:8">
      <c r="A91" s="131" t="s">
        <v>76</v>
      </c>
      <c r="B91" s="139">
        <f>SUM(B89:B90)</f>
        <v>46178.509999999995</v>
      </c>
      <c r="C91" s="139">
        <f>SUM(C89:C90)</f>
        <v>4365648.3000000007</v>
      </c>
      <c r="D91" s="139">
        <f>SUM(D89:D90)</f>
        <v>7234295.6980000017</v>
      </c>
      <c r="E91" s="139">
        <f>SUM(E89:E90)</f>
        <v>6777282.9753600014</v>
      </c>
      <c r="H91" s="131"/>
    </row>
    <row r="92" spans="1:8">
      <c r="A92" s="131" t="s">
        <v>77</v>
      </c>
      <c r="B92" s="142">
        <f>SUM(B90:B90)/2</f>
        <v>23089.254999999997</v>
      </c>
      <c r="C92" s="142">
        <f>SUM(C90:C90)/2</f>
        <v>2182824.1500000004</v>
      </c>
      <c r="D92" s="142">
        <f>SUM(D90:D90)/2</f>
        <v>1521636.6650000005</v>
      </c>
      <c r="E92" s="142">
        <f>SUM(E90:E90)/2</f>
        <v>0</v>
      </c>
      <c r="G92" s="157"/>
      <c r="H92" s="131"/>
    </row>
    <row r="93" spans="1:8">
      <c r="A93" s="131" t="s">
        <v>78</v>
      </c>
      <c r="B93" s="139">
        <f>B89+B92</f>
        <v>23089.254999999997</v>
      </c>
      <c r="C93" s="139">
        <f>C89+C92</f>
        <v>2182824.1500000004</v>
      </c>
      <c r="D93" s="139">
        <f>D89+D92</f>
        <v>5712659.0330000017</v>
      </c>
      <c r="E93" s="139">
        <f>E89+E92</f>
        <v>6777282.9753600014</v>
      </c>
      <c r="H93" s="131"/>
    </row>
    <row r="94" spans="1:8">
      <c r="A94" s="131" t="s">
        <v>79</v>
      </c>
      <c r="B94" s="138">
        <v>0.08</v>
      </c>
      <c r="C94" s="138">
        <v>0.08</v>
      </c>
      <c r="D94" s="138">
        <v>0.08</v>
      </c>
      <c r="E94" s="138">
        <v>0.08</v>
      </c>
      <c r="H94" s="131"/>
    </row>
    <row r="95" spans="1:8">
      <c r="A95" s="131" t="s">
        <v>80</v>
      </c>
      <c r="B95" s="139">
        <f>IF((B93*B94)&lt;B93,(B93*B94),B93)</f>
        <v>1847.1403999999998</v>
      </c>
      <c r="C95" s="139">
        <f>IF((C93*C94)&lt;C93,(C93*C94),C93)</f>
        <v>174625.93200000003</v>
      </c>
      <c r="D95" s="139">
        <f>IF((D93*D94)&lt;D93,(D93*D94),D93)</f>
        <v>457012.72264000017</v>
      </c>
      <c r="E95" s="139">
        <f>IF((E93*E94)&lt;E93,(E93*E94),E93)</f>
        <v>542182.63802880014</v>
      </c>
      <c r="H95" s="131"/>
    </row>
    <row r="96" spans="1:8" ht="15.75" thickBot="1">
      <c r="A96" s="131" t="s">
        <v>81</v>
      </c>
      <c r="B96" s="145">
        <f>IF((B91-B95)&lt;0,0,(B91-B95))</f>
        <v>44331.369599999998</v>
      </c>
      <c r="C96" s="145">
        <f>IF((C91-C95)&lt;0,0,(C91-C95))</f>
        <v>4191022.3680000007</v>
      </c>
      <c r="D96" s="145">
        <f>IF((D91-D95)&lt;0,0,(D91-D95))</f>
        <v>6777282.9753600014</v>
      </c>
      <c r="E96" s="145">
        <f>IF((E91-E95)&lt;0,0,(E91-E95))</f>
        <v>6235100.3373312009</v>
      </c>
      <c r="H96" s="131"/>
    </row>
    <row r="97" spans="1:8">
      <c r="A97" s="131"/>
      <c r="B97" s="131"/>
      <c r="C97" s="131"/>
      <c r="D97" s="131"/>
      <c r="E97" s="131"/>
      <c r="H97" s="131"/>
    </row>
    <row r="98" spans="1:8">
      <c r="A98" s="137" t="s">
        <v>82</v>
      </c>
      <c r="B98" s="131"/>
      <c r="C98" s="131"/>
      <c r="D98" s="131"/>
      <c r="E98" s="131"/>
      <c r="H98" s="131"/>
    </row>
    <row r="99" spans="1:8">
      <c r="A99" s="131" t="s">
        <v>83</v>
      </c>
      <c r="B99" s="131">
        <v>2006</v>
      </c>
      <c r="C99" s="131">
        <v>2007</v>
      </c>
      <c r="D99" s="131">
        <v>2008</v>
      </c>
      <c r="E99" s="131">
        <v>2009</v>
      </c>
      <c r="H99" s="131"/>
    </row>
    <row r="100" spans="1:8">
      <c r="A100" s="131"/>
      <c r="B100" s="131"/>
      <c r="C100" s="131"/>
      <c r="D100" s="131"/>
      <c r="E100" s="131"/>
      <c r="H100" s="131"/>
    </row>
    <row r="101" spans="1:8">
      <c r="A101" s="131" t="s">
        <v>74</v>
      </c>
      <c r="B101" s="139">
        <v>0</v>
      </c>
      <c r="C101" s="139">
        <v>0</v>
      </c>
      <c r="D101" s="139">
        <f>C109</f>
        <v>185088.45275000003</v>
      </c>
      <c r="E101" s="139">
        <f>D109</f>
        <v>198847.08626250003</v>
      </c>
      <c r="H101" s="131"/>
    </row>
    <row r="102" spans="1:8">
      <c r="A102" s="131" t="s">
        <v>84</v>
      </c>
      <c r="B102" s="142">
        <f>B27</f>
        <v>0</v>
      </c>
      <c r="C102" s="142">
        <f>C27</f>
        <v>136045.20000000001</v>
      </c>
      <c r="D102" s="142">
        <f>D27</f>
        <v>51086.49000000002</v>
      </c>
      <c r="E102" s="142">
        <f>E27</f>
        <v>0</v>
      </c>
      <c r="H102" s="131"/>
    </row>
    <row r="103" spans="1:8">
      <c r="A103" s="131" t="s">
        <v>85</v>
      </c>
      <c r="B103" s="142">
        <f>B41</f>
        <v>0</v>
      </c>
      <c r="C103" s="142">
        <f>C41</f>
        <v>102778.61000000002</v>
      </c>
      <c r="D103" s="142">
        <f>D41</f>
        <v>74137.299999999988</v>
      </c>
      <c r="E103" s="142">
        <f>E41</f>
        <v>0</v>
      </c>
      <c r="H103" s="131"/>
    </row>
    <row r="104" spans="1:8">
      <c r="A104" s="131" t="s">
        <v>76</v>
      </c>
      <c r="B104" s="139">
        <f>SUM(B101:B103)</f>
        <v>0</v>
      </c>
      <c r="C104" s="139">
        <f>SUM(C101:C103)</f>
        <v>238823.81000000003</v>
      </c>
      <c r="D104" s="139">
        <f>SUM(D101:D103)</f>
        <v>310312.24275000003</v>
      </c>
      <c r="E104" s="139">
        <f>SUM(E101:E103)</f>
        <v>198847.08626250003</v>
      </c>
      <c r="H104" s="131"/>
    </row>
    <row r="105" spans="1:8">
      <c r="A105" s="131" t="s">
        <v>77</v>
      </c>
      <c r="B105" s="142">
        <f>SUM(B102:B103)/2</f>
        <v>0</v>
      </c>
      <c r="C105" s="142">
        <f>SUM(C102:C103)/2</f>
        <v>119411.90500000001</v>
      </c>
      <c r="D105" s="142">
        <f>SUM(D102:D103)/2</f>
        <v>62611.895000000004</v>
      </c>
      <c r="E105" s="142">
        <f>SUM(E102:E103)/2</f>
        <v>0</v>
      </c>
      <c r="H105" s="131"/>
    </row>
    <row r="106" spans="1:8">
      <c r="A106" s="131" t="s">
        <v>78</v>
      </c>
      <c r="B106" s="139">
        <f>B101+B105</f>
        <v>0</v>
      </c>
      <c r="C106" s="139">
        <f>C101+C105</f>
        <v>119411.90500000001</v>
      </c>
      <c r="D106" s="139">
        <f>D101+D105</f>
        <v>247700.34775000002</v>
      </c>
      <c r="E106" s="139">
        <f>E101+E105</f>
        <v>198847.08626250003</v>
      </c>
      <c r="H106" s="131"/>
    </row>
    <row r="107" spans="1:8">
      <c r="A107" s="131" t="s">
        <v>86</v>
      </c>
      <c r="B107" s="148">
        <v>0.45</v>
      </c>
      <c r="C107" s="148">
        <v>0.45</v>
      </c>
      <c r="D107" s="148">
        <v>0.45</v>
      </c>
      <c r="E107" s="148">
        <v>0.45</v>
      </c>
      <c r="H107" s="131"/>
    </row>
    <row r="108" spans="1:8">
      <c r="A108" s="131" t="s">
        <v>80</v>
      </c>
      <c r="B108" s="139">
        <f>IF((B106*B107)&lt;B106,(B106*B107),B106)</f>
        <v>0</v>
      </c>
      <c r="C108" s="139">
        <f>IF((C106*C107)&lt;C106,(C106*C107),C106)</f>
        <v>53735.357250000008</v>
      </c>
      <c r="D108" s="139">
        <f>IF((D106*D107)&lt;D106,(D106*D107),D106)</f>
        <v>111465.1564875</v>
      </c>
      <c r="E108" s="139">
        <f>IF((E106*E107)&lt;E106,(E106*E107),E106)</f>
        <v>89481.188818125011</v>
      </c>
      <c r="H108" s="131"/>
    </row>
    <row r="109" spans="1:8" ht="15.75" thickBot="1">
      <c r="A109" s="131" t="s">
        <v>81</v>
      </c>
      <c r="B109" s="145">
        <f>IF((B104-B108)&lt;0,0,(B104-B108))</f>
        <v>0</v>
      </c>
      <c r="C109" s="145">
        <f>IF((C104-C108)&lt;0,0,(C104-C108))</f>
        <v>185088.45275000003</v>
      </c>
      <c r="D109" s="145">
        <f>IF((D104-D108)&lt;0,0,(D104-D108))</f>
        <v>198847.08626250003</v>
      </c>
      <c r="E109" s="145">
        <f>IF((E104-E108)&lt;0,0,(E104-E108))</f>
        <v>109365.89744437502</v>
      </c>
      <c r="H109" s="131"/>
    </row>
    <row r="111" spans="1:8">
      <c r="A111" s="137" t="s">
        <v>87</v>
      </c>
      <c r="B111" s="131"/>
      <c r="C111" s="131"/>
      <c r="D111" s="131"/>
      <c r="E111" s="131"/>
      <c r="H111" s="131"/>
    </row>
    <row r="112" spans="1:8">
      <c r="A112" s="131" t="s">
        <v>88</v>
      </c>
      <c r="B112" s="131">
        <v>2006</v>
      </c>
      <c r="C112" s="131">
        <v>2007</v>
      </c>
      <c r="D112" s="131">
        <v>2008</v>
      </c>
      <c r="E112" s="131">
        <v>2009</v>
      </c>
      <c r="H112" s="131"/>
    </row>
    <row r="113" spans="1:8">
      <c r="A113" s="131"/>
      <c r="B113" s="131"/>
      <c r="C113" s="131"/>
      <c r="D113" s="131"/>
      <c r="E113" s="131"/>
      <c r="H113" s="131"/>
    </row>
    <row r="114" spans="1:8">
      <c r="A114" s="131" t="s">
        <v>74</v>
      </c>
      <c r="B114" s="139">
        <v>0</v>
      </c>
      <c r="C114" s="139">
        <v>0</v>
      </c>
      <c r="D114" s="139">
        <f>C122</f>
        <v>0</v>
      </c>
      <c r="E114" s="139">
        <f>D122</f>
        <v>0</v>
      </c>
      <c r="H114" s="131"/>
    </row>
    <row r="115" spans="1:8">
      <c r="A115" s="131" t="s">
        <v>89</v>
      </c>
      <c r="B115" s="142">
        <f>B56</f>
        <v>0</v>
      </c>
      <c r="C115" s="142">
        <f>C56</f>
        <v>0</v>
      </c>
      <c r="D115" s="142">
        <f>D56</f>
        <v>0</v>
      </c>
      <c r="E115" s="142">
        <f>E56</f>
        <v>0</v>
      </c>
      <c r="H115" s="131"/>
    </row>
    <row r="116" spans="1:8">
      <c r="A116" s="131" t="s">
        <v>90</v>
      </c>
      <c r="B116" s="142">
        <f>B70</f>
        <v>0</v>
      </c>
      <c r="C116" s="142">
        <f>C70</f>
        <v>0</v>
      </c>
      <c r="D116" s="142">
        <f>D70</f>
        <v>0</v>
      </c>
      <c r="E116" s="142">
        <f>E70</f>
        <v>0</v>
      </c>
      <c r="H116" s="131"/>
    </row>
    <row r="117" spans="1:8">
      <c r="A117" s="131" t="s">
        <v>76</v>
      </c>
      <c r="B117" s="139">
        <f>SUM(B114:B116)</f>
        <v>0</v>
      </c>
      <c r="C117" s="139">
        <f>SUM(C114:C116)</f>
        <v>0</v>
      </c>
      <c r="D117" s="139">
        <f>SUM(D114:D116)</f>
        <v>0</v>
      </c>
      <c r="E117" s="139">
        <f>SUM(E114:E116)</f>
        <v>0</v>
      </c>
      <c r="H117" s="131"/>
    </row>
    <row r="118" spans="1:8">
      <c r="A118" s="131" t="s">
        <v>77</v>
      </c>
      <c r="B118" s="142">
        <f>SUM(B115:B116)/2</f>
        <v>0</v>
      </c>
      <c r="C118" s="142">
        <f>SUM(C115:C116)/2</f>
        <v>0</v>
      </c>
      <c r="D118" s="142">
        <f>SUM(D115:D116)/2</f>
        <v>0</v>
      </c>
      <c r="E118" s="142">
        <f>SUM(E115:E116)/2</f>
        <v>0</v>
      </c>
      <c r="H118" s="131"/>
    </row>
    <row r="119" spans="1:8">
      <c r="A119" s="131" t="s">
        <v>78</v>
      </c>
      <c r="B119" s="139">
        <f>B114+B118</f>
        <v>0</v>
      </c>
      <c r="C119" s="139">
        <f>C114+C118</f>
        <v>0</v>
      </c>
      <c r="D119" s="139">
        <f>D114+D118</f>
        <v>0</v>
      </c>
      <c r="E119" s="139">
        <f>E114+E118</f>
        <v>0</v>
      </c>
      <c r="H119" s="131"/>
    </row>
    <row r="120" spans="1:8">
      <c r="A120" s="131" t="s">
        <v>91</v>
      </c>
      <c r="B120" s="148">
        <v>0.2</v>
      </c>
      <c r="C120" s="148">
        <v>0.2</v>
      </c>
      <c r="D120" s="148">
        <v>0.2</v>
      </c>
      <c r="E120" s="148">
        <v>0.2</v>
      </c>
      <c r="H120" s="131"/>
    </row>
    <row r="121" spans="1:8">
      <c r="A121" s="131" t="s">
        <v>80</v>
      </c>
      <c r="B121" s="139">
        <f>IF((B119*B120)&lt;B119,(B119*B120),B119)</f>
        <v>0</v>
      </c>
      <c r="C121" s="139">
        <f>IF((C119*C120)&lt;C119,(C119*C120),C119)</f>
        <v>0</v>
      </c>
      <c r="D121" s="139">
        <f>IF((D119*D120)&lt;D119,(D119*D120),D119)</f>
        <v>0</v>
      </c>
      <c r="E121" s="139">
        <f>IF((E119*E120)&lt;E119,(E119*E120),E119)</f>
        <v>0</v>
      </c>
      <c r="H121" s="131"/>
    </row>
    <row r="122" spans="1:8" ht="15.75" thickBot="1">
      <c r="A122" s="131" t="s">
        <v>81</v>
      </c>
      <c r="B122" s="145">
        <f>IF((B117-B121)&lt;0,0,(B117-B121))</f>
        <v>0</v>
      </c>
      <c r="C122" s="145">
        <f>IF((C117-C121)&lt;0,0,(C117-C121))</f>
        <v>0</v>
      </c>
      <c r="D122" s="145">
        <f>IF((D117-D121)&lt;0,0,(D117-D121))</f>
        <v>0</v>
      </c>
      <c r="E122" s="145">
        <f>IF((E117-E121)&lt;0,0,(E117-E121))</f>
        <v>0</v>
      </c>
      <c r="H122" s="131"/>
    </row>
  </sheetData>
  <sheetProtection formatColumns="0" selectLockedCells="1"/>
  <mergeCells count="3">
    <mergeCell ref="D1:E1"/>
    <mergeCell ref="D2:E2"/>
    <mergeCell ref="D3:E3"/>
  </mergeCells>
  <pageMargins left="0.53" right="0.44" top="0.55000000000000004" bottom="0.55000000000000004" header="0.5" footer="0.5"/>
  <pageSetup scale="80" fitToHeight="2" orientation="portrait" r:id="rId1"/>
  <headerFooter alignWithMargins="0"/>
  <rowBreaks count="2" manualBreakCount="2">
    <brk id="51" max="4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SM Var-Rev Req method-123108</vt:lpstr>
      <vt:lpstr>SM Costs Est vs Actual</vt:lpstr>
      <vt:lpstr>PILs Calc-123109</vt:lpstr>
      <vt:lpstr> Nt Fix Ass &amp;UCC</vt:lpstr>
      <vt:lpstr>' Nt Fix Ass &amp;UCC'!Print_Area</vt:lpstr>
      <vt:lpstr>'SM Costs Est vs Actual'!Print_Area</vt:lpstr>
      <vt:lpstr>'SM Var-Rev Req method-123108'!Print_Area</vt:lpstr>
      <vt:lpstr>' Nt Fix Ass &amp;UCC'!Print_Titles</vt:lpstr>
    </vt:vector>
  </TitlesOfParts>
  <Company>Veridian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Stickwood</dc:creator>
  <cp:lastModifiedBy>Laurie Mclorg</cp:lastModifiedBy>
  <cp:lastPrinted>2013-01-21T21:19:11Z</cp:lastPrinted>
  <dcterms:created xsi:type="dcterms:W3CDTF">2007-06-27T16:37:13Z</dcterms:created>
  <dcterms:modified xsi:type="dcterms:W3CDTF">2013-01-21T21:19:45Z</dcterms:modified>
</cp:coreProperties>
</file>