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20100" windowHeight="8475" activeTab="4"/>
  </bookViews>
  <sheets>
    <sheet name="2.0-EP-2b" sheetId="4" r:id="rId1"/>
    <sheet name="3.0-Staff-16a" sheetId="5" r:id="rId2"/>
    <sheet name="3.0-Staff-18" sheetId="8" r:id="rId3"/>
    <sheet name="4-SEC-6" sheetId="6" r:id="rId4"/>
    <sheet name="8.0-Staff-38b" sheetId="9" r:id="rId5"/>
    <sheet name="8.0-Staff-38c" sheetId="10" r:id="rId6"/>
    <sheet name="10.0-Staff-56a" sheetId="7" r:id="rId7"/>
  </sheets>
  <externalReferences>
    <externalReference r:id="rId8"/>
    <externalReference r:id="rId9"/>
    <externalReference r:id="rId10"/>
    <externalReference r:id="rId11"/>
    <externalReference r:id="rId12"/>
    <externalReference r:id="rId13"/>
  </externalReferences>
  <definedNames>
    <definedName name="LDC_LIST">[1]lists!$AM$1:$AM$80</definedName>
    <definedName name="LDCLIST" localSheetId="6">'[2]LDC Info'!$AA$3:$AA$80</definedName>
    <definedName name="LDCLIST" localSheetId="0">'[3]LDC Info'!$AA$3:$AA$80</definedName>
    <definedName name="LDCLIST">'[4]LDC Info'!$AA$3:$AA$80</definedName>
    <definedName name="Local_Distribution_Company_List">'[5]Local Distribution Companies'!$B$9:$B$88</definedName>
    <definedName name="_xlnm.Print_Area" localSheetId="0">'2.0-EP-2b'!$B$1:$O$72</definedName>
    <definedName name="_xlnm.Print_Area" localSheetId="1">'3.0-Staff-16a'!$A$1:$AH$44</definedName>
    <definedName name="_xlnm.Print_Area" localSheetId="2">'3.0-Staff-18'!$A$8:$J$131</definedName>
    <definedName name="_xlnm.Print_Area" localSheetId="3">'4-SEC-6'!$A$1:$Q$26</definedName>
    <definedName name="_xlnm.Print_Area" localSheetId="4">'8.0-Staff-38b'!$A$3:$AB$171</definedName>
    <definedName name="_xlnm.Print_Area" localSheetId="5">'8.0-Staff-38c'!$A$1:$N$37</definedName>
    <definedName name="_xlnm.Print_Titles" localSheetId="4">'8.0-Staff-38b'!$3:$4</definedName>
  </definedNames>
  <calcPr calcId="125725"/>
</workbook>
</file>

<file path=xl/calcChain.xml><?xml version="1.0" encoding="utf-8"?>
<calcChain xmlns="http://schemas.openxmlformats.org/spreadsheetml/2006/main">
  <c r="M33" i="10"/>
  <c r="M34" s="1"/>
  <c r="L33"/>
  <c r="L34" s="1"/>
  <c r="K33"/>
  <c r="K34" s="1"/>
  <c r="J33"/>
  <c r="J34" s="1"/>
  <c r="I33"/>
  <c r="I34" s="1"/>
  <c r="H33"/>
  <c r="H34" s="1"/>
  <c r="G33"/>
  <c r="G34" s="1"/>
  <c r="F33"/>
  <c r="F34" s="1"/>
  <c r="E33"/>
  <c r="E34" s="1"/>
  <c r="D33"/>
  <c r="D34" s="1"/>
  <c r="C33"/>
  <c r="C34" s="1"/>
  <c r="B33"/>
  <c r="B34" s="1"/>
  <c r="N34" s="1"/>
  <c r="M30"/>
  <c r="L30"/>
  <c r="K30"/>
  <c r="J30"/>
  <c r="I30"/>
  <c r="H30"/>
  <c r="G30"/>
  <c r="F30"/>
  <c r="E30"/>
  <c r="D30"/>
  <c r="C30"/>
  <c r="B30"/>
  <c r="N23"/>
  <c r="M22"/>
  <c r="L22"/>
  <c r="K22"/>
  <c r="J22"/>
  <c r="I22"/>
  <c r="H22"/>
  <c r="G22"/>
  <c r="F22"/>
  <c r="E22"/>
  <c r="D22"/>
  <c r="C22"/>
  <c r="B22"/>
  <c r="E15"/>
  <c r="D15"/>
  <c r="C15"/>
  <c r="F15" s="1"/>
  <c r="E14"/>
  <c r="D14"/>
  <c r="C14"/>
  <c r="F14" s="1"/>
  <c r="C29" l="1"/>
  <c r="C31" s="1"/>
  <c r="K29"/>
  <c r="F31"/>
  <c r="J31"/>
  <c r="B29"/>
  <c r="B31" s="1"/>
  <c r="N31" s="1"/>
  <c r="J29"/>
  <c r="E31"/>
  <c r="E29"/>
  <c r="I29"/>
  <c r="I31" s="1"/>
  <c r="M29"/>
  <c r="M31" s="1"/>
  <c r="L31"/>
  <c r="L29"/>
  <c r="H29"/>
  <c r="H31" s="1"/>
  <c r="D29"/>
  <c r="D31" s="1"/>
  <c r="J25"/>
  <c r="J27" s="1"/>
  <c r="J36" s="1"/>
  <c r="F25"/>
  <c r="F27" s="1"/>
  <c r="B25"/>
  <c r="B27" s="1"/>
  <c r="I25"/>
  <c r="I27" s="1"/>
  <c r="K25"/>
  <c r="K27" s="1"/>
  <c r="G25"/>
  <c r="G27" s="1"/>
  <c r="C25"/>
  <c r="C27" s="1"/>
  <c r="H25"/>
  <c r="H27" s="1"/>
  <c r="D25"/>
  <c r="D27" s="1"/>
  <c r="M25"/>
  <c r="M27" s="1"/>
  <c r="L25"/>
  <c r="L27" s="1"/>
  <c r="E25"/>
  <c r="E27" s="1"/>
  <c r="G29"/>
  <c r="G31" s="1"/>
  <c r="F29"/>
  <c r="K31"/>
  <c r="N27" l="1"/>
  <c r="N36" s="1"/>
  <c r="B36"/>
  <c r="D36"/>
  <c r="K36"/>
  <c r="M36"/>
  <c r="F36"/>
  <c r="L36"/>
  <c r="C36"/>
  <c r="G36"/>
  <c r="E36"/>
  <c r="H36"/>
  <c r="I36"/>
  <c r="L163" i="9" l="1"/>
  <c r="K163"/>
  <c r="C163"/>
  <c r="D163" s="1"/>
  <c r="D162"/>
  <c r="C162"/>
  <c r="D161"/>
  <c r="C161"/>
  <c r="D160"/>
  <c r="C160"/>
  <c r="D159"/>
  <c r="C159"/>
  <c r="Z155"/>
  <c r="X155"/>
  <c r="V155"/>
  <c r="T155"/>
  <c r="R155"/>
  <c r="P155"/>
  <c r="N155"/>
  <c r="L155"/>
  <c r="J155"/>
  <c r="H155"/>
  <c r="F155"/>
  <c r="D155"/>
  <c r="Z154"/>
  <c r="X154"/>
  <c r="V154"/>
  <c r="T154"/>
  <c r="R154"/>
  <c r="P154"/>
  <c r="N154"/>
  <c r="L154"/>
  <c r="J154"/>
  <c r="H154"/>
  <c r="F154"/>
  <c r="D154"/>
  <c r="Z153"/>
  <c r="X153"/>
  <c r="V153"/>
  <c r="T153"/>
  <c r="R153"/>
  <c r="P153"/>
  <c r="N153"/>
  <c r="L153"/>
  <c r="J153"/>
  <c r="H153"/>
  <c r="F153"/>
  <c r="D153"/>
  <c r="Z152"/>
  <c r="X152"/>
  <c r="V152"/>
  <c r="T152"/>
  <c r="R152"/>
  <c r="P152"/>
  <c r="N152"/>
  <c r="L152"/>
  <c r="J152"/>
  <c r="H152"/>
  <c r="F152"/>
  <c r="D152"/>
  <c r="Z151"/>
  <c r="X151"/>
  <c r="V151"/>
  <c r="T151"/>
  <c r="R151"/>
  <c r="P151"/>
  <c r="N151"/>
  <c r="L151"/>
  <c r="J151"/>
  <c r="H151"/>
  <c r="F151"/>
  <c r="D151"/>
  <c r="Z150"/>
  <c r="X150"/>
  <c r="V150"/>
  <c r="T150"/>
  <c r="R150"/>
  <c r="P150"/>
  <c r="N150"/>
  <c r="L150"/>
  <c r="J150"/>
  <c r="H150"/>
  <c r="F150"/>
  <c r="D150"/>
  <c r="Z149"/>
  <c r="X149"/>
  <c r="V149"/>
  <c r="T149"/>
  <c r="R149"/>
  <c r="P149"/>
  <c r="N149"/>
  <c r="L149"/>
  <c r="J149"/>
  <c r="H149"/>
  <c r="F149"/>
  <c r="D149"/>
  <c r="Z148"/>
  <c r="X148"/>
  <c r="V148"/>
  <c r="T148"/>
  <c r="R148"/>
  <c r="P148"/>
  <c r="N148"/>
  <c r="L148"/>
  <c r="J148"/>
  <c r="H148"/>
  <c r="F148"/>
  <c r="D148"/>
  <c r="Z147"/>
  <c r="X147"/>
  <c r="V147"/>
  <c r="T147"/>
  <c r="R147"/>
  <c r="P147"/>
  <c r="N147"/>
  <c r="L147"/>
  <c r="J147"/>
  <c r="H147"/>
  <c r="F147"/>
  <c r="D147"/>
  <c r="Z146"/>
  <c r="X146"/>
  <c r="V146"/>
  <c r="T146"/>
  <c r="R146"/>
  <c r="P146"/>
  <c r="N146"/>
  <c r="L146"/>
  <c r="J146"/>
  <c r="H146"/>
  <c r="F146"/>
  <c r="D146"/>
  <c r="Z145"/>
  <c r="X145"/>
  <c r="V145"/>
  <c r="T145"/>
  <c r="R145"/>
  <c r="P145"/>
  <c r="N145"/>
  <c r="L145"/>
  <c r="J145"/>
  <c r="H145"/>
  <c r="F145"/>
  <c r="D145"/>
  <c r="Z144"/>
  <c r="X144"/>
  <c r="V144"/>
  <c r="T144"/>
  <c r="R144"/>
  <c r="P144"/>
  <c r="N144"/>
  <c r="L144"/>
  <c r="J144"/>
  <c r="H144"/>
  <c r="F144"/>
  <c r="D144"/>
  <c r="Z143"/>
  <c r="X143"/>
  <c r="V143"/>
  <c r="T143"/>
  <c r="R143"/>
  <c r="P143"/>
  <c r="N143"/>
  <c r="L143"/>
  <c r="J143"/>
  <c r="H143"/>
  <c r="F143"/>
  <c r="D143"/>
  <c r="Z142"/>
  <c r="X142"/>
  <c r="V142"/>
  <c r="T142"/>
  <c r="R142"/>
  <c r="P142"/>
  <c r="N142"/>
  <c r="L142"/>
  <c r="J142"/>
  <c r="H142"/>
  <c r="F142"/>
  <c r="D142"/>
  <c r="Z141"/>
  <c r="X141"/>
  <c r="V141"/>
  <c r="T141"/>
  <c r="R141"/>
  <c r="P141"/>
  <c r="N141"/>
  <c r="L141"/>
  <c r="J141"/>
  <c r="H141"/>
  <c r="F141"/>
  <c r="D141"/>
  <c r="Z140"/>
  <c r="X140"/>
  <c r="V140"/>
  <c r="T140"/>
  <c r="R140"/>
  <c r="P140"/>
  <c r="N140"/>
  <c r="L140"/>
  <c r="J140"/>
  <c r="H140"/>
  <c r="F140"/>
  <c r="D140"/>
  <c r="Z139"/>
  <c r="X139"/>
  <c r="V139"/>
  <c r="T139"/>
  <c r="R139"/>
  <c r="P139"/>
  <c r="N139"/>
  <c r="L139"/>
  <c r="J139"/>
  <c r="H139"/>
  <c r="F139"/>
  <c r="D139"/>
  <c r="Z138"/>
  <c r="X138"/>
  <c r="V138"/>
  <c r="T138"/>
  <c r="R138"/>
  <c r="P138"/>
  <c r="N138"/>
  <c r="L138"/>
  <c r="J138"/>
  <c r="H138"/>
  <c r="F138"/>
  <c r="D138"/>
  <c r="Z137"/>
  <c r="X137"/>
  <c r="V137"/>
  <c r="T137"/>
  <c r="R137"/>
  <c r="P137"/>
  <c r="N137"/>
  <c r="L137"/>
  <c r="J137"/>
  <c r="H137"/>
  <c r="F137"/>
  <c r="D137"/>
  <c r="Z136"/>
  <c r="Z157" s="1"/>
  <c r="X136"/>
  <c r="X157" s="1"/>
  <c r="V136"/>
  <c r="V157" s="1"/>
  <c r="T136"/>
  <c r="T157" s="1"/>
  <c r="R136"/>
  <c r="R157" s="1"/>
  <c r="P136"/>
  <c r="P157" s="1"/>
  <c r="N136"/>
  <c r="N157" s="1"/>
  <c r="L136"/>
  <c r="L157" s="1"/>
  <c r="J136"/>
  <c r="J157" s="1"/>
  <c r="H136"/>
  <c r="H157" s="1"/>
  <c r="F136"/>
  <c r="F157" s="1"/>
  <c r="D136"/>
  <c r="D157" s="1"/>
  <c r="D132"/>
  <c r="C132"/>
  <c r="D131"/>
  <c r="C131"/>
  <c r="C130"/>
  <c r="D130" s="1"/>
  <c r="D129"/>
  <c r="C129"/>
  <c r="R97"/>
  <c r="AB94"/>
  <c r="AA94"/>
  <c r="Z94"/>
  <c r="J94"/>
  <c r="Y92"/>
  <c r="Y163" s="1"/>
  <c r="Z163" s="1"/>
  <c r="W92"/>
  <c r="U92"/>
  <c r="S92"/>
  <c r="Q92"/>
  <c r="Q163" s="1"/>
  <c r="R163" s="1"/>
  <c r="O92"/>
  <c r="M92"/>
  <c r="K92"/>
  <c r="I92"/>
  <c r="I163" s="1"/>
  <c r="J163" s="1"/>
  <c r="G92"/>
  <c r="G163" s="1"/>
  <c r="H163" s="1"/>
  <c r="E92"/>
  <c r="E163" s="1"/>
  <c r="F163" s="1"/>
  <c r="Y91"/>
  <c r="W91"/>
  <c r="W162" s="1"/>
  <c r="X162" s="1"/>
  <c r="U91"/>
  <c r="S91"/>
  <c r="Q91"/>
  <c r="O91"/>
  <c r="O162" s="1"/>
  <c r="P162" s="1"/>
  <c r="M91"/>
  <c r="K91"/>
  <c r="K162" s="1"/>
  <c r="L162" s="1"/>
  <c r="I91"/>
  <c r="I162" s="1"/>
  <c r="J162" s="1"/>
  <c r="G91"/>
  <c r="G162" s="1"/>
  <c r="H162" s="1"/>
  <c r="E91"/>
  <c r="E162" s="1"/>
  <c r="F162" s="1"/>
  <c r="Y90"/>
  <c r="W90"/>
  <c r="U90"/>
  <c r="S90"/>
  <c r="Q90"/>
  <c r="O90"/>
  <c r="M90"/>
  <c r="K90"/>
  <c r="K161" s="1"/>
  <c r="L161" s="1"/>
  <c r="I90"/>
  <c r="I161" s="1"/>
  <c r="J161" s="1"/>
  <c r="G90"/>
  <c r="G161" s="1"/>
  <c r="H161" s="1"/>
  <c r="E90"/>
  <c r="E161" s="1"/>
  <c r="F161" s="1"/>
  <c r="Y89"/>
  <c r="W89"/>
  <c r="U89"/>
  <c r="S89"/>
  <c r="Q89"/>
  <c r="O89"/>
  <c r="M89"/>
  <c r="K89"/>
  <c r="K160" s="1"/>
  <c r="L160" s="1"/>
  <c r="I89"/>
  <c r="I160" s="1"/>
  <c r="J160" s="1"/>
  <c r="G89"/>
  <c r="G160" s="1"/>
  <c r="H160" s="1"/>
  <c r="E89"/>
  <c r="E160" s="1"/>
  <c r="F160" s="1"/>
  <c r="Y88"/>
  <c r="W88"/>
  <c r="U88"/>
  <c r="S88"/>
  <c r="Q88"/>
  <c r="O88"/>
  <c r="M88"/>
  <c r="K88"/>
  <c r="K159" s="1"/>
  <c r="L159" s="1"/>
  <c r="I88"/>
  <c r="I159" s="1"/>
  <c r="J159" s="1"/>
  <c r="G88"/>
  <c r="G159" s="1"/>
  <c r="H159" s="1"/>
  <c r="E88"/>
  <c r="E159" s="1"/>
  <c r="F159" s="1"/>
  <c r="Z86"/>
  <c r="X86"/>
  <c r="X97" s="1"/>
  <c r="V86"/>
  <c r="V97" s="1"/>
  <c r="T86"/>
  <c r="T97" s="1"/>
  <c r="R86"/>
  <c r="P86"/>
  <c r="P97" s="1"/>
  <c r="N86"/>
  <c r="N97" s="1"/>
  <c r="L86"/>
  <c r="L97" s="1"/>
  <c r="J86"/>
  <c r="J97" s="1"/>
  <c r="H86"/>
  <c r="H97" s="1"/>
  <c r="F86"/>
  <c r="F97" s="1"/>
  <c r="D86"/>
  <c r="D97" s="1"/>
  <c r="AA63"/>
  <c r="AB63" s="1"/>
  <c r="Z63"/>
  <c r="Z97" s="1"/>
  <c r="Y61"/>
  <c r="W61"/>
  <c r="U61"/>
  <c r="S61"/>
  <c r="Q61"/>
  <c r="O61"/>
  <c r="M61"/>
  <c r="K61"/>
  <c r="K132" s="1"/>
  <c r="L132" s="1"/>
  <c r="I61"/>
  <c r="G61"/>
  <c r="E61"/>
  <c r="E132" s="1"/>
  <c r="F132" s="1"/>
  <c r="Y60"/>
  <c r="Y131" s="1"/>
  <c r="Z131" s="1"/>
  <c r="W60"/>
  <c r="U60"/>
  <c r="S60"/>
  <c r="Q60"/>
  <c r="Q131" s="1"/>
  <c r="R131" s="1"/>
  <c r="O60"/>
  <c r="M60"/>
  <c r="K60"/>
  <c r="K131" s="1"/>
  <c r="L131" s="1"/>
  <c r="I60"/>
  <c r="I131" s="1"/>
  <c r="J131" s="1"/>
  <c r="G60"/>
  <c r="E60"/>
  <c r="E131" s="1"/>
  <c r="F131" s="1"/>
  <c r="Y59"/>
  <c r="W59"/>
  <c r="U59"/>
  <c r="S59"/>
  <c r="Q59"/>
  <c r="O59"/>
  <c r="M59"/>
  <c r="K59"/>
  <c r="K130" s="1"/>
  <c r="L130" s="1"/>
  <c r="I59"/>
  <c r="G59"/>
  <c r="E59"/>
  <c r="E130" s="1"/>
  <c r="F130" s="1"/>
  <c r="Y58"/>
  <c r="W58"/>
  <c r="W129" s="1"/>
  <c r="X129" s="1"/>
  <c r="U58"/>
  <c r="S58"/>
  <c r="Q58"/>
  <c r="O58"/>
  <c r="O129" s="1"/>
  <c r="P129" s="1"/>
  <c r="M58"/>
  <c r="K58"/>
  <c r="K129" s="1"/>
  <c r="L129" s="1"/>
  <c r="I58"/>
  <c r="G58"/>
  <c r="E58"/>
  <c r="E129" s="1"/>
  <c r="F129" s="1"/>
  <c r="T45"/>
  <c r="R45"/>
  <c r="D45"/>
  <c r="J42"/>
  <c r="Y40"/>
  <c r="W40"/>
  <c r="U40"/>
  <c r="S40"/>
  <c r="S163" s="1"/>
  <c r="T163" s="1"/>
  <c r="Q40"/>
  <c r="O40"/>
  <c r="M40"/>
  <c r="Y39"/>
  <c r="W39"/>
  <c r="U39"/>
  <c r="S39"/>
  <c r="S162" s="1"/>
  <c r="T162" s="1"/>
  <c r="Q39"/>
  <c r="O39"/>
  <c r="M39"/>
  <c r="L39"/>
  <c r="L42" s="1"/>
  <c r="Y38"/>
  <c r="W38"/>
  <c r="W161" s="1"/>
  <c r="X161" s="1"/>
  <c r="U38"/>
  <c r="S38"/>
  <c r="Q38"/>
  <c r="O38"/>
  <c r="O161" s="1"/>
  <c r="P161" s="1"/>
  <c r="M38"/>
  <c r="Y37"/>
  <c r="W37"/>
  <c r="W160" s="1"/>
  <c r="X160" s="1"/>
  <c r="U37"/>
  <c r="S37"/>
  <c r="Q37"/>
  <c r="O37"/>
  <c r="O160" s="1"/>
  <c r="P160" s="1"/>
  <c r="M37"/>
  <c r="Y36"/>
  <c r="W36"/>
  <c r="U36"/>
  <c r="S36"/>
  <c r="S159" s="1"/>
  <c r="T159" s="1"/>
  <c r="Q36"/>
  <c r="O36"/>
  <c r="M36"/>
  <c r="Z34"/>
  <c r="Z45" s="1"/>
  <c r="X34"/>
  <c r="X45" s="1"/>
  <c r="V34"/>
  <c r="V45" s="1"/>
  <c r="T34"/>
  <c r="R34"/>
  <c r="P34"/>
  <c r="P45" s="1"/>
  <c r="N34"/>
  <c r="J34"/>
  <c r="H34"/>
  <c r="H45" s="1"/>
  <c r="F34"/>
  <c r="F45" s="1"/>
  <c r="D34"/>
  <c r="L31"/>
  <c r="L34" s="1"/>
  <c r="N11"/>
  <c r="N45" s="1"/>
  <c r="J11"/>
  <c r="J45" s="1"/>
  <c r="Y9"/>
  <c r="W9"/>
  <c r="U9"/>
  <c r="S9"/>
  <c r="S132" s="1"/>
  <c r="T132" s="1"/>
  <c r="Q9"/>
  <c r="O9"/>
  <c r="M9"/>
  <c r="I9"/>
  <c r="G9"/>
  <c r="Y8"/>
  <c r="W8"/>
  <c r="U8"/>
  <c r="S8"/>
  <c r="Q8"/>
  <c r="O8"/>
  <c r="M8"/>
  <c r="I8"/>
  <c r="G8"/>
  <c r="Y7"/>
  <c r="W7"/>
  <c r="W130" s="1"/>
  <c r="X130" s="1"/>
  <c r="U7"/>
  <c r="S7"/>
  <c r="Q7"/>
  <c r="O7"/>
  <c r="O130" s="1"/>
  <c r="P130" s="1"/>
  <c r="M7"/>
  <c r="L7"/>
  <c r="L11" s="1"/>
  <c r="I7"/>
  <c r="G7"/>
  <c r="G130" s="1"/>
  <c r="H130" s="1"/>
  <c r="Y6"/>
  <c r="W6"/>
  <c r="U6"/>
  <c r="S6"/>
  <c r="Q6"/>
  <c r="O6"/>
  <c r="M6"/>
  <c r="I6"/>
  <c r="G6"/>
  <c r="L165" l="1"/>
  <c r="L166" s="1"/>
  <c r="I130"/>
  <c r="J130" s="1"/>
  <c r="Y130"/>
  <c r="Z130" s="1"/>
  <c r="M132"/>
  <c r="N132" s="1"/>
  <c r="U132"/>
  <c r="V132" s="1"/>
  <c r="Y159"/>
  <c r="Z159" s="1"/>
  <c r="M161"/>
  <c r="N161" s="1"/>
  <c r="D165"/>
  <c r="M129"/>
  <c r="N129" s="1"/>
  <c r="N134" s="1"/>
  <c r="O159"/>
  <c r="P159" s="1"/>
  <c r="W159"/>
  <c r="X159" s="1"/>
  <c r="Q160"/>
  <c r="R160" s="1"/>
  <c r="S161"/>
  <c r="T161" s="1"/>
  <c r="M162"/>
  <c r="N162" s="1"/>
  <c r="U162"/>
  <c r="V162" s="1"/>
  <c r="O163"/>
  <c r="P163" s="1"/>
  <c r="G129"/>
  <c r="H129" s="1"/>
  <c r="H134" s="1"/>
  <c r="S131"/>
  <c r="T131" s="1"/>
  <c r="AA34"/>
  <c r="AB34" s="1"/>
  <c r="L134"/>
  <c r="S129"/>
  <c r="T129" s="1"/>
  <c r="M130"/>
  <c r="N130" s="1"/>
  <c r="U130"/>
  <c r="V130" s="1"/>
  <c r="G131"/>
  <c r="H131" s="1"/>
  <c r="O131"/>
  <c r="P131" s="1"/>
  <c r="P134" s="1"/>
  <c r="W131"/>
  <c r="X131" s="1"/>
  <c r="I132"/>
  <c r="J132" s="1"/>
  <c r="Q132"/>
  <c r="R132" s="1"/>
  <c r="Y132"/>
  <c r="Z132" s="1"/>
  <c r="AA97"/>
  <c r="AB97" s="1"/>
  <c r="F165"/>
  <c r="M159"/>
  <c r="N159" s="1"/>
  <c r="U159"/>
  <c r="V159" s="1"/>
  <c r="Q161"/>
  <c r="R161" s="1"/>
  <c r="Y161"/>
  <c r="Z161" s="1"/>
  <c r="M163"/>
  <c r="N163" s="1"/>
  <c r="U163"/>
  <c r="V163" s="1"/>
  <c r="Q130"/>
  <c r="R130" s="1"/>
  <c r="Q159"/>
  <c r="R159" s="1"/>
  <c r="S160"/>
  <c r="T160" s="1"/>
  <c r="T165" s="1"/>
  <c r="U161"/>
  <c r="V161" s="1"/>
  <c r="D134"/>
  <c r="U129"/>
  <c r="V129" s="1"/>
  <c r="Y160"/>
  <c r="Z160" s="1"/>
  <c r="W163"/>
  <c r="X163" s="1"/>
  <c r="X165" s="1"/>
  <c r="X166" s="1"/>
  <c r="L45"/>
  <c r="I129"/>
  <c r="J129" s="1"/>
  <c r="Q129"/>
  <c r="R129" s="1"/>
  <c r="R134" s="1"/>
  <c r="Y129"/>
  <c r="Z129" s="1"/>
  <c r="Z134" s="1"/>
  <c r="S130"/>
  <c r="T130" s="1"/>
  <c r="M131"/>
  <c r="N131" s="1"/>
  <c r="U131"/>
  <c r="V131" s="1"/>
  <c r="G132"/>
  <c r="H132" s="1"/>
  <c r="O132"/>
  <c r="P132" s="1"/>
  <c r="W132"/>
  <c r="X132" s="1"/>
  <c r="M160"/>
  <c r="N160" s="1"/>
  <c r="U160"/>
  <c r="V160" s="1"/>
  <c r="Q162"/>
  <c r="R162" s="1"/>
  <c r="Y162"/>
  <c r="Z162" s="1"/>
  <c r="D166"/>
  <c r="AA45"/>
  <c r="AB45" s="1"/>
  <c r="J165"/>
  <c r="X134"/>
  <c r="AA42"/>
  <c r="AB42" s="1"/>
  <c r="F134"/>
  <c r="H165"/>
  <c r="AA157"/>
  <c r="AB157" s="1"/>
  <c r="AA11"/>
  <c r="AB11" s="1"/>
  <c r="AA86"/>
  <c r="AB86" s="1"/>
  <c r="V134" l="1"/>
  <c r="R165"/>
  <c r="F166"/>
  <c r="J134"/>
  <c r="Z165"/>
  <c r="Z166" s="1"/>
  <c r="P165"/>
  <c r="P166" s="1"/>
  <c r="H166"/>
  <c r="V165"/>
  <c r="T134"/>
  <c r="AA134" s="1"/>
  <c r="AB134" s="1"/>
  <c r="N165"/>
  <c r="N166" s="1"/>
  <c r="J166"/>
  <c r="R166"/>
  <c r="AA165" l="1"/>
  <c r="AA166" s="1"/>
  <c r="T166"/>
  <c r="V166"/>
  <c r="AB165"/>
  <c r="AB166" s="1"/>
  <c r="J126" i="8" l="1"/>
  <c r="I126"/>
  <c r="H126"/>
  <c r="G126"/>
  <c r="F126"/>
  <c r="E126"/>
  <c r="D126"/>
  <c r="C126"/>
  <c r="J119"/>
  <c r="I119"/>
  <c r="H119"/>
  <c r="G119"/>
  <c r="F119"/>
  <c r="E119"/>
  <c r="D119"/>
  <c r="C119"/>
  <c r="J118"/>
  <c r="H118"/>
  <c r="G118"/>
  <c r="J114"/>
  <c r="I114"/>
  <c r="H114"/>
  <c r="G114"/>
  <c r="F114"/>
  <c r="E114"/>
  <c r="D114"/>
  <c r="C114"/>
  <c r="J108"/>
  <c r="I108"/>
  <c r="H108"/>
  <c r="G108"/>
  <c r="F108"/>
  <c r="E108"/>
  <c r="D108"/>
  <c r="C108"/>
  <c r="J107"/>
  <c r="H107"/>
  <c r="G107"/>
  <c r="J104"/>
  <c r="I104"/>
  <c r="G104"/>
  <c r="F104"/>
  <c r="E104"/>
  <c r="D104"/>
  <c r="C104"/>
  <c r="H101"/>
  <c r="H104" s="1"/>
  <c r="H18" s="1"/>
  <c r="H34" s="1"/>
  <c r="J96"/>
  <c r="I96"/>
  <c r="H96"/>
  <c r="G96"/>
  <c r="F96"/>
  <c r="E96"/>
  <c r="D96"/>
  <c r="C96"/>
  <c r="J95"/>
  <c r="H95"/>
  <c r="G95"/>
  <c r="J92"/>
  <c r="I92"/>
  <c r="H92"/>
  <c r="H20" s="1"/>
  <c r="G92"/>
  <c r="G20" s="1"/>
  <c r="G36" s="1"/>
  <c r="F92"/>
  <c r="E92"/>
  <c r="D92"/>
  <c r="D20" s="1"/>
  <c r="D36" s="1"/>
  <c r="C92"/>
  <c r="C20" s="1"/>
  <c r="C36" s="1"/>
  <c r="J86"/>
  <c r="I86"/>
  <c r="H86"/>
  <c r="G86"/>
  <c r="F86"/>
  <c r="E86"/>
  <c r="D86"/>
  <c r="C86"/>
  <c r="J85"/>
  <c r="H85"/>
  <c r="G85"/>
  <c r="J68"/>
  <c r="I68"/>
  <c r="H68"/>
  <c r="H22" s="1"/>
  <c r="G68"/>
  <c r="G22" s="1"/>
  <c r="F68"/>
  <c r="E68"/>
  <c r="D68"/>
  <c r="C68"/>
  <c r="C22" s="1"/>
  <c r="J58"/>
  <c r="I58"/>
  <c r="H58"/>
  <c r="G58"/>
  <c r="E58"/>
  <c r="D58"/>
  <c r="C58"/>
  <c r="H57"/>
  <c r="G57"/>
  <c r="H37"/>
  <c r="G37"/>
  <c r="D37"/>
  <c r="C37"/>
  <c r="H35"/>
  <c r="G35"/>
  <c r="D35"/>
  <c r="C35"/>
  <c r="G34"/>
  <c r="D34"/>
  <c r="D38" s="1"/>
  <c r="C34"/>
  <c r="H28"/>
  <c r="G28"/>
  <c r="J27"/>
  <c r="J37" s="1"/>
  <c r="I27"/>
  <c r="I37" s="1"/>
  <c r="H27"/>
  <c r="G27"/>
  <c r="F27"/>
  <c r="F37" s="1"/>
  <c r="E27"/>
  <c r="E37" s="1"/>
  <c r="D27"/>
  <c r="C27"/>
  <c r="J22"/>
  <c r="I22"/>
  <c r="E22"/>
  <c r="D22"/>
  <c r="H21"/>
  <c r="J20"/>
  <c r="J36" s="1"/>
  <c r="I20"/>
  <c r="I36" s="1"/>
  <c r="F20"/>
  <c r="F36" s="1"/>
  <c r="E20"/>
  <c r="E36" s="1"/>
  <c r="J19"/>
  <c r="J35" s="1"/>
  <c r="I19"/>
  <c r="I35" s="1"/>
  <c r="H19"/>
  <c r="G19"/>
  <c r="F19"/>
  <c r="F35" s="1"/>
  <c r="E19"/>
  <c r="E35" s="1"/>
  <c r="D19"/>
  <c r="C19"/>
  <c r="J18"/>
  <c r="J34" s="1"/>
  <c r="I18"/>
  <c r="I34" s="1"/>
  <c r="I38" s="1"/>
  <c r="G18"/>
  <c r="F18"/>
  <c r="F34" s="1"/>
  <c r="E18"/>
  <c r="E34" s="1"/>
  <c r="D18"/>
  <c r="C18"/>
  <c r="J16"/>
  <c r="I16"/>
  <c r="C15" s="1"/>
  <c r="I15"/>
  <c r="I118" s="1"/>
  <c r="H15"/>
  <c r="F15"/>
  <c r="F95" s="1"/>
  <c r="E15"/>
  <c r="E57" s="1"/>
  <c r="J1"/>
  <c r="C118" l="1"/>
  <c r="C107"/>
  <c r="C57"/>
  <c r="C95"/>
  <c r="C85"/>
  <c r="G38"/>
  <c r="H38"/>
  <c r="F38"/>
  <c r="E38"/>
  <c r="J38"/>
  <c r="C38"/>
  <c r="H36"/>
  <c r="F57"/>
  <c r="E85"/>
  <c r="I85"/>
  <c r="E95"/>
  <c r="I95"/>
  <c r="F107"/>
  <c r="F118"/>
  <c r="F85"/>
  <c r="E107"/>
  <c r="I107"/>
  <c r="E118"/>
  <c r="D15"/>
  <c r="D95" l="1"/>
  <c r="D85"/>
  <c r="D57"/>
  <c r="D118"/>
  <c r="D107"/>
  <c r="E38" i="7" l="1"/>
  <c r="B33"/>
  <c r="F32"/>
  <c r="E32"/>
  <c r="D32"/>
  <c r="E31"/>
  <c r="F30"/>
  <c r="E30"/>
  <c r="F25"/>
  <c r="E25"/>
  <c r="D25"/>
  <c r="C25"/>
  <c r="C32" s="1"/>
  <c r="F24"/>
  <c r="E24"/>
  <c r="D24"/>
  <c r="D31" s="1"/>
  <c r="C24"/>
  <c r="C31" s="1"/>
  <c r="F23"/>
  <c r="E23"/>
  <c r="D23"/>
  <c r="D30" s="1"/>
  <c r="C23"/>
  <c r="C30" s="1"/>
  <c r="C22"/>
  <c r="C29" s="1"/>
  <c r="C26" l="1"/>
  <c r="D22" l="1"/>
  <c r="C33"/>
  <c r="D29" l="1"/>
  <c r="D26"/>
  <c r="D33" l="1"/>
  <c r="E29" s="1"/>
  <c r="E33" s="1"/>
  <c r="F29" s="1"/>
  <c r="F33" s="1"/>
  <c r="E22"/>
  <c r="E26" s="1"/>
  <c r="F22" l="1"/>
  <c r="F26" s="1"/>
  <c r="E35"/>
  <c r="F45" l="1"/>
  <c r="F47" s="1"/>
  <c r="F46"/>
  <c r="E39"/>
  <c r="E40" s="1"/>
  <c r="E42" s="1"/>
  <c r="F38" s="1"/>
  <c r="F40" s="1"/>
  <c r="F41"/>
  <c r="F42" l="1"/>
  <c r="G38" s="1"/>
  <c r="G40" s="1"/>
  <c r="G42" s="1"/>
  <c r="H38" s="1"/>
  <c r="H40" s="1"/>
  <c r="H42" s="1"/>
  <c r="I38" s="1"/>
  <c r="I40" s="1"/>
  <c r="I42" s="1"/>
  <c r="G41"/>
  <c r="H41"/>
  <c r="I41"/>
  <c r="P24" i="6" l="1"/>
  <c r="P26" s="1"/>
  <c r="O24"/>
  <c r="O26" s="1"/>
  <c r="N24"/>
  <c r="N26" s="1"/>
  <c r="M24"/>
  <c r="M26" s="1"/>
  <c r="L24"/>
  <c r="L26" s="1"/>
  <c r="K24"/>
  <c r="K26" s="1"/>
  <c r="J24"/>
  <c r="J26" s="1"/>
  <c r="I24"/>
  <c r="I26" s="1"/>
  <c r="H24"/>
  <c r="H26" s="1"/>
  <c r="G24"/>
  <c r="G26" s="1"/>
  <c r="F24"/>
  <c r="F26" s="1"/>
  <c r="E24"/>
  <c r="E26" s="1"/>
  <c r="D24"/>
  <c r="D26" s="1"/>
  <c r="C24"/>
  <c r="C26" s="1"/>
  <c r="B24"/>
  <c r="B26" s="1"/>
  <c r="Q23"/>
  <c r="Q24" s="1"/>
  <c r="Q22"/>
  <c r="Q20"/>
  <c r="P19"/>
  <c r="N19"/>
  <c r="M19"/>
  <c r="L19"/>
  <c r="J19"/>
  <c r="I19"/>
  <c r="H19"/>
  <c r="F19"/>
  <c r="E19"/>
  <c r="D19"/>
  <c r="B19"/>
  <c r="Q18"/>
  <c r="P17"/>
  <c r="O17"/>
  <c r="O19" s="1"/>
  <c r="N17"/>
  <c r="M17"/>
  <c r="L17"/>
  <c r="K17"/>
  <c r="K19" s="1"/>
  <c r="J17"/>
  <c r="I17"/>
  <c r="H17"/>
  <c r="G17"/>
  <c r="G19" s="1"/>
  <c r="F17"/>
  <c r="E17"/>
  <c r="D17"/>
  <c r="C17"/>
  <c r="C19" s="1"/>
  <c r="B17"/>
  <c r="Q17" s="1"/>
  <c r="Q19" s="1"/>
  <c r="Q16"/>
  <c r="Q15"/>
  <c r="Q14"/>
  <c r="Q13"/>
  <c r="Q12"/>
  <c r="Q11"/>
  <c r="Q8"/>
  <c r="P6"/>
  <c r="O6"/>
  <c r="N6"/>
  <c r="M6"/>
  <c r="L6"/>
  <c r="K6"/>
  <c r="J6"/>
  <c r="I6"/>
  <c r="H6"/>
  <c r="G6"/>
  <c r="F6"/>
  <c r="E6"/>
  <c r="D6"/>
  <c r="C6"/>
  <c r="B6"/>
  <c r="Q5"/>
  <c r="Q6" s="1"/>
  <c r="Q4"/>
  <c r="Q26" l="1"/>
  <c r="AW44" i="5" l="1"/>
  <c r="AV44"/>
  <c r="AS44"/>
  <c r="AR44"/>
  <c r="AO44"/>
  <c r="AN44"/>
  <c r="AK44"/>
  <c r="AJ44"/>
  <c r="AW43"/>
  <c r="AV43"/>
  <c r="AU43"/>
  <c r="AU44" s="1"/>
  <c r="AT43"/>
  <c r="AT44" s="1"/>
  <c r="AS43"/>
  <c r="AR43"/>
  <c r="AQ43"/>
  <c r="AQ44" s="1"/>
  <c r="AP43"/>
  <c r="AP44" s="1"/>
  <c r="AO43"/>
  <c r="AN43"/>
  <c r="AM43"/>
  <c r="AM44" s="1"/>
  <c r="AL43"/>
  <c r="AL44" s="1"/>
  <c r="AK43"/>
  <c r="AJ43"/>
  <c r="AI43"/>
  <c r="AI44" s="1"/>
  <c r="AH43"/>
  <c r="AG43"/>
  <c r="AF43"/>
  <c r="AE43"/>
  <c r="AD43"/>
  <c r="AC43"/>
  <c r="AB43"/>
  <c r="AA43"/>
  <c r="Z43"/>
  <c r="Y43"/>
  <c r="X43"/>
  <c r="W43"/>
  <c r="V43"/>
  <c r="U43"/>
  <c r="T43"/>
  <c r="S43"/>
  <c r="R43"/>
  <c r="Q43"/>
  <c r="P43"/>
  <c r="O43"/>
  <c r="N43"/>
  <c r="M43"/>
  <c r="L43"/>
  <c r="K43"/>
  <c r="J43"/>
  <c r="I43"/>
  <c r="H43"/>
  <c r="G43"/>
  <c r="F43"/>
  <c r="E43"/>
  <c r="AH42"/>
  <c r="AG42"/>
  <c r="AG44" s="1"/>
  <c r="AF42"/>
  <c r="AE42"/>
  <c r="AD42"/>
  <c r="AC42"/>
  <c r="AC44" s="1"/>
  <c r="AB42"/>
  <c r="AA42"/>
  <c r="Z42"/>
  <c r="Y42"/>
  <c r="Y44" s="1"/>
  <c r="X42"/>
  <c r="W42"/>
  <c r="V42"/>
  <c r="U42"/>
  <c r="U44" s="1"/>
  <c r="T42"/>
  <c r="S42"/>
  <c r="R42"/>
  <c r="Q42"/>
  <c r="Q44" s="1"/>
  <c r="P42"/>
  <c r="O42"/>
  <c r="N42"/>
  <c r="M42"/>
  <c r="M44" s="1"/>
  <c r="L42"/>
  <c r="K42"/>
  <c r="J42"/>
  <c r="I42"/>
  <c r="I44" s="1"/>
  <c r="H42"/>
  <c r="G42"/>
  <c r="F42"/>
  <c r="E42"/>
  <c r="E44" s="1"/>
  <c r="AH41"/>
  <c r="AG41"/>
  <c r="AF41"/>
  <c r="AF44" s="1"/>
  <c r="AE41"/>
  <c r="AD41"/>
  <c r="AC41"/>
  <c r="AB41"/>
  <c r="AB44" s="1"/>
  <c r="AA41"/>
  <c r="Z41"/>
  <c r="Y41"/>
  <c r="X41"/>
  <c r="X44" s="1"/>
  <c r="W41"/>
  <c r="V41"/>
  <c r="U41"/>
  <c r="T41"/>
  <c r="T44" s="1"/>
  <c r="S41"/>
  <c r="R41"/>
  <c r="Q41"/>
  <c r="P41"/>
  <c r="P44" s="1"/>
  <c r="O41"/>
  <c r="N41"/>
  <c r="M41"/>
  <c r="L41"/>
  <c r="L44" s="1"/>
  <c r="K41"/>
  <c r="J41"/>
  <c r="I41"/>
  <c r="H41"/>
  <c r="H44" s="1"/>
  <c r="G41"/>
  <c r="F41"/>
  <c r="E41"/>
  <c r="A41"/>
  <c r="A42" s="1"/>
  <c r="A43" s="1"/>
  <c r="AH40"/>
  <c r="AG40"/>
  <c r="AF40"/>
  <c r="AE40"/>
  <c r="AD40"/>
  <c r="AC40"/>
  <c r="AB40"/>
  <c r="AA40"/>
  <c r="Z40"/>
  <c r="Y40"/>
  <c r="X40"/>
  <c r="W40"/>
  <c r="V40"/>
  <c r="U40"/>
  <c r="T40"/>
  <c r="S40"/>
  <c r="R40"/>
  <c r="Q40"/>
  <c r="P40"/>
  <c r="O40"/>
  <c r="N40"/>
  <c r="M40"/>
  <c r="L40"/>
  <c r="K40"/>
  <c r="J40"/>
  <c r="I40"/>
  <c r="H40"/>
  <c r="G40"/>
  <c r="F40"/>
  <c r="E40"/>
  <c r="A40"/>
  <c r="AH39"/>
  <c r="AH44" s="1"/>
  <c r="AG39"/>
  <c r="AF39"/>
  <c r="AE39"/>
  <c r="AE44" s="1"/>
  <c r="AD39"/>
  <c r="AD44" s="1"/>
  <c r="AC39"/>
  <c r="AB39"/>
  <c r="AA39"/>
  <c r="AA44" s="1"/>
  <c r="Z39"/>
  <c r="Z44" s="1"/>
  <c r="Y39"/>
  <c r="X39"/>
  <c r="W39"/>
  <c r="W44" s="1"/>
  <c r="V39"/>
  <c r="V44" s="1"/>
  <c r="U39"/>
  <c r="T39"/>
  <c r="S39"/>
  <c r="S44" s="1"/>
  <c r="R39"/>
  <c r="R44" s="1"/>
  <c r="Q39"/>
  <c r="P39"/>
  <c r="O39"/>
  <c r="O44" s="1"/>
  <c r="N39"/>
  <c r="N44" s="1"/>
  <c r="M39"/>
  <c r="L39"/>
  <c r="K39"/>
  <c r="K44" s="1"/>
  <c r="J39"/>
  <c r="J44" s="1"/>
  <c r="I39"/>
  <c r="H39"/>
  <c r="G39"/>
  <c r="G44" s="1"/>
  <c r="F39"/>
  <c r="F44" s="1"/>
  <c r="E39"/>
  <c r="G37"/>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F37"/>
  <c r="AU34"/>
  <c r="AT34"/>
  <c r="AQ34"/>
  <c r="AP34"/>
  <c r="AM34"/>
  <c r="AL34"/>
  <c r="AI34"/>
  <c r="AW33"/>
  <c r="AW34" s="1"/>
  <c r="AV33"/>
  <c r="AV34" s="1"/>
  <c r="AU33"/>
  <c r="AT33"/>
  <c r="AS33"/>
  <c r="AS34" s="1"/>
  <c r="AR33"/>
  <c r="AR34" s="1"/>
  <c r="AQ33"/>
  <c r="AP33"/>
  <c r="AO33"/>
  <c r="AO34" s="1"/>
  <c r="AN33"/>
  <c r="AN34" s="1"/>
  <c r="AM33"/>
  <c r="AL33"/>
  <c r="AK33"/>
  <c r="AK34" s="1"/>
  <c r="AJ33"/>
  <c r="AJ34" s="1"/>
  <c r="AI33"/>
  <c r="AH33"/>
  <c r="AG33"/>
  <c r="AF33"/>
  <c r="AE33"/>
  <c r="AD33"/>
  <c r="AC33"/>
  <c r="AB33"/>
  <c r="AA33"/>
  <c r="Z33"/>
  <c r="Y33"/>
  <c r="X33"/>
  <c r="W33"/>
  <c r="V33"/>
  <c r="U33"/>
  <c r="T33"/>
  <c r="S33"/>
  <c r="R33"/>
  <c r="Q33"/>
  <c r="P33"/>
  <c r="O33"/>
  <c r="N33"/>
  <c r="M33"/>
  <c r="L33"/>
  <c r="K33"/>
  <c r="J33"/>
  <c r="I33"/>
  <c r="H33"/>
  <c r="G33"/>
  <c r="F33"/>
  <c r="E33"/>
  <c r="AH32"/>
  <c r="AG32"/>
  <c r="AF32"/>
  <c r="AE32"/>
  <c r="AE34" s="1"/>
  <c r="AD32"/>
  <c r="AC32"/>
  <c r="AB32"/>
  <c r="AA32"/>
  <c r="AA34" s="1"/>
  <c r="Z32"/>
  <c r="Y32"/>
  <c r="X32"/>
  <c r="W32"/>
  <c r="W34" s="1"/>
  <c r="V32"/>
  <c r="U32"/>
  <c r="T32"/>
  <c r="S32"/>
  <c r="S34" s="1"/>
  <c r="R32"/>
  <c r="Q32"/>
  <c r="P32"/>
  <c r="O32"/>
  <c r="O34" s="1"/>
  <c r="N32"/>
  <c r="M32"/>
  <c r="L32"/>
  <c r="K32"/>
  <c r="K34" s="1"/>
  <c r="J32"/>
  <c r="I32"/>
  <c r="H32"/>
  <c r="G32"/>
  <c r="G34" s="1"/>
  <c r="F32"/>
  <c r="E32"/>
  <c r="AH31"/>
  <c r="AH34" s="1"/>
  <c r="AG31"/>
  <c r="AF31"/>
  <c r="AE31"/>
  <c r="AD31"/>
  <c r="AD34" s="1"/>
  <c r="AC31"/>
  <c r="AB31"/>
  <c r="AA31"/>
  <c r="Z31"/>
  <c r="Z34" s="1"/>
  <c r="Y31"/>
  <c r="X31"/>
  <c r="W31"/>
  <c r="V31"/>
  <c r="V34" s="1"/>
  <c r="U31"/>
  <c r="T31"/>
  <c r="S31"/>
  <c r="R31"/>
  <c r="R34" s="1"/>
  <c r="Q31"/>
  <c r="P31"/>
  <c r="O31"/>
  <c r="N31"/>
  <c r="N34" s="1"/>
  <c r="M31"/>
  <c r="L31"/>
  <c r="K31"/>
  <c r="J31"/>
  <c r="J34" s="1"/>
  <c r="I31"/>
  <c r="H31"/>
  <c r="G31"/>
  <c r="F31"/>
  <c r="F34" s="1"/>
  <c r="E31"/>
  <c r="AH30"/>
  <c r="AG30"/>
  <c r="AF30"/>
  <c r="AE30"/>
  <c r="AD30"/>
  <c r="AC30"/>
  <c r="AB30"/>
  <c r="AA30"/>
  <c r="Z30"/>
  <c r="Y30"/>
  <c r="X30"/>
  <c r="W30"/>
  <c r="V30"/>
  <c r="U30"/>
  <c r="T30"/>
  <c r="S30"/>
  <c r="R30"/>
  <c r="Q30"/>
  <c r="P30"/>
  <c r="O30"/>
  <c r="N30"/>
  <c r="M30"/>
  <c r="L30"/>
  <c r="K30"/>
  <c r="J30"/>
  <c r="I30"/>
  <c r="H30"/>
  <c r="G30"/>
  <c r="F30"/>
  <c r="E30"/>
  <c r="A30"/>
  <c r="A31" s="1"/>
  <c r="A32" s="1"/>
  <c r="A33" s="1"/>
  <c r="AH29"/>
  <c r="AG29"/>
  <c r="AG34" s="1"/>
  <c r="AF29"/>
  <c r="AF34" s="1"/>
  <c r="AE29"/>
  <c r="AD29"/>
  <c r="AC29"/>
  <c r="AC34" s="1"/>
  <c r="AB29"/>
  <c r="AB34" s="1"/>
  <c r="AA29"/>
  <c r="Z29"/>
  <c r="Y29"/>
  <c r="Y34" s="1"/>
  <c r="X29"/>
  <c r="X34" s="1"/>
  <c r="W29"/>
  <c r="V29"/>
  <c r="U29"/>
  <c r="U34" s="1"/>
  <c r="T29"/>
  <c r="T34" s="1"/>
  <c r="S29"/>
  <c r="R29"/>
  <c r="Q29"/>
  <c r="Q34" s="1"/>
  <c r="P29"/>
  <c r="P34" s="1"/>
  <c r="O29"/>
  <c r="N29"/>
  <c r="M29"/>
  <c r="M34" s="1"/>
  <c r="L29"/>
  <c r="L34" s="1"/>
  <c r="K29"/>
  <c r="J29"/>
  <c r="I29"/>
  <c r="I34" s="1"/>
  <c r="H29"/>
  <c r="H34" s="1"/>
  <c r="G29"/>
  <c r="F29"/>
  <c r="E29"/>
  <c r="E34" s="1"/>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W24"/>
  <c r="AV24"/>
  <c r="AS24"/>
  <c r="AR24"/>
  <c r="AO24"/>
  <c r="AN24"/>
  <c r="AK24"/>
  <c r="AJ24"/>
  <c r="AW23"/>
  <c r="AV23"/>
  <c r="AU23"/>
  <c r="AU24" s="1"/>
  <c r="AT23"/>
  <c r="AT24" s="1"/>
  <c r="AS23"/>
  <c r="AR23"/>
  <c r="AQ23"/>
  <c r="AQ24" s="1"/>
  <c r="AP23"/>
  <c r="AP24" s="1"/>
  <c r="AO23"/>
  <c r="AN23"/>
  <c r="AM23"/>
  <c r="AM24" s="1"/>
  <c r="AL23"/>
  <c r="AL24" s="1"/>
  <c r="AK23"/>
  <c r="AJ23"/>
  <c r="AI23"/>
  <c r="AI24" s="1"/>
  <c r="AH23"/>
  <c r="AG23"/>
  <c r="AF23"/>
  <c r="AE23"/>
  <c r="AD23"/>
  <c r="AC23"/>
  <c r="AB23"/>
  <c r="AA23"/>
  <c r="Z23"/>
  <c r="Y23"/>
  <c r="X23"/>
  <c r="W23"/>
  <c r="V23"/>
  <c r="U23"/>
  <c r="T23"/>
  <c r="S23"/>
  <c r="R23"/>
  <c r="Q23"/>
  <c r="P23"/>
  <c r="O23"/>
  <c r="N23"/>
  <c r="M23"/>
  <c r="L23"/>
  <c r="K23"/>
  <c r="J23"/>
  <c r="I23"/>
  <c r="H23"/>
  <c r="G23"/>
  <c r="F23"/>
  <c r="E23"/>
  <c r="AH22"/>
  <c r="AG22"/>
  <c r="AG24" s="1"/>
  <c r="AF22"/>
  <c r="AE22"/>
  <c r="AD22"/>
  <c r="AC22"/>
  <c r="AC24" s="1"/>
  <c r="AB22"/>
  <c r="AA22"/>
  <c r="Z22"/>
  <c r="Y22"/>
  <c r="Y24" s="1"/>
  <c r="X22"/>
  <c r="W22"/>
  <c r="V22"/>
  <c r="U22"/>
  <c r="U24" s="1"/>
  <c r="T22"/>
  <c r="S22"/>
  <c r="R22"/>
  <c r="Q22"/>
  <c r="Q24" s="1"/>
  <c r="P22"/>
  <c r="O22"/>
  <c r="N22"/>
  <c r="M22"/>
  <c r="M24" s="1"/>
  <c r="L22"/>
  <c r="K22"/>
  <c r="J22"/>
  <c r="I22"/>
  <c r="I24" s="1"/>
  <c r="H22"/>
  <c r="G22"/>
  <c r="F22"/>
  <c r="E22"/>
  <c r="E24" s="1"/>
  <c r="AH21"/>
  <c r="AG21"/>
  <c r="AF21"/>
  <c r="AF24" s="1"/>
  <c r="AE21"/>
  <c r="AD21"/>
  <c r="AC21"/>
  <c r="AB21"/>
  <c r="AB24" s="1"/>
  <c r="AA21"/>
  <c r="Z21"/>
  <c r="Y21"/>
  <c r="X21"/>
  <c r="X24" s="1"/>
  <c r="W21"/>
  <c r="V21"/>
  <c r="U21"/>
  <c r="T21"/>
  <c r="T24" s="1"/>
  <c r="S21"/>
  <c r="R21"/>
  <c r="Q21"/>
  <c r="P21"/>
  <c r="P24" s="1"/>
  <c r="O21"/>
  <c r="N21"/>
  <c r="M21"/>
  <c r="L21"/>
  <c r="L24" s="1"/>
  <c r="K21"/>
  <c r="J21"/>
  <c r="I21"/>
  <c r="H21"/>
  <c r="H24" s="1"/>
  <c r="G21"/>
  <c r="F21"/>
  <c r="E21"/>
  <c r="A21"/>
  <c r="A22" s="1"/>
  <c r="A23" s="1"/>
  <c r="AH20"/>
  <c r="AG20"/>
  <c r="AF20"/>
  <c r="AE20"/>
  <c r="AD20"/>
  <c r="AC20"/>
  <c r="AB20"/>
  <c r="AA20"/>
  <c r="Z20"/>
  <c r="Y20"/>
  <c r="X20"/>
  <c r="W20"/>
  <c r="V20"/>
  <c r="U20"/>
  <c r="T20"/>
  <c r="S20"/>
  <c r="R20"/>
  <c r="Q20"/>
  <c r="P20"/>
  <c r="O20"/>
  <c r="N20"/>
  <c r="M20"/>
  <c r="L20"/>
  <c r="K20"/>
  <c r="J20"/>
  <c r="I20"/>
  <c r="H20"/>
  <c r="G20"/>
  <c r="F20"/>
  <c r="E20"/>
  <c r="A20"/>
  <c r="AH19"/>
  <c r="AH24" s="1"/>
  <c r="AG19"/>
  <c r="AF19"/>
  <c r="AE19"/>
  <c r="AE24" s="1"/>
  <c r="AD19"/>
  <c r="AD24" s="1"/>
  <c r="AC19"/>
  <c r="AB19"/>
  <c r="AA19"/>
  <c r="AA24" s="1"/>
  <c r="Z19"/>
  <c r="Z24" s="1"/>
  <c r="Y19"/>
  <c r="X19"/>
  <c r="W19"/>
  <c r="W24" s="1"/>
  <c r="V19"/>
  <c r="V24" s="1"/>
  <c r="U19"/>
  <c r="T19"/>
  <c r="S19"/>
  <c r="S24" s="1"/>
  <c r="R19"/>
  <c r="R24" s="1"/>
  <c r="Q19"/>
  <c r="P19"/>
  <c r="O19"/>
  <c r="O24" s="1"/>
  <c r="N19"/>
  <c r="N24" s="1"/>
  <c r="M19"/>
  <c r="L19"/>
  <c r="K19"/>
  <c r="K24" s="1"/>
  <c r="J19"/>
  <c r="J24" s="1"/>
  <c r="I19"/>
  <c r="H19"/>
  <c r="G19"/>
  <c r="G24" s="1"/>
  <c r="F19"/>
  <c r="F24" s="1"/>
  <c r="E19"/>
  <c r="G17"/>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F17"/>
  <c r="AU14"/>
  <c r="AT14"/>
  <c r="AQ14"/>
  <c r="AP14"/>
  <c r="AM14"/>
  <c r="AL14"/>
  <c r="AI14"/>
  <c r="AW13"/>
  <c r="AW14" s="1"/>
  <c r="AV13"/>
  <c r="AV14" s="1"/>
  <c r="AU13"/>
  <c r="AT13"/>
  <c r="AS13"/>
  <c r="AS14" s="1"/>
  <c r="AR13"/>
  <c r="AR14" s="1"/>
  <c r="AQ13"/>
  <c r="AP13"/>
  <c r="AO13"/>
  <c r="AO14" s="1"/>
  <c r="AN13"/>
  <c r="AN14" s="1"/>
  <c r="AM13"/>
  <c r="AL13"/>
  <c r="AK13"/>
  <c r="AK14" s="1"/>
  <c r="AJ13"/>
  <c r="AJ14" s="1"/>
  <c r="AI13"/>
  <c r="AH13"/>
  <c r="AG13"/>
  <c r="AF13"/>
  <c r="AE13"/>
  <c r="AD13"/>
  <c r="AC13"/>
  <c r="AB13"/>
  <c r="AA13"/>
  <c r="Z13"/>
  <c r="Y13"/>
  <c r="X13"/>
  <c r="W13"/>
  <c r="V13"/>
  <c r="U13"/>
  <c r="T13"/>
  <c r="S13"/>
  <c r="R13"/>
  <c r="Q13"/>
  <c r="P13"/>
  <c r="O13"/>
  <c r="N13"/>
  <c r="M13"/>
  <c r="L13"/>
  <c r="K13"/>
  <c r="J13"/>
  <c r="I13"/>
  <c r="H13"/>
  <c r="G13"/>
  <c r="F13"/>
  <c r="E13"/>
  <c r="AH12"/>
  <c r="AG12"/>
  <c r="AF12"/>
  <c r="AE12"/>
  <c r="AE14" s="1"/>
  <c r="AD12"/>
  <c r="AC12"/>
  <c r="AB12"/>
  <c r="AA12"/>
  <c r="AA14" s="1"/>
  <c r="Z12"/>
  <c r="Y12"/>
  <c r="X12"/>
  <c r="W12"/>
  <c r="W14" s="1"/>
  <c r="V12"/>
  <c r="U12"/>
  <c r="T12"/>
  <c r="S12"/>
  <c r="S14" s="1"/>
  <c r="R12"/>
  <c r="Q12"/>
  <c r="P12"/>
  <c r="O12"/>
  <c r="O14" s="1"/>
  <c r="N12"/>
  <c r="M12"/>
  <c r="L12"/>
  <c r="K12"/>
  <c r="K14" s="1"/>
  <c r="J12"/>
  <c r="I12"/>
  <c r="H12"/>
  <c r="G12"/>
  <c r="G14" s="1"/>
  <c r="F12"/>
  <c r="E12"/>
  <c r="AH11"/>
  <c r="AH14" s="1"/>
  <c r="AG11"/>
  <c r="AF11"/>
  <c r="AE11"/>
  <c r="AD11"/>
  <c r="AD14" s="1"/>
  <c r="AC11"/>
  <c r="AB11"/>
  <c r="AA11"/>
  <c r="Z11"/>
  <c r="Z14" s="1"/>
  <c r="Y11"/>
  <c r="X11"/>
  <c r="W11"/>
  <c r="V11"/>
  <c r="V14" s="1"/>
  <c r="U11"/>
  <c r="T11"/>
  <c r="S11"/>
  <c r="R11"/>
  <c r="R14" s="1"/>
  <c r="Q11"/>
  <c r="P11"/>
  <c r="O11"/>
  <c r="N11"/>
  <c r="N14" s="1"/>
  <c r="M11"/>
  <c r="L11"/>
  <c r="K11"/>
  <c r="J11"/>
  <c r="J14" s="1"/>
  <c r="I11"/>
  <c r="H11"/>
  <c r="G11"/>
  <c r="F11"/>
  <c r="F14" s="1"/>
  <c r="E11"/>
  <c r="AH10"/>
  <c r="AG10"/>
  <c r="AF10"/>
  <c r="AE10"/>
  <c r="AD10"/>
  <c r="AC10"/>
  <c r="AB10"/>
  <c r="AA10"/>
  <c r="Z10"/>
  <c r="Y10"/>
  <c r="X10"/>
  <c r="W10"/>
  <c r="V10"/>
  <c r="U10"/>
  <c r="T10"/>
  <c r="S10"/>
  <c r="R10"/>
  <c r="Q10"/>
  <c r="P10"/>
  <c r="O10"/>
  <c r="N10"/>
  <c r="M10"/>
  <c r="L10"/>
  <c r="K10"/>
  <c r="J10"/>
  <c r="I10"/>
  <c r="H10"/>
  <c r="G10"/>
  <c r="F10"/>
  <c r="E10"/>
  <c r="A10"/>
  <c r="A11" s="1"/>
  <c r="A12" s="1"/>
  <c r="A13" s="1"/>
  <c r="AH9"/>
  <c r="AG9"/>
  <c r="AG14" s="1"/>
  <c r="AF9"/>
  <c r="AF14" s="1"/>
  <c r="AE9"/>
  <c r="AD9"/>
  <c r="AC9"/>
  <c r="AC14" s="1"/>
  <c r="AB9"/>
  <c r="AB14" s="1"/>
  <c r="AA9"/>
  <c r="Z9"/>
  <c r="Y9"/>
  <c r="Y14" s="1"/>
  <c r="X9"/>
  <c r="X14" s="1"/>
  <c r="W9"/>
  <c r="V9"/>
  <c r="U9"/>
  <c r="U14" s="1"/>
  <c r="T9"/>
  <c r="T14" s="1"/>
  <c r="S9"/>
  <c r="R9"/>
  <c r="Q9"/>
  <c r="Q14" s="1"/>
  <c r="P9"/>
  <c r="P14" s="1"/>
  <c r="O9"/>
  <c r="N9"/>
  <c r="M9"/>
  <c r="M14" s="1"/>
  <c r="L9"/>
  <c r="L14" s="1"/>
  <c r="K9"/>
  <c r="J9"/>
  <c r="I9"/>
  <c r="I14" s="1"/>
  <c r="H9"/>
  <c r="H14" s="1"/>
  <c r="G9"/>
  <c r="F9"/>
  <c r="E9"/>
  <c r="E14" s="1"/>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M60" i="4"/>
  <c r="M55"/>
  <c r="L55"/>
  <c r="H55"/>
  <c r="G55"/>
  <c r="N53"/>
  <c r="I53"/>
  <c r="O53" s="1"/>
  <c r="N52"/>
  <c r="K52"/>
  <c r="I52"/>
  <c r="O52" s="1"/>
  <c r="F52"/>
  <c r="K51"/>
  <c r="N51" s="1"/>
  <c r="F51"/>
  <c r="I51" s="1"/>
  <c r="O51" s="1"/>
  <c r="N50"/>
  <c r="K50"/>
  <c r="I50"/>
  <c r="O50" s="1"/>
  <c r="N49"/>
  <c r="K49"/>
  <c r="I49"/>
  <c r="O49" s="1"/>
  <c r="F49"/>
  <c r="K48"/>
  <c r="N48" s="1"/>
  <c r="F48"/>
  <c r="I48" s="1"/>
  <c r="N47"/>
  <c r="K47"/>
  <c r="I47"/>
  <c r="O47" s="1"/>
  <c r="N46"/>
  <c r="K46"/>
  <c r="I46"/>
  <c r="O46" s="1"/>
  <c r="F46"/>
  <c r="K45"/>
  <c r="N45" s="1"/>
  <c r="F45"/>
  <c r="I45" s="1"/>
  <c r="N44"/>
  <c r="K44"/>
  <c r="I44"/>
  <c r="O44" s="1"/>
  <c r="F44"/>
  <c r="K43"/>
  <c r="N43" s="1"/>
  <c r="F43"/>
  <c r="I43" s="1"/>
  <c r="O43" s="1"/>
  <c r="N42"/>
  <c r="K42"/>
  <c r="I42"/>
  <c r="O42" s="1"/>
  <c r="F42"/>
  <c r="K41"/>
  <c r="N41" s="1"/>
  <c r="F41"/>
  <c r="I41" s="1"/>
  <c r="N40"/>
  <c r="K40"/>
  <c r="I40"/>
  <c r="O40" s="1"/>
  <c r="F40"/>
  <c r="K39"/>
  <c r="N39" s="1"/>
  <c r="F39"/>
  <c r="I39" s="1"/>
  <c r="O39" s="1"/>
  <c r="N38"/>
  <c r="K38"/>
  <c r="I38"/>
  <c r="O38" s="1"/>
  <c r="F38"/>
  <c r="K37"/>
  <c r="N37" s="1"/>
  <c r="F37"/>
  <c r="I37" s="1"/>
  <c r="N36"/>
  <c r="K36"/>
  <c r="I36"/>
  <c r="O36" s="1"/>
  <c r="N35"/>
  <c r="K35"/>
  <c r="I35"/>
  <c r="O35" s="1"/>
  <c r="F35"/>
  <c r="K34"/>
  <c r="N34" s="1"/>
  <c r="O34" s="1"/>
  <c r="I34"/>
  <c r="K33"/>
  <c r="N33" s="1"/>
  <c r="O33" s="1"/>
  <c r="I33"/>
  <c r="K32"/>
  <c r="N32" s="1"/>
  <c r="O32" s="1"/>
  <c r="I32"/>
  <c r="K31"/>
  <c r="N31" s="1"/>
  <c r="F31"/>
  <c r="I31" s="1"/>
  <c r="N30"/>
  <c r="K30"/>
  <c r="I30"/>
  <c r="O30" s="1"/>
  <c r="F30"/>
  <c r="K29"/>
  <c r="N29" s="1"/>
  <c r="F29"/>
  <c r="I29" s="1"/>
  <c r="O29" s="1"/>
  <c r="N28"/>
  <c r="K28"/>
  <c r="I28"/>
  <c r="O28" s="1"/>
  <c r="F28"/>
  <c r="K27"/>
  <c r="N27" s="1"/>
  <c r="F27"/>
  <c r="I27" s="1"/>
  <c r="N26"/>
  <c r="K26"/>
  <c r="I26"/>
  <c r="O26" s="1"/>
  <c r="F26"/>
  <c r="K25"/>
  <c r="N25" s="1"/>
  <c r="F25"/>
  <c r="I25" s="1"/>
  <c r="O25" s="1"/>
  <c r="N24"/>
  <c r="K24"/>
  <c r="I24"/>
  <c r="O24" s="1"/>
  <c r="F24"/>
  <c r="K23"/>
  <c r="N23" s="1"/>
  <c r="O23" s="1"/>
  <c r="I23"/>
  <c r="L22"/>
  <c r="K22"/>
  <c r="N22" s="1"/>
  <c r="I22"/>
  <c r="O22" s="1"/>
  <c r="G22"/>
  <c r="F22"/>
  <c r="N21"/>
  <c r="K21"/>
  <c r="I21"/>
  <c r="O21" s="1"/>
  <c r="N20"/>
  <c r="K20"/>
  <c r="I20"/>
  <c r="O20" s="1"/>
  <c r="N19"/>
  <c r="K19"/>
  <c r="K55" s="1"/>
  <c r="I19"/>
  <c r="O19" s="1"/>
  <c r="F19"/>
  <c r="O18"/>
  <c r="N18"/>
  <c r="I18"/>
  <c r="F18"/>
  <c r="F55" s="1"/>
  <c r="O17"/>
  <c r="N17"/>
  <c r="I17"/>
  <c r="N16"/>
  <c r="O16" s="1"/>
  <c r="I16"/>
  <c r="O1"/>
  <c r="O27" l="1"/>
  <c r="O31"/>
  <c r="O55" s="1"/>
  <c r="O48"/>
  <c r="O37"/>
  <c r="O41"/>
  <c r="O45"/>
  <c r="I55"/>
  <c r="N55"/>
</calcChain>
</file>

<file path=xl/comments1.xml><?xml version="1.0" encoding="utf-8"?>
<comments xmlns="http://schemas.openxmlformats.org/spreadsheetml/2006/main">
  <authors>
    <author>Jaime Carter</author>
  </authors>
  <commentList>
    <comment ref="A134" authorId="0">
      <text>
        <r>
          <rPr>
            <b/>
            <sz val="8"/>
            <color indexed="81"/>
            <rFont val="Tahoma"/>
            <family val="2"/>
          </rPr>
          <t>Jaime Carter:</t>
        </r>
        <r>
          <rPr>
            <sz val="8"/>
            <color indexed="81"/>
            <rFont val="Tahoma"/>
            <family val="2"/>
          </rPr>
          <t xml:space="preserve">
HONI actual Usage is recorded in the G/L for the subsequent month for the current month.  I.e. look at Oct G/L for the Sep usage to record on this spreadsheet.</t>
        </r>
      </text>
    </comment>
  </commentList>
</comments>
</file>

<file path=xl/comments2.xml><?xml version="1.0" encoding="utf-8"?>
<comments xmlns="http://schemas.openxmlformats.org/spreadsheetml/2006/main">
  <authors>
    <author>carterj</author>
  </authors>
  <commentList>
    <comment ref="A22" authorId="0">
      <text>
        <r>
          <rPr>
            <b/>
            <sz val="9"/>
            <color indexed="81"/>
            <rFont val="Tahoma"/>
            <family val="2"/>
          </rPr>
          <t>carterj:</t>
        </r>
        <r>
          <rPr>
            <sz val="9"/>
            <color indexed="81"/>
            <rFont val="Tahoma"/>
            <family val="2"/>
          </rPr>
          <t xml:space="preserve">
this should actually say "uplifted"</t>
        </r>
      </text>
    </comment>
  </commentList>
</comments>
</file>

<file path=xl/sharedStrings.xml><?xml version="1.0" encoding="utf-8"?>
<sst xmlns="http://schemas.openxmlformats.org/spreadsheetml/2006/main" count="558" uniqueCount="327">
  <si>
    <t>File Number:</t>
  </si>
  <si>
    <t>Appendix 2-B</t>
  </si>
  <si>
    <t>Fixed Asset Continuity Schedule - CGAAP</t>
  </si>
  <si>
    <t xml:space="preserve">Year </t>
  </si>
  <si>
    <t>Cost</t>
  </si>
  <si>
    <t>Accumulated Depreciation</t>
  </si>
  <si>
    <t>CCA Class</t>
  </si>
  <si>
    <t>OEB</t>
  </si>
  <si>
    <t>Description</t>
  </si>
  <si>
    <t>Depreciation Rate</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</si>
  <si>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</si>
  <si>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</si>
  <si>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</si>
  <si>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</si>
  <si>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</si>
  <si>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</si>
  <si>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</si>
  <si>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</si>
  <si>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</si>
  <si>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</si>
  <si>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</si>
  <si>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</si>
  <si>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</si>
  <si>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</si>
  <si>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</si>
  <si>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</si>
  <si>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</si>
  <si>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</si>
  <si>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</si>
  <si>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</si>
  <si>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</si>
  <si>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</si>
  <si>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</si>
  <si>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</si>
  <si>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</si>
  <si>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</si>
  <si>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</si>
  <si>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</si>
  <si>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</si>
  <si>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</si>
  <si>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</si>
  <si>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</si>
  <si>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</si>
  <si>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</si>
  <si>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</si>
  <si>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</si>
  <si>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</si>
  <si>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Utility Premises</t>
  </si>
  <si>
    <t>System Supervisor Equipment</t>
  </si>
  <si>
    <t>Miscellaneous Fixed Assets</t>
  </si>
  <si>
    <t>Contributions &amp; Grants</t>
  </si>
  <si>
    <t>etc.</t>
  </si>
  <si>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</si>
  <si>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</si>
  <si>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</si>
  <si>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</si>
  <si>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</si>
  <si>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</si>
  <si>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</si>
  <si>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</si>
  <si>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depreciation column (D) is not required as the relevant information will be provided in the following 2-C series of appendices.</t>
  </si>
  <si>
    <t>OPA Conservation &amp; Demand Management Programs</t>
  </si>
  <si>
    <t>Annual Results at the End-User Level</t>
  </si>
  <si>
    <t>For:</t>
  </si>
  <si>
    <t>Westario Power Inc.</t>
  </si>
  <si>
    <t>Net Summer Peak Demand Savings (MW)</t>
  </si>
  <si>
    <t>#</t>
  </si>
  <si>
    <t>Program Year</t>
  </si>
  <si>
    <t>Results Status</t>
  </si>
  <si>
    <t>2006 Programs</t>
  </si>
  <si>
    <t>Final</t>
  </si>
  <si>
    <t>2007 Programs</t>
  </si>
  <si>
    <t>2008 Programs</t>
  </si>
  <si>
    <t>2009 Programs</t>
  </si>
  <si>
    <t>2010 Programs</t>
  </si>
  <si>
    <t>Net Energy Savings (MWh)</t>
  </si>
  <si>
    <t>Gross Summer Peak Demand Savings (MW)</t>
  </si>
  <si>
    <t>Gross Energy Savings (MWh)</t>
  </si>
  <si>
    <t>Table 3: Comparison of Costs per Customer as per OEB 2011 Yearbook of Electricity Distributors</t>
  </si>
  <si>
    <t>Income Statement for the year ended December 31, 2011</t>
  </si>
  <si>
    <t>Bluewatrer Power Distribution Corporation</t>
  </si>
  <si>
    <t>COLLUS Power Corp.</t>
  </si>
  <si>
    <t>E.L.K. Energy In.c</t>
  </si>
  <si>
    <t>Entegrus Powerlines Inc. Chatham-Kent)</t>
  </si>
  <si>
    <t>Erie Thames Powerlines Corporation</t>
  </si>
  <si>
    <t>Essex Powerlines Corporation</t>
  </si>
  <si>
    <t>Festival Hydro inc.</t>
  </si>
  <si>
    <t>Kingston Hydro Corporation</t>
  </si>
  <si>
    <t>Niagara Peninsula Energy Inc.</t>
  </si>
  <si>
    <t>Peterborough Distribution Incorporated</t>
  </si>
  <si>
    <t>St. Thomas Energy Inc.</t>
  </si>
  <si>
    <t>Wasage Distribution Inc.</t>
  </si>
  <si>
    <t>Welland Hydro-Electric System Corp.</t>
  </si>
  <si>
    <t>Woodstock Hydro Services Inc.</t>
  </si>
  <si>
    <t>Average</t>
  </si>
  <si>
    <t>Power and Distribution Revenue</t>
  </si>
  <si>
    <t>Cost of Power and related costs</t>
  </si>
  <si>
    <t>Other Income</t>
  </si>
  <si>
    <t>Expenses</t>
  </si>
  <si>
    <t xml:space="preserve">  Operating</t>
  </si>
  <si>
    <t xml:space="preserve">  Maintenance</t>
  </si>
  <si>
    <t xml:space="preserve">  Administrative</t>
  </si>
  <si>
    <t xml:space="preserve">  Other</t>
  </si>
  <si>
    <t xml:space="preserve">  Depreciation &amp; Amortization</t>
  </si>
  <si>
    <t xml:space="preserve">  Financing</t>
  </si>
  <si>
    <t>Total Customers</t>
  </si>
  <si>
    <t>Net Income Before Taxes</t>
  </si>
  <si>
    <t>PILs and Income Taxes</t>
  </si>
  <si>
    <t xml:space="preserve">  Current</t>
  </si>
  <si>
    <t xml:space="preserve">  Future</t>
  </si>
  <si>
    <t>Net Income</t>
  </si>
  <si>
    <t>Appendix 2-EB</t>
  </si>
  <si>
    <t>IFRS-CGAAP Transitional PP&amp;E Amounts</t>
  </si>
  <si>
    <t>2013 Adopters of IFRS for Financial Reporting Purposes</t>
  </si>
  <si>
    <r>
      <t xml:space="preserve">For applicants that adopt IFRS on </t>
    </r>
    <r>
      <rPr>
        <b/>
        <sz val="10"/>
        <color rgb="FFFF0000"/>
        <rFont val="Arial"/>
        <family val="2"/>
      </rPr>
      <t>January 1, 2013</t>
    </r>
    <r>
      <rPr>
        <b/>
        <sz val="10"/>
        <color indexed="8"/>
        <rFont val="Arial"/>
        <family val="2"/>
      </rPr>
      <t xml:space="preserve"> for financial reporting purposes</t>
    </r>
  </si>
  <si>
    <t xml:space="preserve">Note: this sheet should be filled out if the applicant adopts IFRS for its financial reporting purpose as of January 1, 2013. </t>
  </si>
  <si>
    <t>2009 Rebasing Year</t>
  </si>
  <si>
    <t>2013 Rebasing Year</t>
  </si>
  <si>
    <t>Reporting Basis</t>
  </si>
  <si>
    <t>CGAAP</t>
  </si>
  <si>
    <t>IRM</t>
  </si>
  <si>
    <t>MIFRS</t>
  </si>
  <si>
    <t>Forecast vs. Actual Used in Rebasing Year</t>
  </si>
  <si>
    <t>Forecast</t>
  </si>
  <si>
    <t>Actual</t>
  </si>
  <si>
    <t>$</t>
  </si>
  <si>
    <t>PP&amp;E Values under CGAAP</t>
  </si>
  <si>
    <t xml:space="preserve">            Opening net PP&amp;E - Note 1</t>
  </si>
  <si>
    <t xml:space="preserve">            Additions</t>
  </si>
  <si>
    <t xml:space="preserve">           Disposals</t>
  </si>
  <si>
    <t xml:space="preserve">            Depreciation (amounts should be negative)</t>
  </si>
  <si>
    <t xml:space="preserve">            Closing net PP&amp;E (1)</t>
  </si>
  <si>
    <t>PP&amp;E Values under MIFRS (Starts from 2012, the transition year)</t>
  </si>
  <si>
    <t xml:space="preserve">            Opening net PP&amp;E  - Note 1</t>
  </si>
  <si>
    <t xml:space="preserve">            Disposals</t>
  </si>
  <si>
    <t xml:space="preserve">            Closing net PP&amp;E (2)</t>
  </si>
  <si>
    <t>Difference in Closing net PP&amp;E, CGAAP vs. MIFRS (Shown as adjustment to rate base on rebasing)</t>
  </si>
  <si>
    <t>Account 1575 - IFRS-CGAAP Transitional PP&amp;E Amounts</t>
  </si>
  <si>
    <t xml:space="preserve">          Opening balance </t>
  </si>
  <si>
    <t xml:space="preserve">          Amounts added in the year</t>
  </si>
  <si>
    <t>Sub-total</t>
  </si>
  <si>
    <t>Amount of amortization, included in  depreciation expense  - Note 2</t>
  </si>
  <si>
    <t xml:space="preserve">          Closing balance in deferral account</t>
  </si>
  <si>
    <t>Effect on Revenue Requirement</t>
  </si>
  <si>
    <t xml:space="preserve">        Amortization of deferred balance as above - Note 2</t>
  </si>
  <si>
    <t>WACC</t>
  </si>
  <si>
    <t xml:space="preserve">Return on Rate Base Associated with deferred PP&amp;E balance at WACC  - Note 3 </t>
  </si>
  <si>
    <t>Disposition Period - Note 4</t>
  </si>
  <si>
    <t>Years</t>
  </si>
  <si>
    <t xml:space="preserve">     Amount included in Revenue Requirement on rebasing</t>
  </si>
  <si>
    <t xml:space="preserve">1  For an applicant that adopts IFRS on January 1, 2013, the PP&amp;E values as of January 1, 2012 under both CGAAP and MIFRS should be the same. </t>
  </si>
  <si>
    <t xml:space="preserve">2  Amortization of the deferred balance in Account 1575 will start from the rebasing year. </t>
  </si>
  <si>
    <t xml:space="preserve">    Assume the utility requests for a certain disposition period, the amortization that should be included in the depreciation expense is calculated as:</t>
  </si>
  <si>
    <t xml:space="preserve">   the opening balance of Account 1575 / the approved disposition period</t>
  </si>
  <si>
    <t>3  Return on rate base associated with deferred balance is calculated as:</t>
  </si>
  <si>
    <t xml:space="preserve">     the deferred account opening balance as of 2013 rebasing year x WACC </t>
  </si>
  <si>
    <t xml:space="preserve">     * Please note that the calculation should be adjusted once WACC is updated and finalized in the rate application.</t>
  </si>
  <si>
    <t>4  Consistent with the 4 year normal rate cycle, the model is using a 4 year amortization period as a default selection to "clear" the PP&amp;E deferral account through a one-time adjustment to ratebase to capture and remove the impact of the accounting policy changes as caused by the transition from CGAAP to MIFRS.</t>
  </si>
  <si>
    <t>Appendix 2-F</t>
  </si>
  <si>
    <t>Other Operating Revenue</t>
  </si>
  <si>
    <t>USoA #</t>
  </si>
  <si>
    <t>USoA Description</t>
  </si>
  <si>
    <t>2011 to Nov30</t>
  </si>
  <si>
    <t>Test Year</t>
  </si>
  <si>
    <t>2012 to Nov 30</t>
  </si>
  <si>
    <t>Specific Service Charges</t>
  </si>
  <si>
    <t>Late Payment Charges</t>
  </si>
  <si>
    <t>Retail Services Revenues</t>
  </si>
  <si>
    <t>Distribution Services Revenue</t>
  </si>
  <si>
    <t>Service Transaction Requests (STR) Revenues</t>
  </si>
  <si>
    <t>Specific Charge for Access to Power Poles</t>
  </si>
  <si>
    <t>Other Income and Exp.</t>
  </si>
  <si>
    <t>Interest &amp; Dividend Inc.</t>
  </si>
  <si>
    <t>Other Operating Revenues</t>
  </si>
  <si>
    <t>Other Income or Deductions</t>
  </si>
  <si>
    <t>Account(s)</t>
  </si>
  <si>
    <t>Specific Service Charges:</t>
  </si>
  <si>
    <t>Late Payment Charges:</t>
  </si>
  <si>
    <t>Other Distribution Revenues:</t>
  </si>
  <si>
    <t>4080, 4082, 4084, 4090, 4205, 4210, 4215, 4220, 4240, 4245</t>
  </si>
  <si>
    <t>Other Income and Expenses:</t>
  </si>
  <si>
    <t>4305, 4310, 4315, 4320, 4325, 4330, 4335, 4340, 4345, 4350, 4355, 4360, 4365, 4370, 4375, 4380, 4385, 4390, 4395, 4398, 4405, 4415</t>
  </si>
  <si>
    <t>Note: Add all applicable accounts listed above to the table and include all relevant information.</t>
  </si>
  <si>
    <t>The above table assumes adoption of MIFRS as of January 1, 2013.  If the adoption year differs, please adjust the table accordingly.</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</si>
  <si>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</si>
  <si>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</si>
  <si>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Account 4084 - Service Transaction Requests (STR) Revenues</t>
  </si>
  <si>
    <t>Bridge Year</t>
  </si>
  <si>
    <t>Arrears Certificate</t>
  </si>
  <si>
    <t>Statement of Account</t>
  </si>
  <si>
    <t>Income Tax Letter</t>
  </si>
  <si>
    <t>Notification Change</t>
  </si>
  <si>
    <t>Service Transaction Request - request fee (per request)</t>
  </si>
  <si>
    <t>Service Transaction Request - processing fee (per processed request)</t>
  </si>
  <si>
    <t>Account 4082 - Retail Service Revenues</t>
  </si>
  <si>
    <t>Retailer Service Agreement -- standard charge</t>
  </si>
  <si>
    <t>Retailer Service Agreement -- monthly fixed charge (per retailer)</t>
  </si>
  <si>
    <t>Retailer Service Agreement -- monthly variable charge (per customer)</t>
  </si>
  <si>
    <t>Distributor-Consolidated Billing -- monthly charge (per customer)</t>
  </si>
  <si>
    <t>Account 4235</t>
  </si>
  <si>
    <t>Misc Service Revenues</t>
  </si>
  <si>
    <t>Credit reference/credit check (plus credit agency costs)</t>
  </si>
  <si>
    <t>Returned Cheque charge (plus bank charges)</t>
  </si>
  <si>
    <t>Account set up charge / change of occupancy charge</t>
  </si>
  <si>
    <t>Special Meter reads</t>
  </si>
  <si>
    <t>Disconnect/Reconnect at meter – during regular hours</t>
  </si>
  <si>
    <t>Disconnect/Reconnect at pole – during regular hours</t>
  </si>
  <si>
    <t>Misc Revenue - microFIT service charge</t>
  </si>
  <si>
    <t>Account 4225 - Late Payment Charges</t>
  </si>
  <si>
    <t>Late Payment - per month</t>
  </si>
  <si>
    <t>Collection of account charge – no disconnection</t>
  </si>
  <si>
    <t>Other Income and Expenses</t>
  </si>
  <si>
    <t>4325 - Revenues from Merchandise</t>
  </si>
  <si>
    <t>4330 - Costs and Expenses of Merchandising</t>
  </si>
  <si>
    <t>4355/4360 - Gains/Losses on Capital Items</t>
  </si>
  <si>
    <t>4375 - Revenues from non-utility operations</t>
  </si>
  <si>
    <t>4380 - Expenses of non-utility operations</t>
  </si>
  <si>
    <t>4390 - Miscellaneous non-operating income</t>
  </si>
  <si>
    <t>List and specify any other interest revenue</t>
  </si>
  <si>
    <t>If the applicant is adopting IFRS or an alternate accounting standard as of January 1, 2012 for financial reporting purposes, 2011 must be presented on both a CGAAP and MIFRS (or alternate accounting standard) basis.</t>
  </si>
  <si>
    <t>If the applicant is adopting IFRS or an alternate accounting standard as of January 1, 2013 for financial reporting purposes, 2012 must be presented on both a CGAAP and MIFRS (or alternate accounting standard) basis.</t>
  </si>
  <si>
    <t xml:space="preserve">Costs for </t>
  </si>
  <si>
    <t>Monthly</t>
  </si>
  <si>
    <t>KW</t>
  </si>
  <si>
    <t>JANUARY</t>
  </si>
  <si>
    <t>FEBRUARY</t>
  </si>
  <si>
    <t>MARCH</t>
  </si>
  <si>
    <t>APRIL</t>
  </si>
  <si>
    <t>MAY</t>
  </si>
  <si>
    <t>JUNE</t>
  </si>
  <si>
    <t>JULY</t>
  </si>
  <si>
    <t>AUGUST</t>
  </si>
  <si>
    <t>SEPTEMBER</t>
  </si>
  <si>
    <t>OCTOBER</t>
  </si>
  <si>
    <t>NOVEMBER</t>
  </si>
  <si>
    <t xml:space="preserve">DECEMBER </t>
  </si>
  <si>
    <t xml:space="preserve"> Total</t>
  </si>
  <si>
    <t>2011</t>
  </si>
  <si>
    <t>Douglas Pt TS (1049551001)- Common ST Lines</t>
  </si>
  <si>
    <t>Hanover TS (5924511003)- Common ST Lines</t>
  </si>
  <si>
    <t>Wingham TS (2459856003)- Common ST Lines</t>
  </si>
  <si>
    <t>Palmerston TS (0224007005)- Common ST Lines</t>
  </si>
  <si>
    <t>LOW VOLTAGE - Hydro One - ST Common</t>
  </si>
  <si>
    <t>PA TS - TG Minto PME (0584661003)- LV Mth Service</t>
  </si>
  <si>
    <t>PA TS - Harriston PME (2079619008)- LV Mth Service</t>
  </si>
  <si>
    <t>PA TS - Clifford PME (4271382000)- LV Mth Service</t>
  </si>
  <si>
    <t>PA TS - Palmerston  MS (6943612008)- LV Mth Serv</t>
  </si>
  <si>
    <t>DP TS - Kincardine MS2 (0917086009)- LV Mth Serv</t>
  </si>
  <si>
    <t>DP TS - So Water Treat (0935273000)- LV Mth Serv</t>
  </si>
  <si>
    <t>DP TS - Southampton MS1 (116935700)- LV Mth Serv</t>
  </si>
  <si>
    <t>DP TS - Port Elgin PME (1475479005)- LV Mth Serv</t>
  </si>
  <si>
    <t>DP TS - Southampton MS3 (1835182003)- LV Mth Serv</t>
  </si>
  <si>
    <t>DP TS - Southampton MS2 (2231836009)- LV Mth Serv</t>
  </si>
  <si>
    <t>WI TS - Ripley PME (0749509000)-LV Mth Service</t>
  </si>
  <si>
    <t>WI TS - Lucknow MS (1445199003)- LV Mth Service</t>
  </si>
  <si>
    <t>WI TS - Wingham PME (1691250004)- LV Mth Service</t>
  </si>
  <si>
    <t>WI TS - Teeswater MS (1931649009)- LV Mth Service</t>
  </si>
  <si>
    <t>WI TS - Tees Creamery (2255957005)- LV Mth Se</t>
  </si>
  <si>
    <t>HA TS - Walkeron PME (0701280006)- LV Mth Service</t>
  </si>
  <si>
    <t>HA TS - Mildmay PME (2267692019)- LV Mth Service</t>
  </si>
  <si>
    <t>HA TS - Elmwood PME (2399897004)- LV Mth Service</t>
  </si>
  <si>
    <t>HA TS - Neustadt PME (3503825002)- LV Mth Service</t>
  </si>
  <si>
    <t>HA TS - Hanover MS1 (7343683006)- LV Mth Service</t>
  </si>
  <si>
    <t xml:space="preserve">LOW VOLTAGE - Hydro One - Mthly LV </t>
  </si>
  <si>
    <t>HA TS - Mildmay PME (2267692019)- LVDS</t>
  </si>
  <si>
    <t>WI TS - Ripley PME (0749509000)- LVDS</t>
  </si>
  <si>
    <t>PA TS - Clifford PME (4271382000)- LVDS</t>
  </si>
  <si>
    <t>HA TS - Neustadt PME (3503825002)- LVDS</t>
  </si>
  <si>
    <t>HA TS - Elmwood PME (2399897004)- LVDS</t>
  </si>
  <si>
    <t>LOW VOLTAGE - Hydro One - Mthly LVDS</t>
  </si>
  <si>
    <t>LOW VOLTAGE - Hydro One - Adjustments</t>
  </si>
  <si>
    <t>(Hydro One LOAD TRANSFERS)</t>
  </si>
  <si>
    <t>Accrual - Opening Bal.</t>
  </si>
  <si>
    <t>Accrual - Closing Bal.</t>
  </si>
  <si>
    <t xml:space="preserve">Rate  </t>
  </si>
  <si>
    <t>Prorate</t>
  </si>
  <si>
    <t>2011 LVDS</t>
  </si>
  <si>
    <t>1.427</t>
  </si>
  <si>
    <t>1.548</t>
  </si>
  <si>
    <t>2011 ST</t>
  </si>
  <si>
    <t>.4420</t>
  </si>
  <si>
    <t>.4850</t>
  </si>
  <si>
    <t>2012</t>
  </si>
  <si>
    <t>2012 LVDS</t>
  </si>
  <si>
    <t>1.978</t>
  </si>
  <si>
    <t>1.944</t>
  </si>
  <si>
    <t>2012 ST</t>
  </si>
  <si>
    <t>.68</t>
  </si>
  <si>
    <t>.6680</t>
  </si>
  <si>
    <t>2013 ESTIMATE</t>
  </si>
  <si>
    <t>TOTAL</t>
  </si>
  <si>
    <t>2013 LVDS</t>
  </si>
  <si>
    <t>2013 ST</t>
  </si>
  <si>
    <t>Historic Load &amp; Transmission Data</t>
  </si>
  <si>
    <t>Components</t>
  </si>
  <si>
    <t>Total Energy (KWh)</t>
  </si>
  <si>
    <t>Low Voltage ST Common KW</t>
  </si>
  <si>
    <t>LVDS KW</t>
  </si>
  <si>
    <t>Ratio</t>
  </si>
  <si>
    <t>2010, 2011 Average</t>
  </si>
  <si>
    <t>Low Voltage ST Common KW / KWh</t>
  </si>
  <si>
    <t>LVDS KW / KWh</t>
  </si>
  <si>
    <t>Low Voltage (LV) Cost Estimate for 2013</t>
  </si>
  <si>
    <t>Jan</t>
  </si>
  <si>
    <t>Feb</t>
  </si>
  <si>
    <t>Mar</t>
  </si>
  <si>
    <t>Apr</t>
  </si>
  <si>
    <t>May</t>
  </si>
  <si>
    <t>Jun</t>
  </si>
  <si>
    <t>Jul</t>
  </si>
  <si>
    <t>Aug</t>
  </si>
  <si>
    <t>Sep</t>
  </si>
  <si>
    <t>Oct</t>
  </si>
  <si>
    <t>Nov</t>
  </si>
  <si>
    <t>Dec</t>
  </si>
  <si>
    <t>CDM Normalized</t>
  </si>
  <si>
    <t>Total Purchases (kWh - Before Uplift)</t>
  </si>
  <si>
    <t>Monthly Energy Usage Distribution</t>
  </si>
  <si>
    <t>LV Quantities (kW)</t>
  </si>
  <si>
    <t xml:space="preserve"> LV Charges - Rate</t>
  </si>
  <si>
    <t>LV Charges - Cost</t>
  </si>
  <si>
    <t>LVDS Quantities (kW)</t>
  </si>
  <si>
    <t>LVDS (per kW)</t>
  </si>
  <si>
    <t>LVDS (on average 1,850 kW)</t>
  </si>
  <si>
    <t>Monthly Service charges (fixed per account)</t>
  </si>
  <si>
    <t>Monthly Service charges (20 accounts)</t>
  </si>
  <si>
    <t>Total LV Cost</t>
  </si>
</sst>
</file>

<file path=xl/styles.xml><?xml version="1.0" encoding="utf-8"?>
<styleSheet xmlns="http://schemas.openxmlformats.org/spreadsheetml/2006/main">
  <numFmts count="15">
    <numFmt numFmtId="44" formatCode="_-&quot;$&quot;* #,##0.00_-;\-&quot;$&quot;* #,##0.00_-;_-&quot;$&quot;* &quot;-&quot;??_-;_-@_-"/>
    <numFmt numFmtId="43" formatCode="_-* #,##0.00_-;\-* #,##0.00_-;_-* &quot;-&quot;??_-;_-@_-"/>
    <numFmt numFmtId="164" formatCode="_-&quot;$&quot;* #,##0_-;\-&quot;$&quot;* #,##0_-;_-&quot;$&quot;* &quot;-&quot;??_-;_-@_-"/>
    <numFmt numFmtId="165" formatCode="_(* #,##0.00_);_(* \(#,##0.00\);_(* &quot;-&quot;??_);_(@_)"/>
    <numFmt numFmtId="166" formatCode="_(&quot;$&quot;* #,##0.00_);_(&quot;$&quot;* \(#,##0.00\);_(&quot;$&quot;* &quot;-&quot;??_);_(@_)"/>
    <numFmt numFmtId="167" formatCode="&quot;$&quot;#,##0_);\(&quot;$&quot;#,##0\)"/>
    <numFmt numFmtId="168" formatCode="#,##0.0000"/>
    <numFmt numFmtId="169" formatCode="_-* #,##0_-;\-* #,##0_-;_-* &quot;-&quot;??_-;_-@_-"/>
    <numFmt numFmtId="170" formatCode="#,##0.000"/>
    <numFmt numFmtId="171" formatCode="#,##0.000000"/>
    <numFmt numFmtId="172" formatCode="0.000"/>
    <numFmt numFmtId="173" formatCode="0.0000%"/>
    <numFmt numFmtId="174" formatCode="0.00000%"/>
    <numFmt numFmtId="175" formatCode="0.000%"/>
    <numFmt numFmtId="176" formatCode="_(&quot;$&quot;* #,##0.0000_);_(&quot;$&quot;* \(#,##0.0000\);_(&quot;$&quot;* &quot;-&quot;????_);_(@_)"/>
  </numFmts>
  <fonts count="8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i/>
      <sz val="10"/>
      <name val="Arial"/>
      <family val="2"/>
    </font>
    <font>
      <b/>
      <i/>
      <sz val="10"/>
      <name val="Arial"/>
      <family val="2"/>
    </font>
    <font>
      <sz val="10"/>
      <color theme="1"/>
      <name val="Arial"/>
      <family val="2"/>
    </font>
    <font>
      <sz val="11"/>
      <color indexed="8"/>
      <name val="Calibri"/>
      <family val="2"/>
    </font>
    <font>
      <sz val="10"/>
      <color theme="0"/>
      <name val="Arial"/>
      <family val="2"/>
    </font>
    <font>
      <sz val="11"/>
      <color indexed="9"/>
      <name val="Calibri"/>
      <family val="2"/>
    </font>
    <font>
      <sz val="10"/>
      <color rgb="FF9C0006"/>
      <name val="Arial"/>
      <family val="2"/>
    </font>
    <font>
      <sz val="11"/>
      <color indexed="20"/>
      <name val="Calibri"/>
      <family val="2"/>
    </font>
    <font>
      <b/>
      <sz val="10"/>
      <color rgb="FFFA7D00"/>
      <name val="Arial"/>
      <family val="2"/>
    </font>
    <font>
      <b/>
      <sz val="11"/>
      <color indexed="52"/>
      <name val="Calibri"/>
      <family val="2"/>
    </font>
    <font>
      <b/>
      <sz val="10"/>
      <color theme="0"/>
      <name val="Arial"/>
      <family val="2"/>
    </font>
    <font>
      <b/>
      <sz val="11"/>
      <color indexed="9"/>
      <name val="Calibri"/>
      <family val="2"/>
    </font>
    <font>
      <i/>
      <sz val="10"/>
      <color rgb="FF7F7F7F"/>
      <name val="Arial"/>
      <family val="2"/>
    </font>
    <font>
      <i/>
      <sz val="11"/>
      <color indexed="23"/>
      <name val="Calibri"/>
      <family val="2"/>
    </font>
    <font>
      <sz val="10"/>
      <color rgb="FF006100"/>
      <name val="Arial"/>
      <family val="2"/>
    </font>
    <font>
      <sz val="11"/>
      <color indexed="17"/>
      <name val="Calibri"/>
      <family val="2"/>
    </font>
    <font>
      <b/>
      <sz val="15"/>
      <color theme="3"/>
      <name val="Arial"/>
      <family val="2"/>
    </font>
    <font>
      <b/>
      <sz val="15"/>
      <color indexed="56"/>
      <name val="Calibri"/>
      <family val="2"/>
    </font>
    <font>
      <b/>
      <sz val="18"/>
      <name val="Arial"/>
      <family val="2"/>
    </font>
    <font>
      <b/>
      <sz val="13"/>
      <color theme="3"/>
      <name val="Arial"/>
      <family val="2"/>
    </font>
    <font>
      <b/>
      <sz val="13"/>
      <color indexed="56"/>
      <name val="Calibri"/>
      <family val="2"/>
    </font>
    <font>
      <b/>
      <sz val="12"/>
      <name val="Arial"/>
      <family val="2"/>
    </font>
    <font>
      <b/>
      <sz val="11"/>
      <color theme="3"/>
      <name val="Arial"/>
      <family val="2"/>
    </font>
    <font>
      <b/>
      <sz val="11"/>
      <color indexed="56"/>
      <name val="Calibri"/>
      <family val="2"/>
    </font>
    <font>
      <u/>
      <sz val="10"/>
      <color indexed="12"/>
      <name val="Arial"/>
      <family val="2"/>
    </font>
    <font>
      <u/>
      <sz val="7.5"/>
      <color indexed="12"/>
      <name val="Arial"/>
      <family val="2"/>
    </font>
    <font>
      <sz val="10"/>
      <color rgb="FF3F3F76"/>
      <name val="Arial"/>
      <family val="2"/>
    </font>
    <font>
      <sz val="11"/>
      <color indexed="62"/>
      <name val="Calibri"/>
      <family val="2"/>
    </font>
    <font>
      <sz val="10"/>
      <color rgb="FFFA7D00"/>
      <name val="Arial"/>
      <family val="2"/>
    </font>
    <font>
      <sz val="11"/>
      <color indexed="52"/>
      <name val="Calibri"/>
      <family val="2"/>
    </font>
    <font>
      <sz val="10"/>
      <color rgb="FF9C6500"/>
      <name val="Arial"/>
      <family val="2"/>
    </font>
    <font>
      <sz val="11"/>
      <color indexed="60"/>
      <name val="Calibri"/>
      <family val="2"/>
    </font>
    <font>
      <sz val="10"/>
      <color theme="1"/>
      <name val="Courier"/>
      <family val="2"/>
    </font>
    <font>
      <b/>
      <sz val="10"/>
      <color rgb="FF3F3F3F"/>
      <name val="Arial"/>
      <family val="2"/>
    </font>
    <font>
      <b/>
      <sz val="11"/>
      <color indexed="63"/>
      <name val="Calibri"/>
      <family val="2"/>
    </font>
    <font>
      <sz val="10"/>
      <name val="MS Sans Serif"/>
      <family val="2"/>
    </font>
    <font>
      <b/>
      <sz val="18"/>
      <color indexed="56"/>
      <name val="Cambria"/>
      <family val="2"/>
    </font>
    <font>
      <b/>
      <sz val="10"/>
      <color theme="1"/>
      <name val="Arial"/>
      <family val="2"/>
    </font>
    <font>
      <b/>
      <sz val="11"/>
      <color indexed="8"/>
      <name val="Calibri"/>
      <family val="2"/>
    </font>
    <font>
      <sz val="10"/>
      <color rgb="FFFF0000"/>
      <name val="Arial"/>
      <family val="2"/>
    </font>
    <font>
      <sz val="11"/>
      <color indexed="10"/>
      <name val="Calibri"/>
      <family val="2"/>
    </font>
    <font>
      <b/>
      <sz val="18"/>
      <color indexed="62"/>
      <name val="Arial"/>
      <family val="2"/>
    </font>
    <font>
      <b/>
      <sz val="12"/>
      <color indexed="62"/>
      <name val="Arial"/>
      <family val="2"/>
    </font>
    <font>
      <sz val="10"/>
      <color indexed="9"/>
      <name val="Arial"/>
      <family val="2"/>
    </font>
    <font>
      <b/>
      <sz val="12"/>
      <color theme="1"/>
      <name val="Arial"/>
      <family val="2"/>
    </font>
    <font>
      <sz val="8"/>
      <color theme="1"/>
      <name val="Calibri"/>
      <family val="2"/>
      <scheme val="minor"/>
    </font>
    <font>
      <b/>
      <sz val="10"/>
      <color indexed="8"/>
      <name val="Arial"/>
      <family val="2"/>
    </font>
    <font>
      <b/>
      <sz val="10"/>
      <color rgb="FFFF0000"/>
      <name val="Arial"/>
      <family val="2"/>
    </font>
    <font>
      <b/>
      <sz val="10"/>
      <color indexed="8"/>
      <name val="Calibri"/>
      <family val="2"/>
    </font>
    <font>
      <sz val="10"/>
      <color indexed="8"/>
      <name val="Arial"/>
      <family val="2"/>
    </font>
    <font>
      <sz val="10"/>
      <color indexed="8"/>
      <name val="Calibri"/>
      <family val="2"/>
    </font>
    <font>
      <b/>
      <u/>
      <sz val="10"/>
      <name val="Arial"/>
      <family val="2"/>
    </font>
    <font>
      <b/>
      <sz val="10"/>
      <color indexed="10"/>
      <name val="Arial"/>
      <family val="2"/>
    </font>
    <font>
      <sz val="12"/>
      <name val="Arial"/>
      <family val="2"/>
    </font>
    <font>
      <sz val="11"/>
      <color rgb="FF0070C0"/>
      <name val="Arial"/>
      <family val="2"/>
    </font>
    <font>
      <sz val="11"/>
      <name val="Arial"/>
      <family val="2"/>
    </font>
    <font>
      <i/>
      <sz val="11"/>
      <name val="Arial"/>
      <family val="2"/>
    </font>
    <font>
      <b/>
      <sz val="8"/>
      <color indexed="81"/>
      <name val="Tahoma"/>
      <family val="2"/>
    </font>
    <font>
      <sz val="8"/>
      <color indexed="81"/>
      <name val="Tahoma"/>
      <family val="2"/>
    </font>
    <font>
      <sz val="10"/>
      <color indexed="10"/>
      <name val="Arial"/>
      <family val="2"/>
    </font>
    <font>
      <sz val="9"/>
      <color indexed="81"/>
      <name val="Tahoma"/>
      <family val="2"/>
    </font>
    <font>
      <b/>
      <sz val="9"/>
      <color indexed="81"/>
      <name val="Tahoma"/>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64"/>
      </patternFill>
    </fill>
    <fill>
      <patternFill patternType="lightUp">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31"/>
        <bgColor indexed="64"/>
      </patternFill>
    </fill>
    <fill>
      <patternFill patternType="solid">
        <fgColor theme="4" tint="0.79998168889431442"/>
        <bgColor indexed="64"/>
      </patternFill>
    </fill>
    <fill>
      <patternFill patternType="solid">
        <fgColor theme="5" tint="0.59999389629810485"/>
        <bgColor indexed="64"/>
      </patternFill>
    </fill>
    <fill>
      <patternFill patternType="lightDown">
        <bgColor indexed="55"/>
      </patternFill>
    </fill>
    <fill>
      <patternFill patternType="solid">
        <fgColor indexed="8"/>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theme="0"/>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32">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xf numFmtId="44" fontId="18" fillId="0" borderId="0" applyFont="0" applyFill="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27" fillId="36"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27" fillId="37"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27" fillId="3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27" fillId="39"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27" fillId="40"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27" fillId="41"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27" fillId="42"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27" fillId="4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27" fillId="44"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27" fillId="3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27" fillId="4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27" fillId="45"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7" fillId="12" borderId="0" applyNumberFormat="0" applyBorder="0" applyAlignment="0" applyProtection="0"/>
    <xf numFmtId="0" fontId="28" fillId="12" borderId="0" applyNumberFormat="0" applyBorder="0" applyAlignment="0" applyProtection="0"/>
    <xf numFmtId="0" fontId="29" fillId="46"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7"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7" fillId="16" borderId="0" applyNumberFormat="0" applyBorder="0" applyAlignment="0" applyProtection="0"/>
    <xf numFmtId="0" fontId="28" fillId="16" borderId="0" applyNumberFormat="0" applyBorder="0" applyAlignment="0" applyProtection="0"/>
    <xf numFmtId="0" fontId="29" fillId="4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7"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7" fillId="20" borderId="0" applyNumberFormat="0" applyBorder="0" applyAlignment="0" applyProtection="0"/>
    <xf numFmtId="0" fontId="28" fillId="20" borderId="0" applyNumberFormat="0" applyBorder="0" applyAlignment="0" applyProtection="0"/>
    <xf numFmtId="0" fontId="29" fillId="44"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7"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7" fillId="24" borderId="0" applyNumberFormat="0" applyBorder="0" applyAlignment="0" applyProtection="0"/>
    <xf numFmtId="0" fontId="28" fillId="24" borderId="0" applyNumberFormat="0" applyBorder="0" applyAlignment="0" applyProtection="0"/>
    <xf numFmtId="0" fontId="29" fillId="47"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7"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7" fillId="28" borderId="0" applyNumberFormat="0" applyBorder="0" applyAlignment="0" applyProtection="0"/>
    <xf numFmtId="0" fontId="28" fillId="28" borderId="0" applyNumberFormat="0" applyBorder="0" applyAlignment="0" applyProtection="0"/>
    <xf numFmtId="0" fontId="29" fillId="4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7"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7" fillId="32" borderId="0" applyNumberFormat="0" applyBorder="0" applyAlignment="0" applyProtection="0"/>
    <xf numFmtId="0" fontId="28" fillId="32" borderId="0" applyNumberFormat="0" applyBorder="0" applyAlignment="0" applyProtection="0"/>
    <xf numFmtId="0" fontId="29" fillId="49"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7"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7" fillId="9" borderId="0" applyNumberFormat="0" applyBorder="0" applyAlignment="0" applyProtection="0"/>
    <xf numFmtId="0" fontId="28" fillId="9" borderId="0" applyNumberFormat="0" applyBorder="0" applyAlignment="0" applyProtection="0"/>
    <xf numFmtId="0" fontId="29" fillId="50"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7"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7" fillId="13" borderId="0" applyNumberFormat="0" applyBorder="0" applyAlignment="0" applyProtection="0"/>
    <xf numFmtId="0" fontId="28" fillId="13" borderId="0" applyNumberFormat="0" applyBorder="0" applyAlignment="0" applyProtection="0"/>
    <xf numFmtId="0" fontId="29" fillId="5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7"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7" fillId="17" borderId="0" applyNumberFormat="0" applyBorder="0" applyAlignment="0" applyProtection="0"/>
    <xf numFmtId="0" fontId="28" fillId="17" borderId="0" applyNumberFormat="0" applyBorder="0" applyAlignment="0" applyProtection="0"/>
    <xf numFmtId="0" fontId="29" fillId="5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7"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7" fillId="21" borderId="0" applyNumberFormat="0" applyBorder="0" applyAlignment="0" applyProtection="0"/>
    <xf numFmtId="0" fontId="28" fillId="21" borderId="0" applyNumberFormat="0" applyBorder="0" applyAlignment="0" applyProtection="0"/>
    <xf numFmtId="0" fontId="29" fillId="4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7"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7" fillId="25" borderId="0" applyNumberFormat="0" applyBorder="0" applyAlignment="0" applyProtection="0"/>
    <xf numFmtId="0" fontId="28" fillId="25" borderId="0" applyNumberFormat="0" applyBorder="0" applyAlignment="0" applyProtection="0"/>
    <xf numFmtId="0" fontId="29" fillId="4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7"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7" fillId="29" borderId="0" applyNumberFormat="0" applyBorder="0" applyAlignment="0" applyProtection="0"/>
    <xf numFmtId="0" fontId="28" fillId="29" borderId="0" applyNumberFormat="0" applyBorder="0" applyAlignment="0" applyProtection="0"/>
    <xf numFmtId="0" fontId="29" fillId="53"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7"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7" fillId="3" borderId="0" applyNumberFormat="0" applyBorder="0" applyAlignment="0" applyProtection="0"/>
    <xf numFmtId="0" fontId="30" fillId="3" borderId="0" applyNumberFormat="0" applyBorder="0" applyAlignment="0" applyProtection="0"/>
    <xf numFmtId="0" fontId="31" fillId="37"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7"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11" fillId="6" borderId="4" applyNumberFormat="0" applyAlignment="0" applyProtection="0"/>
    <xf numFmtId="0" fontId="32" fillId="6" borderId="4" applyNumberFormat="0" applyAlignment="0" applyProtection="0"/>
    <xf numFmtId="0" fontId="33" fillId="54" borderId="19"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11"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13" fillId="7" borderId="7" applyNumberFormat="0" applyAlignment="0" applyProtection="0"/>
    <xf numFmtId="0" fontId="34" fillId="7" borderId="7" applyNumberFormat="0" applyAlignment="0" applyProtection="0"/>
    <xf numFmtId="0" fontId="35" fillId="55" borderId="20"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13"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165" fontId="27"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66" fontId="27"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6" fillId="2" borderId="0" applyNumberFormat="0" applyBorder="0" applyAlignment="0" applyProtection="0"/>
    <xf numFmtId="0" fontId="38" fillId="2" borderId="0" applyNumberFormat="0" applyBorder="0" applyAlignment="0" applyProtection="0"/>
    <xf numFmtId="0" fontId="39" fillId="38"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6"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3" fillId="0" borderId="1" applyNumberFormat="0" applyFill="0" applyAlignment="0" applyProtection="0"/>
    <xf numFmtId="0" fontId="40" fillId="0" borderId="1" applyNumberFormat="0" applyFill="0" applyAlignment="0" applyProtection="0"/>
    <xf numFmtId="0" fontId="41" fillId="0" borderId="2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3" fillId="0" borderId="1" applyNumberFormat="0" applyFill="0" applyAlignment="0" applyProtection="0"/>
    <xf numFmtId="0" fontId="42" fillId="0" borderId="0" applyNumberFormat="0" applyFon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 fillId="0" borderId="2" applyNumberFormat="0" applyFill="0" applyAlignment="0" applyProtection="0"/>
    <xf numFmtId="0" fontId="43" fillId="0" borderId="2" applyNumberFormat="0" applyFill="0" applyAlignment="0" applyProtection="0"/>
    <xf numFmtId="0" fontId="44" fillId="0" borderId="2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 fillId="0" borderId="2" applyNumberFormat="0" applyFill="0" applyAlignment="0" applyProtection="0"/>
    <xf numFmtId="0" fontId="45" fillId="0" borderId="0" applyNumberFormat="0" applyFon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5" fillId="0" borderId="3" applyNumberFormat="0" applyFill="0" applyAlignment="0" applyProtection="0"/>
    <xf numFmtId="0" fontId="46" fillId="0" borderId="3" applyNumberFormat="0" applyFill="0" applyAlignment="0" applyProtection="0"/>
    <xf numFmtId="0" fontId="47" fillId="0" borderId="2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5"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9" fillId="5" borderId="4" applyNumberFormat="0" applyAlignment="0" applyProtection="0"/>
    <xf numFmtId="0" fontId="50" fillId="5" borderId="4" applyNumberFormat="0" applyAlignment="0" applyProtection="0"/>
    <xf numFmtId="0" fontId="51" fillId="41" borderId="19"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9"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12" fillId="0" borderId="6" applyNumberFormat="0" applyFill="0" applyAlignment="0" applyProtection="0"/>
    <xf numFmtId="0" fontId="52" fillId="0" borderId="6" applyNumberFormat="0" applyFill="0" applyAlignment="0" applyProtection="0"/>
    <xf numFmtId="0" fontId="53" fillId="0" borderId="24"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1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8" fillId="4" borderId="0" applyNumberFormat="0" applyBorder="0" applyAlignment="0" applyProtection="0"/>
    <xf numFmtId="0" fontId="54" fillId="4" borderId="0" applyNumberFormat="0" applyBorder="0" applyAlignment="0" applyProtection="0"/>
    <xf numFmtId="0" fontId="55" fillId="56"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8"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18" fillId="0" borderId="0"/>
    <xf numFmtId="0" fontId="18" fillId="0" borderId="0"/>
    <xf numFmtId="0" fontId="1" fillId="0" borderId="0"/>
    <xf numFmtId="0" fontId="1" fillId="0" borderId="0"/>
    <xf numFmtId="0" fontId="1" fillId="0" borderId="0"/>
    <xf numFmtId="0" fontId="26" fillId="0" borderId="0"/>
    <xf numFmtId="0" fontId="1" fillId="0" borderId="0"/>
    <xf numFmtId="0" fontId="56"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1" fillId="8" borderId="8" applyNumberFormat="0" applyFont="0" applyAlignment="0" applyProtection="0"/>
    <xf numFmtId="0" fontId="26" fillId="8" borderId="8" applyNumberFormat="0" applyFont="0" applyAlignment="0" applyProtection="0"/>
    <xf numFmtId="0" fontId="18" fillId="57" borderId="25"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7" borderId="25" applyNumberFormat="0" applyFont="0" applyAlignment="0" applyProtection="0"/>
    <xf numFmtId="0" fontId="26" fillId="8" borderId="8" applyNumberFormat="0" applyFont="0" applyAlignment="0" applyProtection="0"/>
    <xf numFmtId="0" fontId="18" fillId="57" borderId="25"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10" fillId="6" borderId="5" applyNumberFormat="0" applyAlignment="0" applyProtection="0"/>
    <xf numFmtId="0" fontId="57" fillId="6" borderId="5" applyNumberFormat="0" applyAlignment="0" applyProtection="0"/>
    <xf numFmtId="0" fontId="58" fillId="54" borderId="26"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10"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9" fontId="18"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9" fillId="0" borderId="0" applyNumberFormat="0" applyFont="0" applyFill="0" applyBorder="0" applyAlignment="0" applyProtection="0">
      <alignment horizontal="left"/>
    </xf>
    <xf numFmtId="0" fontId="2" fillId="0" borderId="0" applyNumberFormat="0" applyFill="0" applyBorder="0" applyAlignment="0" applyProtection="0"/>
    <xf numFmtId="0" fontId="60" fillId="0" borderId="0" applyNumberFormat="0" applyFill="0" applyBorder="0" applyAlignment="0" applyProtection="0"/>
    <xf numFmtId="0" fontId="2" fillId="0" borderId="0" applyNumberFormat="0" applyFill="0" applyBorder="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16" fillId="0" borderId="9" applyNumberFormat="0" applyFill="0" applyAlignment="0" applyProtection="0"/>
    <xf numFmtId="0" fontId="61" fillId="0" borderId="9" applyNumberFormat="0" applyFill="0" applyAlignment="0" applyProtection="0"/>
    <xf numFmtId="0" fontId="18" fillId="0" borderId="27" applyNumberFormat="0" applyFont="0" applyBorder="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16" fillId="0" borderId="9" applyNumberFormat="0" applyFill="0" applyAlignment="0" applyProtection="0"/>
    <xf numFmtId="0" fontId="62" fillId="0" borderId="28" applyNumberFormat="0" applyFill="0" applyAlignment="0" applyProtection="0"/>
    <xf numFmtId="0" fontId="61" fillId="0" borderId="9" applyNumberFormat="0" applyFill="0" applyAlignment="0" applyProtection="0"/>
    <xf numFmtId="0" fontId="18" fillId="0" borderId="27" applyNumberFormat="0" applyFont="0" applyBorder="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8" fillId="34" borderId="13" applyNumberFormat="0" applyProtection="0">
      <alignment horizontal="left" vertical="center"/>
    </xf>
    <xf numFmtId="0" fontId="27" fillId="0" borderId="0"/>
  </cellStyleXfs>
  <cellXfs count="345">
    <xf numFmtId="0" fontId="0" fillId="0" borderId="0" xfId="0"/>
    <xf numFmtId="0" fontId="18" fillId="0" borderId="0" xfId="3" applyAlignment="1">
      <alignment horizontal="center"/>
    </xf>
    <xf numFmtId="0" fontId="18" fillId="0" borderId="0" xfId="3"/>
    <xf numFmtId="0" fontId="18" fillId="0" borderId="0" xfId="3" applyBorder="1"/>
    <xf numFmtId="0" fontId="19" fillId="0" borderId="0" xfId="3" applyFont="1"/>
    <xf numFmtId="0" fontId="20" fillId="0" borderId="0" xfId="3" applyFont="1" applyAlignment="1">
      <alignment horizontal="right" vertical="top"/>
    </xf>
    <xf numFmtId="0" fontId="18" fillId="0" borderId="0" xfId="3" applyFont="1"/>
    <xf numFmtId="0" fontId="19" fillId="0" borderId="0" xfId="3" applyFont="1" applyAlignment="1">
      <alignment horizontal="right"/>
    </xf>
    <xf numFmtId="0" fontId="22" fillId="33" borderId="0" xfId="3" applyFont="1" applyFill="1" applyAlignment="1"/>
    <xf numFmtId="0" fontId="23" fillId="0" borderId="0" xfId="3" applyFont="1" applyAlignment="1">
      <alignment horizontal="center"/>
    </xf>
    <xf numFmtId="0" fontId="18" fillId="0" borderId="0" xfId="3" applyFill="1" applyBorder="1"/>
    <xf numFmtId="0" fontId="18" fillId="34" borderId="10" xfId="3" applyFill="1" applyBorder="1"/>
    <xf numFmtId="0" fontId="19" fillId="34" borderId="11" xfId="3" applyFont="1" applyFill="1" applyBorder="1" applyAlignment="1"/>
    <xf numFmtId="0" fontId="19" fillId="34" borderId="12" xfId="3" applyFont="1" applyFill="1" applyBorder="1" applyAlignment="1"/>
    <xf numFmtId="0" fontId="19" fillId="34" borderId="13" xfId="3" applyFont="1" applyFill="1" applyBorder="1" applyAlignment="1">
      <alignment horizontal="center" wrapText="1"/>
    </xf>
    <xf numFmtId="0" fontId="19" fillId="34" borderId="13" xfId="3" applyFont="1" applyFill="1" applyBorder="1" applyAlignment="1">
      <alignment horizontal="center"/>
    </xf>
    <xf numFmtId="0" fontId="19" fillId="34" borderId="13" xfId="3" applyFont="1" applyFill="1" applyBorder="1"/>
    <xf numFmtId="0" fontId="18" fillId="34" borderId="14" xfId="3" applyFill="1" applyBorder="1"/>
    <xf numFmtId="0" fontId="19" fillId="34" borderId="15" xfId="3" applyFont="1" applyFill="1" applyBorder="1" applyAlignment="1">
      <alignment horizontal="center" wrapText="1"/>
    </xf>
    <xf numFmtId="0" fontId="19" fillId="34" borderId="16" xfId="3" applyFont="1" applyFill="1" applyBorder="1" applyAlignment="1">
      <alignment horizontal="center"/>
    </xf>
    <xf numFmtId="0" fontId="19" fillId="34" borderId="16" xfId="3" applyFont="1" applyFill="1" applyBorder="1" applyAlignment="1">
      <alignment horizontal="center" wrapText="1"/>
    </xf>
    <xf numFmtId="0" fontId="18" fillId="0" borderId="13" xfId="3" applyBorder="1" applyAlignment="1">
      <alignment horizontal="center" vertical="center"/>
    </xf>
    <xf numFmtId="0" fontId="18" fillId="0" borderId="13" xfId="3" applyFont="1" applyBorder="1" applyAlignment="1">
      <alignment vertical="center" wrapText="1"/>
    </xf>
    <xf numFmtId="10" fontId="18" fillId="35" borderId="13" xfId="3" applyNumberFormat="1" applyFill="1" applyBorder="1"/>
    <xf numFmtId="164" fontId="0" fillId="33" borderId="13" xfId="4" applyNumberFormat="1" applyFont="1" applyFill="1" applyBorder="1"/>
    <xf numFmtId="164" fontId="0" fillId="0" borderId="13" xfId="4" applyNumberFormat="1" applyFont="1" applyBorder="1"/>
    <xf numFmtId="0" fontId="18" fillId="0" borderId="14" xfId="3" applyBorder="1"/>
    <xf numFmtId="164" fontId="0" fillId="33" borderId="12" xfId="4" applyNumberFormat="1" applyFont="1" applyFill="1" applyBorder="1"/>
    <xf numFmtId="164" fontId="18" fillId="0" borderId="13" xfId="3" applyNumberFormat="1" applyBorder="1"/>
    <xf numFmtId="0" fontId="18" fillId="0" borderId="13" xfId="3" applyFill="1" applyBorder="1" applyAlignment="1">
      <alignment horizontal="center" vertical="center"/>
    </xf>
    <xf numFmtId="0" fontId="18" fillId="0" borderId="13" xfId="3" applyFill="1" applyBorder="1" applyAlignment="1">
      <alignment vertical="center" wrapText="1"/>
    </xf>
    <xf numFmtId="0" fontId="18" fillId="0" borderId="13" xfId="3" applyBorder="1" applyAlignment="1">
      <alignment vertical="center" wrapText="1"/>
    </xf>
    <xf numFmtId="0" fontId="18" fillId="0" borderId="13" xfId="3" applyFont="1" applyBorder="1" applyAlignment="1">
      <alignment horizontal="center" vertical="center"/>
    </xf>
    <xf numFmtId="164" fontId="0" fillId="33" borderId="0" xfId="4" applyNumberFormat="1" applyFont="1" applyFill="1"/>
    <xf numFmtId="0" fontId="18" fillId="0" borderId="13" xfId="3" applyFont="1" applyFill="1" applyBorder="1" applyAlignment="1">
      <alignment horizontal="center" vertical="center"/>
    </xf>
    <xf numFmtId="0" fontId="18" fillId="0" borderId="13" xfId="3" applyFont="1" applyFill="1" applyBorder="1" applyAlignment="1">
      <alignment vertical="center" wrapText="1"/>
    </xf>
    <xf numFmtId="0" fontId="18" fillId="0" borderId="13" xfId="3" applyBorder="1" applyAlignment="1">
      <alignment horizontal="center"/>
    </xf>
    <xf numFmtId="0" fontId="18" fillId="0" borderId="13" xfId="3" applyBorder="1"/>
    <xf numFmtId="0" fontId="18" fillId="33" borderId="13" xfId="3" applyFill="1" applyBorder="1"/>
    <xf numFmtId="0" fontId="19" fillId="0" borderId="13" xfId="3" applyFont="1" applyBorder="1"/>
    <xf numFmtId="164" fontId="19" fillId="0" borderId="13" xfId="3" applyNumberFormat="1" applyFont="1" applyBorder="1"/>
    <xf numFmtId="0" fontId="18" fillId="0" borderId="0" xfId="3" applyFont="1" applyAlignment="1"/>
    <xf numFmtId="0" fontId="18" fillId="0" borderId="0" xfId="3" applyAlignment="1"/>
    <xf numFmtId="164" fontId="0" fillId="33" borderId="17" xfId="4" applyNumberFormat="1" applyFont="1" applyFill="1" applyBorder="1"/>
    <xf numFmtId="164" fontId="0" fillId="33" borderId="18" xfId="4" applyNumberFormat="1" applyFont="1" applyFill="1" applyBorder="1"/>
    <xf numFmtId="0" fontId="19" fillId="0" borderId="0" xfId="3" applyFont="1" applyFill="1" applyBorder="1" applyAlignment="1"/>
    <xf numFmtId="164" fontId="0" fillId="0" borderId="11" xfId="4" applyNumberFormat="1" applyFont="1" applyBorder="1"/>
    <xf numFmtId="0" fontId="25" fillId="0" borderId="0" xfId="3" applyFont="1" applyAlignment="1">
      <alignment horizontal="center"/>
    </xf>
    <xf numFmtId="0" fontId="18" fillId="0" borderId="0" xfId="3" applyFont="1" applyAlignment="1">
      <alignment horizontal="left"/>
    </xf>
    <xf numFmtId="0" fontId="65" fillId="0" borderId="0" xfId="3" applyFont="1" applyFill="1" applyBorder="1" applyAlignment="1">
      <alignment vertical="top"/>
    </xf>
    <xf numFmtId="0" fontId="18" fillId="0" borderId="0" xfId="3" applyFill="1" applyBorder="1" applyAlignment="1">
      <alignment vertical="top"/>
    </xf>
    <xf numFmtId="0" fontId="66" fillId="0" borderId="0" xfId="3" applyFont="1" applyFill="1" applyBorder="1" applyAlignment="1">
      <alignment vertical="top"/>
    </xf>
    <xf numFmtId="0" fontId="67" fillId="0" borderId="0" xfId="3" applyFont="1" applyFill="1" applyBorder="1" applyAlignment="1">
      <alignment vertical="top"/>
    </xf>
    <xf numFmtId="0" fontId="45" fillId="0" borderId="0" xfId="3" applyFont="1" applyFill="1" applyBorder="1" applyAlignment="1">
      <alignment vertical="top"/>
    </xf>
    <xf numFmtId="0" fontId="19" fillId="58" borderId="13" xfId="3" applyFont="1" applyFill="1" applyBorder="1" applyAlignment="1">
      <alignment vertical="top" wrapText="1"/>
    </xf>
    <xf numFmtId="0" fontId="18" fillId="0" borderId="0" xfId="3" applyNumberFormat="1" applyFill="1" applyBorder="1" applyAlignment="1">
      <alignment vertical="top"/>
    </xf>
    <xf numFmtId="0" fontId="19" fillId="58" borderId="13" xfId="3" applyFont="1" applyFill="1" applyBorder="1" applyAlignment="1">
      <alignment vertical="top"/>
    </xf>
    <xf numFmtId="0" fontId="67" fillId="0" borderId="0" xfId="3" applyNumberFormat="1" applyFont="1" applyFill="1" applyBorder="1" applyAlignment="1">
      <alignment vertical="top"/>
    </xf>
    <xf numFmtId="0" fontId="18" fillId="0" borderId="29" xfId="3" applyFill="1" applyBorder="1" applyAlignment="1">
      <alignment vertical="top"/>
    </xf>
    <xf numFmtId="0" fontId="18" fillId="0" borderId="30" xfId="3" applyFill="1" applyBorder="1" applyAlignment="1">
      <alignment vertical="top"/>
    </xf>
    <xf numFmtId="0" fontId="18" fillId="0" borderId="31" xfId="3" applyFont="1" applyFill="1" applyBorder="1" applyAlignment="1">
      <alignment vertical="top"/>
    </xf>
    <xf numFmtId="168" fontId="18" fillId="0" borderId="29" xfId="3" applyNumberFormat="1" applyFill="1" applyBorder="1" applyAlignment="1">
      <alignment vertical="top"/>
    </xf>
    <xf numFmtId="168" fontId="18" fillId="0" borderId="30" xfId="3" applyNumberFormat="1" applyFill="1" applyBorder="1" applyAlignment="1">
      <alignment vertical="top"/>
    </xf>
    <xf numFmtId="168" fontId="18" fillId="0" borderId="32" xfId="3" applyNumberFormat="1" applyFill="1" applyBorder="1" applyAlignment="1">
      <alignment vertical="top"/>
    </xf>
    <xf numFmtId="168" fontId="18" fillId="0" borderId="31" xfId="3" applyNumberFormat="1" applyFill="1" applyBorder="1" applyAlignment="1">
      <alignment vertical="top"/>
    </xf>
    <xf numFmtId="0" fontId="18" fillId="59" borderId="33" xfId="3" applyFill="1" applyBorder="1" applyAlignment="1">
      <alignment vertical="top"/>
    </xf>
    <xf numFmtId="0" fontId="18" fillId="59" borderId="34" xfId="3" applyFill="1" applyBorder="1" applyAlignment="1">
      <alignment vertical="top"/>
    </xf>
    <xf numFmtId="0" fontId="18" fillId="59" borderId="35" xfId="3" applyFont="1" applyFill="1" applyBorder="1" applyAlignment="1">
      <alignment vertical="top"/>
    </xf>
    <xf numFmtId="168" fontId="18" fillId="59" borderId="33" xfId="3" applyNumberFormat="1" applyFill="1" applyBorder="1" applyAlignment="1">
      <alignment vertical="top"/>
    </xf>
    <xf numFmtId="168" fontId="18" fillId="59" borderId="34" xfId="3" applyNumberFormat="1" applyFill="1" applyBorder="1" applyAlignment="1">
      <alignment vertical="top"/>
    </xf>
    <xf numFmtId="168" fontId="18" fillId="59" borderId="36" xfId="3" applyNumberFormat="1" applyFill="1" applyBorder="1" applyAlignment="1">
      <alignment vertical="top"/>
    </xf>
    <xf numFmtId="168" fontId="18" fillId="59" borderId="35" xfId="3" applyNumberFormat="1" applyFill="1" applyBorder="1" applyAlignment="1">
      <alignment vertical="top"/>
    </xf>
    <xf numFmtId="0" fontId="18" fillId="0" borderId="33" xfId="3" applyFill="1" applyBorder="1" applyAlignment="1">
      <alignment vertical="top"/>
    </xf>
    <xf numFmtId="0" fontId="18" fillId="0" borderId="34" xfId="3" applyFill="1" applyBorder="1" applyAlignment="1">
      <alignment vertical="top"/>
    </xf>
    <xf numFmtId="0" fontId="18" fillId="0" borderId="35" xfId="3" applyFont="1" applyFill="1" applyBorder="1" applyAlignment="1">
      <alignment vertical="top"/>
    </xf>
    <xf numFmtId="168" fontId="18" fillId="0" borderId="33" xfId="3" applyNumberFormat="1" applyFill="1" applyBorder="1" applyAlignment="1">
      <alignment vertical="top"/>
    </xf>
    <xf numFmtId="168" fontId="18" fillId="0" borderId="34" xfId="3" applyNumberFormat="1" applyFill="1" applyBorder="1" applyAlignment="1">
      <alignment vertical="top"/>
    </xf>
    <xf numFmtId="168" fontId="18" fillId="0" borderId="36" xfId="3" applyNumberFormat="1" applyFill="1" applyBorder="1" applyAlignment="1">
      <alignment vertical="top"/>
    </xf>
    <xf numFmtId="168" fontId="18" fillId="0" borderId="35" xfId="3" applyNumberFormat="1" applyFill="1" applyBorder="1" applyAlignment="1">
      <alignment vertical="top"/>
    </xf>
    <xf numFmtId="0" fontId="19" fillId="58" borderId="10" xfId="3" applyFont="1" applyFill="1" applyBorder="1" applyAlignment="1">
      <alignment vertical="top"/>
    </xf>
    <xf numFmtId="0" fontId="19" fillId="58" borderId="11" xfId="3" applyFont="1" applyFill="1" applyBorder="1" applyAlignment="1">
      <alignment vertical="top"/>
    </xf>
    <xf numFmtId="0" fontId="19" fillId="58" borderId="12" xfId="3" applyFont="1" applyFill="1" applyBorder="1" applyAlignment="1">
      <alignment vertical="top"/>
    </xf>
    <xf numFmtId="168" fontId="19" fillId="58" borderId="13" xfId="3" applyNumberFormat="1" applyFont="1" applyFill="1" applyBorder="1" applyAlignment="1">
      <alignment vertical="top"/>
    </xf>
    <xf numFmtId="3" fontId="18" fillId="0" borderId="29" xfId="3" applyNumberFormat="1" applyFill="1" applyBorder="1" applyAlignment="1">
      <alignment vertical="top"/>
    </xf>
    <xf numFmtId="3" fontId="18" fillId="0" borderId="30" xfId="3" applyNumberFormat="1" applyFill="1" applyBorder="1" applyAlignment="1">
      <alignment vertical="top"/>
    </xf>
    <xf numFmtId="3" fontId="18" fillId="0" borderId="32" xfId="3" applyNumberFormat="1" applyFill="1" applyBorder="1" applyAlignment="1">
      <alignment vertical="top"/>
    </xf>
    <xf numFmtId="3" fontId="18" fillId="0" borderId="31" xfId="3" applyNumberFormat="1" applyFill="1" applyBorder="1" applyAlignment="1">
      <alignment vertical="top"/>
    </xf>
    <xf numFmtId="3" fontId="18" fillId="59" borderId="33" xfId="3" applyNumberFormat="1" applyFill="1" applyBorder="1" applyAlignment="1">
      <alignment vertical="top"/>
    </xf>
    <xf numFmtId="3" fontId="18" fillId="59" borderId="34" xfId="3" applyNumberFormat="1" applyFill="1" applyBorder="1" applyAlignment="1">
      <alignment vertical="top"/>
    </xf>
    <xf numFmtId="3" fontId="18" fillId="59" borderId="36" xfId="3" applyNumberFormat="1" applyFill="1" applyBorder="1" applyAlignment="1">
      <alignment vertical="top"/>
    </xf>
    <xf numFmtId="3" fontId="18" fillId="59" borderId="35" xfId="3" applyNumberFormat="1" applyFill="1" applyBorder="1" applyAlignment="1">
      <alignment vertical="top"/>
    </xf>
    <xf numFmtId="3" fontId="18" fillId="0" borderId="33" xfId="3" applyNumberFormat="1" applyFill="1" applyBorder="1" applyAlignment="1">
      <alignment vertical="top"/>
    </xf>
    <xf numFmtId="3" fontId="18" fillId="0" borderId="34" xfId="3" applyNumberFormat="1" applyFill="1" applyBorder="1" applyAlignment="1">
      <alignment vertical="top"/>
    </xf>
    <xf numFmtId="3" fontId="18" fillId="0" borderId="36" xfId="3" applyNumberFormat="1" applyFill="1" applyBorder="1" applyAlignment="1">
      <alignment vertical="top"/>
    </xf>
    <xf numFmtId="3" fontId="18" fillId="0" borderId="35" xfId="3" applyNumberFormat="1" applyFill="1" applyBorder="1" applyAlignment="1">
      <alignment vertical="top"/>
    </xf>
    <xf numFmtId="3" fontId="19" fillId="58" borderId="13" xfId="3" applyNumberFormat="1" applyFont="1" applyFill="1" applyBorder="1" applyAlignment="1">
      <alignment vertical="top"/>
    </xf>
    <xf numFmtId="0" fontId="69" fillId="0" borderId="0" xfId="0" applyFont="1"/>
    <xf numFmtId="0" fontId="69" fillId="0" borderId="0" xfId="0" applyFont="1" applyAlignment="1">
      <alignment wrapText="1"/>
    </xf>
    <xf numFmtId="0" fontId="69" fillId="0" borderId="0" xfId="0" applyFont="1" applyAlignment="1">
      <alignment horizontal="center" wrapText="1"/>
    </xf>
    <xf numFmtId="164" fontId="69" fillId="0" borderId="0" xfId="2" applyNumberFormat="1" applyFont="1"/>
    <xf numFmtId="0" fontId="69" fillId="0" borderId="0" xfId="0" applyFont="1" applyAlignment="1">
      <alignment horizontal="left" vertical="top" wrapText="1"/>
    </xf>
    <xf numFmtId="164" fontId="69" fillId="60" borderId="0" xfId="2" applyNumberFormat="1" applyFont="1" applyFill="1"/>
    <xf numFmtId="164" fontId="69" fillId="61" borderId="0" xfId="2" applyNumberFormat="1" applyFont="1" applyFill="1"/>
    <xf numFmtId="169" fontId="69" fillId="60" borderId="0" xfId="1" applyNumberFormat="1" applyFont="1" applyFill="1"/>
    <xf numFmtId="169" fontId="69" fillId="61" borderId="0" xfId="1" applyNumberFormat="1" applyFont="1" applyFill="1"/>
    <xf numFmtId="164" fontId="69" fillId="0" borderId="0" xfId="0" applyNumberFormat="1" applyFont="1"/>
    <xf numFmtId="0" fontId="18" fillId="0" borderId="0" xfId="1079"/>
    <xf numFmtId="0" fontId="19" fillId="0" borderId="0" xfId="1079" applyFont="1"/>
    <xf numFmtId="0" fontId="20" fillId="0" borderId="0" xfId="1079" applyFont="1" applyAlignment="1">
      <alignment horizontal="right" vertical="top"/>
    </xf>
    <xf numFmtId="0" fontId="27" fillId="0" borderId="0" xfId="1231"/>
    <xf numFmtId="0" fontId="72" fillId="0" borderId="0" xfId="1231" applyFont="1"/>
    <xf numFmtId="0" fontId="62" fillId="0" borderId="0" xfId="1231" applyFont="1"/>
    <xf numFmtId="0" fontId="73" fillId="0" borderId="0" xfId="1231" applyFont="1"/>
    <xf numFmtId="0" fontId="74" fillId="0" borderId="0" xfId="1231" applyFont="1"/>
    <xf numFmtId="0" fontId="70" fillId="0" borderId="13" xfId="1231" applyFont="1" applyBorder="1" applyAlignment="1">
      <alignment horizontal="center" wrapText="1"/>
    </xf>
    <xf numFmtId="0" fontId="70" fillId="0" borderId="0" xfId="1231" applyFont="1"/>
    <xf numFmtId="0" fontId="70" fillId="0" borderId="13" xfId="1231" applyFont="1" applyBorder="1" applyAlignment="1">
      <alignment horizontal="center" vertical="center"/>
    </xf>
    <xf numFmtId="0" fontId="73" fillId="0" borderId="13" xfId="1231" applyFont="1" applyBorder="1"/>
    <xf numFmtId="0" fontId="73" fillId="0" borderId="13" xfId="1231" applyFont="1" applyBorder="1" applyAlignment="1">
      <alignment horizontal="center"/>
    </xf>
    <xf numFmtId="169" fontId="73" fillId="62" borderId="13" xfId="814" applyNumberFormat="1" applyFont="1" applyFill="1" applyBorder="1"/>
    <xf numFmtId="169" fontId="73" fillId="62" borderId="13" xfId="814" applyNumberFormat="1" applyFont="1" applyFill="1" applyBorder="1" applyAlignment="1"/>
    <xf numFmtId="169" fontId="73" fillId="33" borderId="13" xfId="814" applyNumberFormat="1" applyFont="1" applyFill="1" applyBorder="1" applyAlignment="1"/>
    <xf numFmtId="0" fontId="73" fillId="62" borderId="13" xfId="1231" applyFont="1" applyFill="1" applyBorder="1"/>
    <xf numFmtId="0" fontId="70" fillId="0" borderId="13" xfId="1231" applyFont="1" applyBorder="1"/>
    <xf numFmtId="169" fontId="73" fillId="0" borderId="13" xfId="814" applyNumberFormat="1" applyFont="1" applyBorder="1" applyAlignment="1"/>
    <xf numFmtId="3" fontId="73" fillId="0" borderId="0" xfId="1231" applyNumberFormat="1" applyFont="1" applyAlignment="1"/>
    <xf numFmtId="0" fontId="70" fillId="0" borderId="0" xfId="1231" applyFont="1" applyAlignment="1">
      <alignment wrapText="1"/>
    </xf>
    <xf numFmtId="0" fontId="70" fillId="0" borderId="13" xfId="1231" applyFont="1" applyBorder="1" applyAlignment="1">
      <alignment wrapText="1"/>
    </xf>
    <xf numFmtId="3" fontId="73" fillId="62" borderId="13" xfId="1231" applyNumberFormat="1" applyFont="1" applyFill="1" applyBorder="1"/>
    <xf numFmtId="3" fontId="73" fillId="0" borderId="13" xfId="1231" applyNumberFormat="1" applyFont="1" applyBorder="1"/>
    <xf numFmtId="2" fontId="73" fillId="62" borderId="13" xfId="1231" applyNumberFormat="1" applyFont="1" applyFill="1" applyBorder="1"/>
    <xf numFmtId="169" fontId="73" fillId="0" borderId="13" xfId="814" applyNumberFormat="1" applyFont="1" applyBorder="1"/>
    <xf numFmtId="0" fontId="70" fillId="0" borderId="13" xfId="1231" applyFont="1" applyBorder="1" applyAlignment="1">
      <alignment horizontal="right"/>
    </xf>
    <xf numFmtId="0" fontId="73" fillId="0" borderId="13" xfId="1231" applyFont="1" applyBorder="1" applyAlignment="1">
      <alignment horizontal="left" wrapText="1" indent="3"/>
    </xf>
    <xf numFmtId="3" fontId="73" fillId="0" borderId="0" xfId="1231" applyNumberFormat="1" applyFont="1"/>
    <xf numFmtId="0" fontId="73" fillId="0" borderId="18" xfId="1231" applyFont="1" applyBorder="1" applyAlignment="1">
      <alignment wrapText="1"/>
    </xf>
    <xf numFmtId="0" fontId="73" fillId="0" borderId="18" xfId="1231" applyFont="1" applyBorder="1"/>
    <xf numFmtId="169" fontId="73" fillId="0" borderId="18" xfId="814" applyNumberFormat="1" applyFont="1" applyBorder="1"/>
    <xf numFmtId="0" fontId="70" fillId="0" borderId="0" xfId="1231" applyFont="1" applyAlignment="1">
      <alignment horizontal="right"/>
    </xf>
    <xf numFmtId="10" fontId="73" fillId="33" borderId="17" xfId="1231" applyNumberFormat="1" applyFont="1" applyFill="1" applyBorder="1"/>
    <xf numFmtId="0" fontId="27" fillId="0" borderId="0" xfId="1231" applyFont="1"/>
    <xf numFmtId="0" fontId="73" fillId="0" borderId="18" xfId="1231" applyFont="1" applyBorder="1" applyAlignment="1">
      <alignment horizontal="left" wrapText="1" indent="4"/>
    </xf>
    <xf numFmtId="0" fontId="73" fillId="0" borderId="11" xfId="1231" applyFont="1" applyBorder="1"/>
    <xf numFmtId="169" fontId="73" fillId="0" borderId="11" xfId="814" applyNumberFormat="1" applyFont="1" applyBorder="1"/>
    <xf numFmtId="0" fontId="70" fillId="33" borderId="0" xfId="1231" applyFont="1" applyFill="1" applyAlignment="1">
      <alignment horizontal="center" vertical="center"/>
    </xf>
    <xf numFmtId="0" fontId="74" fillId="0" borderId="0" xfId="1231" applyFont="1" applyAlignment="1">
      <alignment vertical="center"/>
    </xf>
    <xf numFmtId="0" fontId="70" fillId="0" borderId="11" xfId="1231" applyFont="1" applyBorder="1"/>
    <xf numFmtId="0" fontId="19" fillId="0" borderId="0" xfId="3" applyFont="1" applyAlignment="1">
      <alignment horizontal="left"/>
    </xf>
    <xf numFmtId="0" fontId="18" fillId="0" borderId="0" xfId="3" applyAlignment="1">
      <alignment horizontal="left"/>
    </xf>
    <xf numFmtId="0" fontId="19" fillId="0" borderId="37" xfId="3" applyFont="1" applyBorder="1"/>
    <xf numFmtId="0" fontId="19" fillId="0" borderId="38" xfId="3" applyFont="1" applyBorder="1"/>
    <xf numFmtId="0" fontId="19" fillId="0" borderId="38" xfId="3" applyFont="1" applyFill="1" applyBorder="1" applyAlignment="1">
      <alignment horizontal="center"/>
    </xf>
    <xf numFmtId="0" fontId="19" fillId="34" borderId="38" xfId="3" applyFont="1" applyFill="1" applyBorder="1" applyAlignment="1">
      <alignment horizontal="center"/>
    </xf>
    <xf numFmtId="0" fontId="19" fillId="34" borderId="39" xfId="3" applyFont="1" applyFill="1" applyBorder="1" applyAlignment="1">
      <alignment horizontal="center"/>
    </xf>
    <xf numFmtId="0" fontId="19" fillId="0" borderId="40" xfId="3" applyFont="1" applyBorder="1"/>
    <xf numFmtId="0" fontId="19" fillId="0" borderId="16" xfId="3" applyFont="1" applyBorder="1"/>
    <xf numFmtId="0" fontId="19" fillId="34" borderId="41" xfId="3" applyFont="1" applyFill="1" applyBorder="1" applyAlignment="1">
      <alignment horizontal="center"/>
    </xf>
    <xf numFmtId="0" fontId="19" fillId="34" borderId="42" xfId="3" applyFont="1" applyFill="1" applyBorder="1" applyAlignment="1">
      <alignment horizontal="center"/>
    </xf>
    <xf numFmtId="0" fontId="25" fillId="0" borderId="16" xfId="3" applyFont="1" applyBorder="1"/>
    <xf numFmtId="0" fontId="19" fillId="60" borderId="16" xfId="3" applyFont="1" applyFill="1" applyBorder="1" applyAlignment="1">
      <alignment horizontal="center"/>
    </xf>
    <xf numFmtId="0" fontId="19" fillId="60" borderId="41" xfId="3" applyFont="1" applyFill="1" applyBorder="1" applyAlignment="1">
      <alignment horizontal="center"/>
    </xf>
    <xf numFmtId="0" fontId="19" fillId="60" borderId="42" xfId="3" applyFont="1" applyFill="1" applyBorder="1" applyAlignment="1">
      <alignment horizontal="center"/>
    </xf>
    <xf numFmtId="0" fontId="19" fillId="0" borderId="43" xfId="3" applyFont="1" applyBorder="1" applyAlignment="1">
      <alignment horizontal="center"/>
    </xf>
    <xf numFmtId="164" fontId="0" fillId="33" borderId="10" xfId="4" applyNumberFormat="1" applyFont="1" applyFill="1" applyBorder="1"/>
    <xf numFmtId="164" fontId="0" fillId="33" borderId="44" xfId="4" applyNumberFormat="1" applyFont="1" applyFill="1" applyBorder="1"/>
    <xf numFmtId="0" fontId="19" fillId="0" borderId="13" xfId="3" applyFont="1" applyBorder="1" applyAlignment="1">
      <alignment wrapText="1"/>
    </xf>
    <xf numFmtId="0" fontId="18" fillId="33" borderId="43" xfId="3" applyFont="1" applyFill="1" applyBorder="1" applyAlignment="1">
      <alignment horizontal="center"/>
    </xf>
    <xf numFmtId="0" fontId="18" fillId="33" borderId="13" xfId="3" applyFont="1" applyFill="1" applyBorder="1"/>
    <xf numFmtId="164" fontId="18" fillId="33" borderId="13" xfId="4" applyNumberFormat="1" applyFont="1" applyFill="1" applyBorder="1"/>
    <xf numFmtId="164" fontId="18" fillId="0" borderId="44" xfId="3" applyNumberFormat="1" applyBorder="1"/>
    <xf numFmtId="164" fontId="18" fillId="33" borderId="46" xfId="3" applyNumberFormat="1" applyFill="1" applyBorder="1"/>
    <xf numFmtId="164" fontId="18" fillId="33" borderId="47" xfId="3" applyNumberFormat="1" applyFill="1" applyBorder="1"/>
    <xf numFmtId="164" fontId="18" fillId="33" borderId="48" xfId="3" applyNumberFormat="1" applyFill="1" applyBorder="1"/>
    <xf numFmtId="164" fontId="0" fillId="0" borderId="50" xfId="4" applyNumberFormat="1" applyFont="1" applyBorder="1"/>
    <xf numFmtId="164" fontId="0" fillId="0" borderId="51" xfId="4" applyNumberFormat="1" applyFont="1" applyBorder="1"/>
    <xf numFmtId="164" fontId="18" fillId="0" borderId="0" xfId="3" applyNumberFormat="1"/>
    <xf numFmtId="0" fontId="75" fillId="0" borderId="0" xfId="3" applyFont="1"/>
    <xf numFmtId="0" fontId="18" fillId="0" borderId="0" xfId="3" applyFont="1" applyAlignment="1">
      <alignment wrapText="1"/>
    </xf>
    <xf numFmtId="0" fontId="18" fillId="0" borderId="52" xfId="3" applyBorder="1"/>
    <xf numFmtId="0" fontId="18" fillId="0" borderId="53" xfId="3" applyBorder="1"/>
    <xf numFmtId="0" fontId="19" fillId="0" borderId="54" xfId="3" applyFont="1" applyFill="1" applyBorder="1" applyAlignment="1">
      <alignment horizontal="center"/>
    </xf>
    <xf numFmtId="0" fontId="19" fillId="0" borderId="14" xfId="3" applyFont="1" applyFill="1" applyBorder="1" applyAlignment="1">
      <alignment horizontal="center"/>
    </xf>
    <xf numFmtId="0" fontId="19" fillId="0" borderId="44" xfId="3" applyFont="1" applyFill="1" applyBorder="1" applyAlignment="1">
      <alignment horizontal="center"/>
    </xf>
    <xf numFmtId="164" fontId="0" fillId="33" borderId="11" xfId="4" applyNumberFormat="1" applyFont="1" applyFill="1" applyBorder="1"/>
    <xf numFmtId="164" fontId="0" fillId="33" borderId="14" xfId="4" applyNumberFormat="1" applyFont="1" applyFill="1" applyBorder="1"/>
    <xf numFmtId="164" fontId="0" fillId="33" borderId="0" xfId="4" applyNumberFormat="1" applyFont="1" applyFill="1" applyBorder="1"/>
    <xf numFmtId="164" fontId="0" fillId="33" borderId="59" xfId="4" applyNumberFormat="1" applyFont="1" applyFill="1" applyBorder="1"/>
    <xf numFmtId="164" fontId="0" fillId="33" borderId="60" xfId="4" applyNumberFormat="1" applyFont="1" applyFill="1" applyBorder="1"/>
    <xf numFmtId="164" fontId="0" fillId="33" borderId="61" xfId="4" applyNumberFormat="1" applyFont="1" applyFill="1" applyBorder="1"/>
    <xf numFmtId="164" fontId="0" fillId="33" borderId="62" xfId="4" applyNumberFormat="1" applyFont="1" applyFill="1" applyBorder="1"/>
    <xf numFmtId="0" fontId="18" fillId="33" borderId="63" xfId="3" applyFill="1" applyBorder="1" applyAlignment="1">
      <alignment horizontal="left"/>
    </xf>
    <xf numFmtId="0" fontId="18" fillId="33" borderId="64" xfId="3" applyFill="1" applyBorder="1" applyAlignment="1">
      <alignment horizontal="left"/>
    </xf>
    <xf numFmtId="164" fontId="0" fillId="33" borderId="46" xfId="4" applyNumberFormat="1" applyFont="1" applyFill="1" applyBorder="1"/>
    <xf numFmtId="164" fontId="0" fillId="33" borderId="66" xfId="4" applyNumberFormat="1" applyFont="1" applyFill="1" applyBorder="1"/>
    <xf numFmtId="164" fontId="0" fillId="33" borderId="67" xfId="4" applyNumberFormat="1" applyFont="1" applyFill="1" applyBorder="1"/>
    <xf numFmtId="164" fontId="0" fillId="0" borderId="70" xfId="4" applyNumberFormat="1" applyFont="1" applyBorder="1"/>
    <xf numFmtId="164" fontId="18" fillId="33" borderId="44" xfId="4" applyNumberFormat="1" applyFont="1" applyFill="1" applyBorder="1"/>
    <xf numFmtId="0" fontId="19" fillId="0" borderId="0" xfId="3" applyFont="1" applyAlignment="1">
      <alignment horizontal="center"/>
    </xf>
    <xf numFmtId="0" fontId="18" fillId="0" borderId="0" xfId="3" applyAlignment="1">
      <alignment horizontal="center" vertical="center"/>
    </xf>
    <xf numFmtId="49" fontId="77" fillId="0" borderId="0" xfId="1079" applyNumberFormat="1" applyFont="1" applyFill="1" applyAlignment="1">
      <alignment horizontal="center"/>
    </xf>
    <xf numFmtId="49" fontId="77" fillId="0" borderId="0" xfId="1079" applyNumberFormat="1" applyFont="1" applyFill="1" applyAlignment="1"/>
    <xf numFmtId="0" fontId="77" fillId="0" borderId="0" xfId="1079" applyFont="1" applyFill="1" applyAlignment="1"/>
    <xf numFmtId="4" fontId="77" fillId="0" borderId="0" xfId="1079" applyNumberFormat="1" applyFont="1" applyFill="1" applyAlignment="1"/>
    <xf numFmtId="0" fontId="77" fillId="0" borderId="0" xfId="1079" applyFont="1" applyFill="1" applyBorder="1" applyAlignment="1"/>
    <xf numFmtId="166" fontId="77" fillId="0" borderId="0" xfId="1079" applyNumberFormat="1" applyFont="1" applyFill="1" applyBorder="1"/>
    <xf numFmtId="166" fontId="77" fillId="0" borderId="0" xfId="1079" applyNumberFormat="1" applyFont="1" applyFill="1"/>
    <xf numFmtId="49" fontId="21" fillId="0" borderId="0" xfId="1079" applyNumberFormat="1" applyFont="1" applyFill="1" applyBorder="1" applyAlignment="1">
      <alignment horizontal="left"/>
    </xf>
    <xf numFmtId="49" fontId="77" fillId="0" borderId="0" xfId="1079" applyNumberFormat="1" applyFont="1" applyFill="1"/>
    <xf numFmtId="166" fontId="77" fillId="0" borderId="0" xfId="1079" applyNumberFormat="1" applyFont="1" applyFill="1" applyAlignment="1">
      <alignment horizontal="center"/>
    </xf>
    <xf numFmtId="166" fontId="77" fillId="0" borderId="0" xfId="1079" applyNumberFormat="1" applyFont="1" applyFill="1" applyBorder="1" applyAlignment="1">
      <alignment horizontal="center"/>
    </xf>
    <xf numFmtId="166" fontId="77" fillId="0" borderId="0" xfId="1079" applyNumberFormat="1" applyFont="1" applyFill="1" applyBorder="1" applyAlignment="1">
      <alignment horizontal="center" wrapText="1"/>
    </xf>
    <xf numFmtId="166" fontId="45" fillId="0" borderId="0" xfId="1079" applyNumberFormat="1" applyFont="1" applyFill="1" applyBorder="1"/>
    <xf numFmtId="49" fontId="77" fillId="0" borderId="0" xfId="1079" applyNumberFormat="1" applyFont="1" applyFill="1" applyBorder="1" applyAlignment="1">
      <alignment horizontal="center"/>
    </xf>
    <xf numFmtId="49" fontId="77" fillId="0" borderId="0" xfId="1079" applyNumberFormat="1" applyFont="1" applyFill="1" applyAlignment="1">
      <alignment wrapText="1"/>
    </xf>
    <xf numFmtId="166" fontId="77" fillId="0" borderId="0" xfId="1079" applyNumberFormat="1" applyFont="1" applyFill="1" applyAlignment="1">
      <alignment horizontal="center" wrapText="1"/>
    </xf>
    <xf numFmtId="166" fontId="45" fillId="0" borderId="0" xfId="1079" applyNumberFormat="1" applyFont="1" applyFill="1" applyBorder="1" applyAlignment="1">
      <alignment horizontal="center" wrapText="1"/>
    </xf>
    <xf numFmtId="166" fontId="77" fillId="0" borderId="0" xfId="1079" applyNumberFormat="1" applyFont="1" applyFill="1" applyBorder="1" applyAlignment="1">
      <alignment wrapText="1"/>
    </xf>
    <xf numFmtId="166" fontId="77" fillId="0" borderId="0" xfId="1079" applyNumberFormat="1" applyFont="1" applyFill="1" applyAlignment="1">
      <alignment wrapText="1"/>
    </xf>
    <xf numFmtId="166" fontId="78" fillId="0" borderId="0" xfId="1079" applyNumberFormat="1" applyFont="1" applyFill="1" applyAlignment="1">
      <alignment horizontal="center"/>
    </xf>
    <xf numFmtId="1" fontId="0" fillId="0" borderId="0" xfId="0" applyNumberFormat="1"/>
    <xf numFmtId="166" fontId="78" fillId="0" borderId="0" xfId="1079" applyNumberFormat="1" applyFont="1" applyFill="1" applyBorder="1"/>
    <xf numFmtId="49" fontId="79" fillId="0" borderId="0" xfId="1079" applyNumberFormat="1" applyFont="1" applyFill="1" applyBorder="1" applyAlignment="1">
      <alignment horizontal="center"/>
    </xf>
    <xf numFmtId="49" fontId="79" fillId="0" borderId="0" xfId="1079" applyNumberFormat="1" applyFont="1" applyFill="1"/>
    <xf numFmtId="166" fontId="79" fillId="0" borderId="0" xfId="1079" applyNumberFormat="1" applyFont="1" applyFill="1" applyAlignment="1">
      <alignment horizontal="center"/>
    </xf>
    <xf numFmtId="166" fontId="79" fillId="0" borderId="0" xfId="1079" applyNumberFormat="1" applyFont="1" applyFill="1" applyBorder="1" applyAlignment="1">
      <alignment horizontal="center"/>
    </xf>
    <xf numFmtId="166" fontId="79" fillId="0" borderId="0" xfId="1079" applyNumberFormat="1" applyFont="1" applyFill="1" applyBorder="1"/>
    <xf numFmtId="166" fontId="22" fillId="0" borderId="0" xfId="1079" applyNumberFormat="1" applyFont="1" applyFill="1" applyBorder="1"/>
    <xf numFmtId="166" fontId="79" fillId="0" borderId="0" xfId="1079" applyNumberFormat="1" applyFont="1" applyFill="1"/>
    <xf numFmtId="166" fontId="78" fillId="0" borderId="0" xfId="1079" applyNumberFormat="1" applyFont="1" applyFill="1" applyBorder="1" applyAlignment="1">
      <alignment horizontal="center"/>
    </xf>
    <xf numFmtId="49" fontId="80" fillId="0" borderId="0" xfId="1079" applyNumberFormat="1" applyFont="1" applyFill="1" applyAlignment="1">
      <alignment horizontal="right"/>
    </xf>
    <xf numFmtId="166" fontId="79" fillId="0" borderId="18" xfId="1079" applyNumberFormat="1" applyFont="1" applyFill="1" applyBorder="1" applyAlignment="1">
      <alignment horizontal="center"/>
    </xf>
    <xf numFmtId="166" fontId="78" fillId="0" borderId="18" xfId="1079" applyNumberFormat="1" applyFont="1" applyFill="1" applyBorder="1" applyAlignment="1">
      <alignment horizontal="center"/>
    </xf>
    <xf numFmtId="49" fontId="79" fillId="0" borderId="0" xfId="1079" applyNumberFormat="1" applyFont="1" applyBorder="1" applyAlignment="1">
      <alignment horizontal="right"/>
    </xf>
    <xf numFmtId="166" fontId="78" fillId="0" borderId="0" xfId="1079" applyNumberFormat="1" applyFont="1" applyFill="1"/>
    <xf numFmtId="170" fontId="77" fillId="0" borderId="0" xfId="1079" applyNumberFormat="1" applyFont="1" applyFill="1"/>
    <xf numFmtId="171" fontId="77" fillId="0" borderId="0" xfId="1079" applyNumberFormat="1" applyFont="1" applyFill="1" applyAlignment="1">
      <alignment horizontal="center"/>
    </xf>
    <xf numFmtId="172" fontId="77" fillId="0" borderId="0" xfId="1079" applyNumberFormat="1" applyFont="1" applyFill="1"/>
    <xf numFmtId="172" fontId="79" fillId="0" borderId="0" xfId="1079" applyNumberFormat="1" applyFont="1" applyBorder="1" applyAlignment="1">
      <alignment horizontal="right"/>
    </xf>
    <xf numFmtId="166" fontId="78" fillId="0" borderId="18" xfId="1079" applyNumberFormat="1" applyFont="1" applyFill="1" applyBorder="1"/>
    <xf numFmtId="49" fontId="79" fillId="0" borderId="0" xfId="1079" applyNumberFormat="1" applyFont="1" applyFill="1" applyBorder="1"/>
    <xf numFmtId="166" fontId="22" fillId="0" borderId="0" xfId="1079" applyNumberFormat="1" applyFont="1" applyFill="1"/>
    <xf numFmtId="166" fontId="79" fillId="0" borderId="61" xfId="1079" applyNumberFormat="1" applyFont="1" applyFill="1" applyBorder="1" applyAlignment="1">
      <alignment horizontal="center"/>
    </xf>
    <xf numFmtId="0" fontId="45" fillId="0" borderId="0" xfId="3" applyFont="1"/>
    <xf numFmtId="0" fontId="83" fillId="0" borderId="0" xfId="3" applyFont="1"/>
    <xf numFmtId="0" fontId="19" fillId="0" borderId="71" xfId="3" applyFont="1" applyFill="1" applyBorder="1" applyAlignment="1">
      <alignment horizontal="center"/>
    </xf>
    <xf numFmtId="0" fontId="19" fillId="0" borderId="72" xfId="3" applyFont="1" applyFill="1" applyBorder="1" applyAlignment="1">
      <alignment horizontal="center"/>
    </xf>
    <xf numFmtId="0" fontId="19" fillId="0" borderId="73" xfId="3" applyFont="1" applyFill="1" applyBorder="1" applyAlignment="1">
      <alignment horizontal="center"/>
    </xf>
    <xf numFmtId="0" fontId="18" fillId="0" borderId="0" xfId="3" applyFont="1" applyAlignment="1">
      <alignment horizontal="right"/>
    </xf>
    <xf numFmtId="0" fontId="18" fillId="0" borderId="57" xfId="3" applyFont="1" applyFill="1" applyBorder="1"/>
    <xf numFmtId="3" fontId="18" fillId="0" borderId="0" xfId="3" applyNumberFormat="1" applyFont="1" applyFill="1" applyBorder="1"/>
    <xf numFmtId="3" fontId="18" fillId="0" borderId="74" xfId="3" applyNumberFormat="1" applyFont="1" applyFill="1" applyBorder="1"/>
    <xf numFmtId="0" fontId="18" fillId="0" borderId="68" xfId="3" applyFont="1" applyFill="1" applyBorder="1"/>
    <xf numFmtId="3" fontId="18" fillId="0" borderId="75" xfId="3" applyNumberFormat="1" applyFont="1" applyFill="1" applyBorder="1"/>
    <xf numFmtId="3" fontId="18" fillId="0" borderId="70" xfId="3" applyNumberFormat="1" applyFont="1" applyFill="1" applyBorder="1"/>
    <xf numFmtId="3" fontId="18" fillId="0" borderId="0" xfId="3" applyNumberFormat="1" applyFont="1"/>
    <xf numFmtId="0" fontId="19" fillId="0" borderId="71" xfId="3" applyFont="1" applyBorder="1" applyAlignment="1">
      <alignment horizontal="center"/>
    </xf>
    <xf numFmtId="0" fontId="18" fillId="0" borderId="76" xfId="3" applyFont="1" applyFill="1" applyBorder="1"/>
    <xf numFmtId="0" fontId="19" fillId="0" borderId="76" xfId="3" applyFont="1" applyFill="1" applyBorder="1" applyAlignment="1">
      <alignment horizontal="center"/>
    </xf>
    <xf numFmtId="0" fontId="76" fillId="0" borderId="77" xfId="3" applyFont="1" applyFill="1" applyBorder="1" applyAlignment="1">
      <alignment horizontal="center" wrapText="1"/>
    </xf>
    <xf numFmtId="10" fontId="18" fillId="0" borderId="76" xfId="3" applyNumberFormat="1" applyFont="1" applyFill="1" applyBorder="1" applyAlignment="1"/>
    <xf numFmtId="174" fontId="18" fillId="0" borderId="76" xfId="3" applyNumberFormat="1" applyFont="1" applyFill="1" applyBorder="1" applyAlignment="1">
      <alignment horizontal="center"/>
    </xf>
    <xf numFmtId="174" fontId="76" fillId="0" borderId="78" xfId="3" applyNumberFormat="1" applyFont="1" applyFill="1" applyBorder="1" applyAlignment="1">
      <alignment horizontal="center"/>
    </xf>
    <xf numFmtId="10" fontId="18" fillId="0" borderId="0" xfId="3" applyNumberFormat="1" applyFont="1" applyFill="1" applyBorder="1" applyAlignment="1"/>
    <xf numFmtId="174" fontId="18" fillId="0" borderId="0" xfId="3" applyNumberFormat="1" applyFont="1" applyFill="1" applyBorder="1" applyAlignment="1">
      <alignment horizontal="center"/>
    </xf>
    <xf numFmtId="174" fontId="76" fillId="0" borderId="79" xfId="3" applyNumberFormat="1" applyFont="1" applyFill="1" applyBorder="1" applyAlignment="1">
      <alignment horizontal="center"/>
    </xf>
    <xf numFmtId="10" fontId="18" fillId="0" borderId="68" xfId="3" applyNumberFormat="1" applyFont="1" applyFill="1" applyBorder="1" applyAlignment="1"/>
    <xf numFmtId="10" fontId="18" fillId="0" borderId="75" xfId="3" applyNumberFormat="1" applyFont="1" applyFill="1" applyBorder="1" applyAlignment="1"/>
    <xf numFmtId="175" fontId="18" fillId="0" borderId="75" xfId="3" applyNumberFormat="1" applyFont="1" applyFill="1" applyBorder="1" applyAlignment="1">
      <alignment horizontal="center"/>
    </xf>
    <xf numFmtId="175" fontId="76" fillId="0" borderId="80" xfId="3" applyNumberFormat="1" applyFont="1" applyFill="1" applyBorder="1" applyAlignment="1">
      <alignment horizontal="center"/>
    </xf>
    <xf numFmtId="0" fontId="18" fillId="58" borderId="81" xfId="3" applyFill="1" applyBorder="1"/>
    <xf numFmtId="0" fontId="19" fillId="58" borderId="72" xfId="3" applyFont="1" applyFill="1" applyBorder="1" applyAlignment="1">
      <alignment horizontal="center"/>
    </xf>
    <xf numFmtId="0" fontId="19" fillId="58" borderId="73" xfId="3" applyFont="1" applyFill="1" applyBorder="1" applyAlignment="1">
      <alignment horizontal="center"/>
    </xf>
    <xf numFmtId="0" fontId="19" fillId="58" borderId="0" xfId="3" applyFont="1" applyFill="1" applyBorder="1" applyAlignment="1">
      <alignment horizontal="center"/>
    </xf>
    <xf numFmtId="3" fontId="19" fillId="58" borderId="79" xfId="3" applyNumberFormat="1" applyFont="1" applyFill="1" applyBorder="1" applyAlignment="1">
      <alignment horizontal="left"/>
    </xf>
    <xf numFmtId="3" fontId="18" fillId="0" borderId="0" xfId="3" applyNumberFormat="1" applyBorder="1"/>
    <xf numFmtId="3" fontId="18" fillId="0" borderId="74" xfId="3" applyNumberFormat="1" applyBorder="1"/>
    <xf numFmtId="3" fontId="18" fillId="0" borderId="0" xfId="3" applyNumberFormat="1"/>
    <xf numFmtId="173" fontId="18" fillId="0" borderId="0" xfId="3" applyNumberFormat="1"/>
    <xf numFmtId="173" fontId="18" fillId="0" borderId="74" xfId="3" applyNumberFormat="1" applyBorder="1"/>
    <xf numFmtId="176" fontId="18" fillId="0" borderId="0" xfId="3" applyNumberFormat="1" applyBorder="1"/>
    <xf numFmtId="176" fontId="18" fillId="0" borderId="74" xfId="3" applyNumberFormat="1" applyBorder="1"/>
    <xf numFmtId="176" fontId="18" fillId="0" borderId="0" xfId="3" applyNumberFormat="1"/>
    <xf numFmtId="166" fontId="18" fillId="0" borderId="0" xfId="3" applyNumberFormat="1" applyBorder="1"/>
    <xf numFmtId="166" fontId="18" fillId="0" borderId="74" xfId="3" applyNumberFormat="1" applyBorder="1"/>
    <xf numFmtId="166" fontId="18" fillId="0" borderId="0" xfId="3" applyNumberFormat="1"/>
    <xf numFmtId="0" fontId="18" fillId="0" borderId="74" xfId="3" applyBorder="1"/>
    <xf numFmtId="39" fontId="18" fillId="0" borderId="74" xfId="3" applyNumberFormat="1" applyBorder="1"/>
    <xf numFmtId="166" fontId="19" fillId="0" borderId="66" xfId="3" applyNumberFormat="1" applyFont="1" applyBorder="1"/>
    <xf numFmtId="166" fontId="19" fillId="0" borderId="48" xfId="3" applyNumberFormat="1" applyFont="1" applyBorder="1"/>
    <xf numFmtId="0" fontId="19" fillId="58" borderId="80" xfId="3" applyFont="1" applyFill="1" applyBorder="1"/>
    <xf numFmtId="0" fontId="18" fillId="0" borderId="75" xfId="3" applyBorder="1"/>
    <xf numFmtId="0" fontId="18" fillId="0" borderId="70" xfId="3" applyBorder="1"/>
    <xf numFmtId="0" fontId="18" fillId="0" borderId="0" xfId="3" applyAlignment="1">
      <alignment horizontal="left" wrapText="1"/>
    </xf>
    <xf numFmtId="0" fontId="21" fillId="0" borderId="0" xfId="3" applyFont="1" applyAlignment="1">
      <alignment horizontal="center" vertical="top"/>
    </xf>
    <xf numFmtId="0" fontId="19" fillId="34" borderId="10" xfId="3" applyFont="1" applyFill="1" applyBorder="1" applyAlignment="1">
      <alignment horizontal="center"/>
    </xf>
    <xf numFmtId="0" fontId="19" fillId="34" borderId="11" xfId="3" applyFont="1" applyFill="1" applyBorder="1" applyAlignment="1">
      <alignment horizontal="center"/>
    </xf>
    <xf numFmtId="0" fontId="19" fillId="34" borderId="12" xfId="3" applyFont="1" applyFill="1" applyBorder="1" applyAlignment="1">
      <alignment horizontal="center"/>
    </xf>
    <xf numFmtId="0" fontId="18" fillId="0" borderId="0" xfId="3" applyAlignment="1">
      <alignment horizontal="left" vertical="top" wrapText="1"/>
    </xf>
    <xf numFmtId="0" fontId="18" fillId="0" borderId="0" xfId="3" applyFont="1" applyAlignment="1">
      <alignment horizontal="left" vertical="top" wrapText="1"/>
    </xf>
    <xf numFmtId="0" fontId="18" fillId="0" borderId="0" xfId="3" applyAlignment="1">
      <alignment horizontal="left"/>
    </xf>
    <xf numFmtId="0" fontId="21" fillId="0" borderId="0" xfId="3" applyFont="1" applyAlignment="1">
      <alignment horizontal="center"/>
    </xf>
    <xf numFmtId="0" fontId="18" fillId="63" borderId="43" xfId="3" applyFill="1" applyBorder="1" applyAlignment="1">
      <alignment horizontal="center"/>
    </xf>
    <xf numFmtId="0" fontId="18" fillId="63" borderId="13" xfId="3" applyFill="1" applyBorder="1" applyAlignment="1">
      <alignment horizontal="center"/>
    </xf>
    <xf numFmtId="0" fontId="18" fillId="63" borderId="10" xfId="3" applyFill="1" applyBorder="1" applyAlignment="1">
      <alignment horizontal="center"/>
    </xf>
    <xf numFmtId="0" fontId="18" fillId="63" borderId="44" xfId="3" applyFill="1" applyBorder="1" applyAlignment="1">
      <alignment horizontal="center"/>
    </xf>
    <xf numFmtId="0" fontId="19" fillId="0" borderId="43" xfId="3" applyFont="1" applyBorder="1" applyAlignment="1">
      <alignment horizontal="left"/>
    </xf>
    <xf numFmtId="0" fontId="19" fillId="0" borderId="13" xfId="3" applyFont="1" applyBorder="1" applyAlignment="1">
      <alignment horizontal="left"/>
    </xf>
    <xf numFmtId="0" fontId="19" fillId="0" borderId="45" xfId="3" applyFont="1" applyBorder="1" applyAlignment="1">
      <alignment horizontal="left"/>
    </xf>
    <xf numFmtId="0" fontId="19" fillId="0" borderId="46" xfId="3" applyFont="1" applyBorder="1" applyAlignment="1">
      <alignment horizontal="left"/>
    </xf>
    <xf numFmtId="0" fontId="19" fillId="0" borderId="49" xfId="3" applyFont="1" applyBorder="1" applyAlignment="1">
      <alignment horizontal="left"/>
    </xf>
    <xf numFmtId="0" fontId="19" fillId="0" borderId="50" xfId="3" applyFont="1" applyBorder="1" applyAlignment="1">
      <alignment horizontal="left"/>
    </xf>
    <xf numFmtId="0" fontId="18" fillId="33" borderId="65" xfId="3" applyFill="1" applyBorder="1" applyAlignment="1">
      <alignment horizontal="left"/>
    </xf>
    <xf numFmtId="0" fontId="18" fillId="33" borderId="47" xfId="3" applyFill="1" applyBorder="1" applyAlignment="1">
      <alignment horizontal="left"/>
    </xf>
    <xf numFmtId="0" fontId="18" fillId="0" borderId="0" xfId="3" applyAlignment="1">
      <alignment wrapText="1"/>
    </xf>
    <xf numFmtId="0" fontId="76" fillId="0" borderId="0" xfId="3" applyFont="1" applyAlignment="1">
      <alignment horizontal="left" vertical="top" wrapText="1"/>
    </xf>
    <xf numFmtId="0" fontId="18" fillId="0" borderId="0" xfId="3" applyFont="1" applyAlignment="1">
      <alignment wrapText="1"/>
    </xf>
    <xf numFmtId="0" fontId="19" fillId="0" borderId="55" xfId="3" applyFont="1" applyBorder="1" applyAlignment="1">
      <alignment horizontal="left"/>
    </xf>
    <xf numFmtId="0" fontId="19" fillId="0" borderId="15" xfId="3" applyFont="1" applyBorder="1" applyAlignment="1">
      <alignment horizontal="left"/>
    </xf>
    <xf numFmtId="0" fontId="18" fillId="0" borderId="55" xfId="3" applyBorder="1" applyAlignment="1">
      <alignment horizontal="left"/>
    </xf>
    <xf numFmtId="0" fontId="18" fillId="0" borderId="15" xfId="3" applyBorder="1" applyAlignment="1">
      <alignment horizontal="left"/>
    </xf>
    <xf numFmtId="0" fontId="18" fillId="0" borderId="56" xfId="3" applyBorder="1" applyAlignment="1">
      <alignment horizontal="left"/>
    </xf>
    <xf numFmtId="0" fontId="18" fillId="0" borderId="12" xfId="3" applyBorder="1" applyAlignment="1">
      <alignment horizontal="left"/>
    </xf>
    <xf numFmtId="0" fontId="18" fillId="0" borderId="57" xfId="3" applyFont="1" applyBorder="1" applyAlignment="1">
      <alignment horizontal="left"/>
    </xf>
    <xf numFmtId="0" fontId="18" fillId="0" borderId="58" xfId="3" applyBorder="1" applyAlignment="1">
      <alignment horizontal="left"/>
    </xf>
    <xf numFmtId="0" fontId="18" fillId="33" borderId="56" xfId="3" applyFill="1" applyBorder="1" applyAlignment="1">
      <alignment horizontal="left"/>
    </xf>
    <xf numFmtId="0" fontId="18" fillId="33" borderId="12" xfId="3" applyFill="1" applyBorder="1" applyAlignment="1">
      <alignment horizontal="left"/>
    </xf>
    <xf numFmtId="0" fontId="18" fillId="33" borderId="56" xfId="3" applyFill="1" applyBorder="1" applyAlignment="1">
      <alignment horizontal="left" wrapText="1"/>
    </xf>
    <xf numFmtId="0" fontId="18" fillId="33" borderId="12" xfId="3" applyFill="1" applyBorder="1" applyAlignment="1">
      <alignment horizontal="left" wrapText="1"/>
    </xf>
    <xf numFmtId="0" fontId="19" fillId="0" borderId="68" xfId="3" applyFont="1" applyBorder="1" applyAlignment="1">
      <alignment horizontal="left"/>
    </xf>
    <xf numFmtId="0" fontId="19" fillId="0" borderId="69" xfId="3" applyFont="1" applyBorder="1" applyAlignment="1">
      <alignment horizontal="left"/>
    </xf>
    <xf numFmtId="0" fontId="18" fillId="0" borderId="57" xfId="3" applyBorder="1" applyAlignment="1">
      <alignment horizontal="left"/>
    </xf>
    <xf numFmtId="0" fontId="18" fillId="0" borderId="0" xfId="3" applyFont="1" applyAlignment="1">
      <alignment horizontal="left" vertical="center" wrapText="1"/>
    </xf>
    <xf numFmtId="0" fontId="18" fillId="0" borderId="0" xfId="3" applyAlignment="1">
      <alignment horizontal="left" vertical="center" wrapText="1"/>
    </xf>
    <xf numFmtId="0" fontId="18" fillId="0" borderId="56" xfId="3" applyFont="1" applyBorder="1" applyAlignment="1">
      <alignment horizontal="left"/>
    </xf>
    <xf numFmtId="0" fontId="18" fillId="33" borderId="56" xfId="3" applyFont="1" applyFill="1" applyBorder="1" applyAlignment="1">
      <alignment horizontal="left"/>
    </xf>
    <xf numFmtId="0" fontId="18" fillId="33" borderId="65" xfId="3" applyFont="1" applyFill="1" applyBorder="1" applyAlignment="1">
      <alignment horizontal="left"/>
    </xf>
    <xf numFmtId="0" fontId="68" fillId="0" borderId="0" xfId="0" applyFont="1" applyAlignment="1">
      <alignment horizontal="center"/>
    </xf>
    <xf numFmtId="0" fontId="73" fillId="0" borderId="0" xfId="1231" applyFont="1" applyAlignment="1">
      <alignment horizontal="left" vertical="center" wrapText="1"/>
    </xf>
    <xf numFmtId="0" fontId="21" fillId="0" borderId="0" xfId="1079" applyFont="1" applyAlignment="1">
      <alignment horizontal="center"/>
    </xf>
    <xf numFmtId="0" fontId="18" fillId="0" borderId="0" xfId="1079" applyAlignment="1">
      <alignment horizontal="center"/>
    </xf>
    <xf numFmtId="0" fontId="18" fillId="0" borderId="0" xfId="1079" applyAlignment="1"/>
    <xf numFmtId="0" fontId="70" fillId="0" borderId="0" xfId="1231" applyFont="1" applyAlignment="1">
      <alignment horizontal="center" vertical="center"/>
    </xf>
    <xf numFmtId="0" fontId="73" fillId="0" borderId="10" xfId="1231" applyFont="1" applyBorder="1" applyAlignment="1">
      <alignment horizontal="center"/>
    </xf>
    <xf numFmtId="0" fontId="73" fillId="0" borderId="11" xfId="1231" applyFont="1" applyBorder="1" applyAlignment="1">
      <alignment horizontal="center"/>
    </xf>
    <xf numFmtId="0" fontId="73" fillId="0" borderId="12" xfId="1231" applyFont="1" applyBorder="1" applyAlignment="1">
      <alignment horizontal="center"/>
    </xf>
  </cellXfs>
  <cellStyles count="1232">
    <cellStyle name="20% - Accent1 10" xfId="5"/>
    <cellStyle name="20% - Accent1 11" xfId="6"/>
    <cellStyle name="20% - Accent1 12" xfId="7"/>
    <cellStyle name="20% - Accent1 13" xfId="8"/>
    <cellStyle name="20% - Accent1 14" xfId="9"/>
    <cellStyle name="20% - Accent1 15" xfId="10"/>
    <cellStyle name="20% - Accent1 16" xfId="11"/>
    <cellStyle name="20% - Accent1 17" xfId="12"/>
    <cellStyle name="20% - Accent1 18" xfId="13"/>
    <cellStyle name="20% - Accent1 19" xfId="14"/>
    <cellStyle name="20% - Accent1 2" xfId="15"/>
    <cellStyle name="20% - Accent1 2 2" xfId="16"/>
    <cellStyle name="20% - Accent1 2 3" xfId="17"/>
    <cellStyle name="20% - Accent1 20" xfId="18"/>
    <cellStyle name="20% - Accent1 21" xfId="19"/>
    <cellStyle name="20% - Accent1 22" xfId="20"/>
    <cellStyle name="20% - Accent1 23" xfId="21"/>
    <cellStyle name="20% - Accent1 24" xfId="22"/>
    <cellStyle name="20% - Accent1 25" xfId="23"/>
    <cellStyle name="20% - Accent1 26" xfId="24"/>
    <cellStyle name="20% - Accent1 26 2" xfId="25"/>
    <cellStyle name="20% - Accent1 27" xfId="26"/>
    <cellStyle name="20% - Accent1 27 2" xfId="27"/>
    <cellStyle name="20% - Accent1 28" xfId="28"/>
    <cellStyle name="20% - Accent1 29" xfId="29"/>
    <cellStyle name="20% - Accent1 3" xfId="30"/>
    <cellStyle name="20% - Accent1 30" xfId="31"/>
    <cellStyle name="20% - Accent1 4" xfId="32"/>
    <cellStyle name="20% - Accent1 5" xfId="33"/>
    <cellStyle name="20% - Accent1 6" xfId="34"/>
    <cellStyle name="20% - Accent1 7" xfId="35"/>
    <cellStyle name="20% - Accent1 8" xfId="36"/>
    <cellStyle name="20% - Accent1 9" xfId="37"/>
    <cellStyle name="20% - Accent2 10" xfId="38"/>
    <cellStyle name="20% - Accent2 11" xfId="39"/>
    <cellStyle name="20% - Accent2 12" xfId="40"/>
    <cellStyle name="20% - Accent2 13" xfId="41"/>
    <cellStyle name="20% - Accent2 14" xfId="42"/>
    <cellStyle name="20% - Accent2 15" xfId="43"/>
    <cellStyle name="20% - Accent2 16" xfId="44"/>
    <cellStyle name="20% - Accent2 17" xfId="45"/>
    <cellStyle name="20% - Accent2 18" xfId="46"/>
    <cellStyle name="20% - Accent2 19" xfId="47"/>
    <cellStyle name="20% - Accent2 2" xfId="48"/>
    <cellStyle name="20% - Accent2 2 2" xfId="49"/>
    <cellStyle name="20% - Accent2 2 3" xfId="50"/>
    <cellStyle name="20% - Accent2 20" xfId="51"/>
    <cellStyle name="20% - Accent2 21" xfId="52"/>
    <cellStyle name="20% - Accent2 22" xfId="53"/>
    <cellStyle name="20% - Accent2 23" xfId="54"/>
    <cellStyle name="20% - Accent2 24" xfId="55"/>
    <cellStyle name="20% - Accent2 25" xfId="56"/>
    <cellStyle name="20% - Accent2 26" xfId="57"/>
    <cellStyle name="20% - Accent2 26 2" xfId="58"/>
    <cellStyle name="20% - Accent2 27" xfId="59"/>
    <cellStyle name="20% - Accent2 27 2" xfId="60"/>
    <cellStyle name="20% - Accent2 28" xfId="61"/>
    <cellStyle name="20% - Accent2 29" xfId="62"/>
    <cellStyle name="20% - Accent2 3" xfId="63"/>
    <cellStyle name="20% - Accent2 30" xfId="64"/>
    <cellStyle name="20% - Accent2 4" xfId="65"/>
    <cellStyle name="20% - Accent2 5" xfId="66"/>
    <cellStyle name="20% - Accent2 6" xfId="67"/>
    <cellStyle name="20% - Accent2 7" xfId="68"/>
    <cellStyle name="20% - Accent2 8" xfId="69"/>
    <cellStyle name="20% - Accent2 9" xfId="70"/>
    <cellStyle name="20% - Accent3 10" xfId="71"/>
    <cellStyle name="20% - Accent3 11" xfId="72"/>
    <cellStyle name="20% - Accent3 12" xfId="73"/>
    <cellStyle name="20% - Accent3 13" xfId="74"/>
    <cellStyle name="20% - Accent3 14" xfId="75"/>
    <cellStyle name="20% - Accent3 15" xfId="76"/>
    <cellStyle name="20% - Accent3 16" xfId="77"/>
    <cellStyle name="20% - Accent3 17" xfId="78"/>
    <cellStyle name="20% - Accent3 18" xfId="79"/>
    <cellStyle name="20% - Accent3 19" xfId="80"/>
    <cellStyle name="20% - Accent3 2" xfId="81"/>
    <cellStyle name="20% - Accent3 2 2" xfId="82"/>
    <cellStyle name="20% - Accent3 2 3" xfId="83"/>
    <cellStyle name="20% - Accent3 20" xfId="84"/>
    <cellStyle name="20% - Accent3 21" xfId="85"/>
    <cellStyle name="20% - Accent3 22" xfId="86"/>
    <cellStyle name="20% - Accent3 23" xfId="87"/>
    <cellStyle name="20% - Accent3 24" xfId="88"/>
    <cellStyle name="20% - Accent3 25" xfId="89"/>
    <cellStyle name="20% - Accent3 26" xfId="90"/>
    <cellStyle name="20% - Accent3 26 2" xfId="91"/>
    <cellStyle name="20% - Accent3 27" xfId="92"/>
    <cellStyle name="20% - Accent3 27 2" xfId="93"/>
    <cellStyle name="20% - Accent3 28" xfId="94"/>
    <cellStyle name="20% - Accent3 29" xfId="95"/>
    <cellStyle name="20% - Accent3 3" xfId="96"/>
    <cellStyle name="20% - Accent3 30" xfId="97"/>
    <cellStyle name="20% - Accent3 4" xfId="98"/>
    <cellStyle name="20% - Accent3 5" xfId="99"/>
    <cellStyle name="20% - Accent3 6" xfId="100"/>
    <cellStyle name="20% - Accent3 7" xfId="101"/>
    <cellStyle name="20% - Accent3 8" xfId="102"/>
    <cellStyle name="20% - Accent3 9" xfId="103"/>
    <cellStyle name="20% - Accent4 10" xfId="104"/>
    <cellStyle name="20% - Accent4 11" xfId="105"/>
    <cellStyle name="20% - Accent4 12" xfId="106"/>
    <cellStyle name="20% - Accent4 13" xfId="107"/>
    <cellStyle name="20% - Accent4 14" xfId="108"/>
    <cellStyle name="20% - Accent4 15" xfId="109"/>
    <cellStyle name="20% - Accent4 16" xfId="110"/>
    <cellStyle name="20% - Accent4 17" xfId="111"/>
    <cellStyle name="20% - Accent4 18" xfId="112"/>
    <cellStyle name="20% - Accent4 19" xfId="113"/>
    <cellStyle name="20% - Accent4 2" xfId="114"/>
    <cellStyle name="20% - Accent4 2 2" xfId="115"/>
    <cellStyle name="20% - Accent4 2 3" xfId="116"/>
    <cellStyle name="20% - Accent4 20" xfId="117"/>
    <cellStyle name="20% - Accent4 21" xfId="118"/>
    <cellStyle name="20% - Accent4 22" xfId="119"/>
    <cellStyle name="20% - Accent4 23" xfId="120"/>
    <cellStyle name="20% - Accent4 24" xfId="121"/>
    <cellStyle name="20% - Accent4 25" xfId="122"/>
    <cellStyle name="20% - Accent4 26" xfId="123"/>
    <cellStyle name="20% - Accent4 26 2" xfId="124"/>
    <cellStyle name="20% - Accent4 27" xfId="125"/>
    <cellStyle name="20% - Accent4 27 2" xfId="126"/>
    <cellStyle name="20% - Accent4 28" xfId="127"/>
    <cellStyle name="20% - Accent4 29" xfId="128"/>
    <cellStyle name="20% - Accent4 3" xfId="129"/>
    <cellStyle name="20% - Accent4 30" xfId="130"/>
    <cellStyle name="20% - Accent4 4" xfId="131"/>
    <cellStyle name="20% - Accent4 5" xfId="132"/>
    <cellStyle name="20% - Accent4 6" xfId="133"/>
    <cellStyle name="20% - Accent4 7" xfId="134"/>
    <cellStyle name="20% - Accent4 8" xfId="135"/>
    <cellStyle name="20% - Accent4 9" xfId="136"/>
    <cellStyle name="20% - Accent5 10" xfId="137"/>
    <cellStyle name="20% - Accent5 11" xfId="138"/>
    <cellStyle name="20% - Accent5 12" xfId="139"/>
    <cellStyle name="20% - Accent5 13" xfId="140"/>
    <cellStyle name="20% - Accent5 14" xfId="141"/>
    <cellStyle name="20% - Accent5 15" xfId="142"/>
    <cellStyle name="20% - Accent5 16" xfId="143"/>
    <cellStyle name="20% - Accent5 17" xfId="144"/>
    <cellStyle name="20% - Accent5 18" xfId="145"/>
    <cellStyle name="20% - Accent5 19" xfId="146"/>
    <cellStyle name="20% - Accent5 2" xfId="147"/>
    <cellStyle name="20% - Accent5 2 2" xfId="148"/>
    <cellStyle name="20% - Accent5 2 3" xfId="149"/>
    <cellStyle name="20% - Accent5 20" xfId="150"/>
    <cellStyle name="20% - Accent5 21" xfId="151"/>
    <cellStyle name="20% - Accent5 22" xfId="152"/>
    <cellStyle name="20% - Accent5 23" xfId="153"/>
    <cellStyle name="20% - Accent5 24" xfId="154"/>
    <cellStyle name="20% - Accent5 25" xfId="155"/>
    <cellStyle name="20% - Accent5 26" xfId="156"/>
    <cellStyle name="20% - Accent5 26 2" xfId="157"/>
    <cellStyle name="20% - Accent5 27" xfId="158"/>
    <cellStyle name="20% - Accent5 27 2" xfId="159"/>
    <cellStyle name="20% - Accent5 28" xfId="160"/>
    <cellStyle name="20% - Accent5 29" xfId="161"/>
    <cellStyle name="20% - Accent5 3" xfId="162"/>
    <cellStyle name="20% - Accent5 30" xfId="163"/>
    <cellStyle name="20% - Accent5 4" xfId="164"/>
    <cellStyle name="20% - Accent5 5" xfId="165"/>
    <cellStyle name="20% - Accent5 6" xfId="166"/>
    <cellStyle name="20% - Accent5 7" xfId="167"/>
    <cellStyle name="20% - Accent5 8" xfId="168"/>
    <cellStyle name="20% - Accent5 9" xfId="169"/>
    <cellStyle name="20% - Accent6 10" xfId="170"/>
    <cellStyle name="20% - Accent6 11" xfId="171"/>
    <cellStyle name="20% - Accent6 12" xfId="172"/>
    <cellStyle name="20% - Accent6 13" xfId="173"/>
    <cellStyle name="20% - Accent6 14" xfId="174"/>
    <cellStyle name="20% - Accent6 15" xfId="175"/>
    <cellStyle name="20% - Accent6 16" xfId="176"/>
    <cellStyle name="20% - Accent6 17" xfId="177"/>
    <cellStyle name="20% - Accent6 18" xfId="178"/>
    <cellStyle name="20% - Accent6 19" xfId="179"/>
    <cellStyle name="20% - Accent6 2" xfId="180"/>
    <cellStyle name="20% - Accent6 2 2" xfId="181"/>
    <cellStyle name="20% - Accent6 2 3" xfId="182"/>
    <cellStyle name="20% - Accent6 20" xfId="183"/>
    <cellStyle name="20% - Accent6 21" xfId="184"/>
    <cellStyle name="20% - Accent6 22" xfId="185"/>
    <cellStyle name="20% - Accent6 23" xfId="186"/>
    <cellStyle name="20% - Accent6 24" xfId="187"/>
    <cellStyle name="20% - Accent6 25" xfId="188"/>
    <cellStyle name="20% - Accent6 26" xfId="189"/>
    <cellStyle name="20% - Accent6 26 2" xfId="190"/>
    <cellStyle name="20% - Accent6 27" xfId="191"/>
    <cellStyle name="20% - Accent6 27 2" xfId="192"/>
    <cellStyle name="20% - Accent6 28" xfId="193"/>
    <cellStyle name="20% - Accent6 29" xfId="194"/>
    <cellStyle name="20% - Accent6 3" xfId="195"/>
    <cellStyle name="20% - Accent6 30" xfId="196"/>
    <cellStyle name="20% - Accent6 4" xfId="197"/>
    <cellStyle name="20% - Accent6 5" xfId="198"/>
    <cellStyle name="20% - Accent6 6" xfId="199"/>
    <cellStyle name="20% - Accent6 7" xfId="200"/>
    <cellStyle name="20% - Accent6 8" xfId="201"/>
    <cellStyle name="20% - Accent6 9" xfId="202"/>
    <cellStyle name="40% - Accent1 10" xfId="203"/>
    <cellStyle name="40% - Accent1 11" xfId="204"/>
    <cellStyle name="40% - Accent1 12" xfId="205"/>
    <cellStyle name="40% - Accent1 13" xfId="206"/>
    <cellStyle name="40% - Accent1 14" xfId="207"/>
    <cellStyle name="40% - Accent1 15" xfId="208"/>
    <cellStyle name="40% - Accent1 16" xfId="209"/>
    <cellStyle name="40% - Accent1 17" xfId="210"/>
    <cellStyle name="40% - Accent1 18" xfId="211"/>
    <cellStyle name="40% - Accent1 19" xfId="212"/>
    <cellStyle name="40% - Accent1 2" xfId="213"/>
    <cellStyle name="40% - Accent1 2 2" xfId="214"/>
    <cellStyle name="40% - Accent1 2 3" xfId="215"/>
    <cellStyle name="40% - Accent1 20" xfId="216"/>
    <cellStyle name="40% - Accent1 21" xfId="217"/>
    <cellStyle name="40% - Accent1 22" xfId="218"/>
    <cellStyle name="40% - Accent1 23" xfId="219"/>
    <cellStyle name="40% - Accent1 24" xfId="220"/>
    <cellStyle name="40% - Accent1 25" xfId="221"/>
    <cellStyle name="40% - Accent1 26" xfId="222"/>
    <cellStyle name="40% - Accent1 26 2" xfId="223"/>
    <cellStyle name="40% - Accent1 27" xfId="224"/>
    <cellStyle name="40% - Accent1 27 2" xfId="225"/>
    <cellStyle name="40% - Accent1 28" xfId="226"/>
    <cellStyle name="40% - Accent1 29" xfId="227"/>
    <cellStyle name="40% - Accent1 3" xfId="228"/>
    <cellStyle name="40% - Accent1 30" xfId="229"/>
    <cellStyle name="40% - Accent1 4" xfId="230"/>
    <cellStyle name="40% - Accent1 5" xfId="231"/>
    <cellStyle name="40% - Accent1 6" xfId="232"/>
    <cellStyle name="40% - Accent1 7" xfId="233"/>
    <cellStyle name="40% - Accent1 8" xfId="234"/>
    <cellStyle name="40% - Accent1 9" xfId="235"/>
    <cellStyle name="40% - Accent2 10" xfId="236"/>
    <cellStyle name="40% - Accent2 11" xfId="237"/>
    <cellStyle name="40% - Accent2 12" xfId="238"/>
    <cellStyle name="40% - Accent2 13" xfId="239"/>
    <cellStyle name="40% - Accent2 14" xfId="240"/>
    <cellStyle name="40% - Accent2 15" xfId="241"/>
    <cellStyle name="40% - Accent2 16" xfId="242"/>
    <cellStyle name="40% - Accent2 17" xfId="243"/>
    <cellStyle name="40% - Accent2 18" xfId="244"/>
    <cellStyle name="40% - Accent2 19" xfId="245"/>
    <cellStyle name="40% - Accent2 2" xfId="246"/>
    <cellStyle name="40% - Accent2 2 2" xfId="247"/>
    <cellStyle name="40% - Accent2 2 3" xfId="248"/>
    <cellStyle name="40% - Accent2 20" xfId="249"/>
    <cellStyle name="40% - Accent2 21" xfId="250"/>
    <cellStyle name="40% - Accent2 22" xfId="251"/>
    <cellStyle name="40% - Accent2 23" xfId="252"/>
    <cellStyle name="40% - Accent2 24" xfId="253"/>
    <cellStyle name="40% - Accent2 25" xfId="254"/>
    <cellStyle name="40% - Accent2 26" xfId="255"/>
    <cellStyle name="40% - Accent2 26 2" xfId="256"/>
    <cellStyle name="40% - Accent2 27" xfId="257"/>
    <cellStyle name="40% - Accent2 27 2" xfId="258"/>
    <cellStyle name="40% - Accent2 28" xfId="259"/>
    <cellStyle name="40% - Accent2 29" xfId="260"/>
    <cellStyle name="40% - Accent2 3" xfId="261"/>
    <cellStyle name="40% - Accent2 30" xfId="262"/>
    <cellStyle name="40% - Accent2 4" xfId="263"/>
    <cellStyle name="40% - Accent2 5" xfId="264"/>
    <cellStyle name="40% - Accent2 6" xfId="265"/>
    <cellStyle name="40% - Accent2 7" xfId="266"/>
    <cellStyle name="40% - Accent2 8" xfId="267"/>
    <cellStyle name="40% - Accent2 9" xfId="268"/>
    <cellStyle name="40% - Accent3 10" xfId="269"/>
    <cellStyle name="40% - Accent3 11" xfId="270"/>
    <cellStyle name="40% - Accent3 12" xfId="271"/>
    <cellStyle name="40% - Accent3 13" xfId="272"/>
    <cellStyle name="40% - Accent3 14" xfId="273"/>
    <cellStyle name="40% - Accent3 15" xfId="274"/>
    <cellStyle name="40% - Accent3 16" xfId="275"/>
    <cellStyle name="40% - Accent3 17" xfId="276"/>
    <cellStyle name="40% - Accent3 18" xfId="277"/>
    <cellStyle name="40% - Accent3 19" xfId="278"/>
    <cellStyle name="40% - Accent3 2" xfId="279"/>
    <cellStyle name="40% - Accent3 2 2" xfId="280"/>
    <cellStyle name="40% - Accent3 2 3" xfId="281"/>
    <cellStyle name="40% - Accent3 20" xfId="282"/>
    <cellStyle name="40% - Accent3 21" xfId="283"/>
    <cellStyle name="40% - Accent3 22" xfId="284"/>
    <cellStyle name="40% - Accent3 23" xfId="285"/>
    <cellStyle name="40% - Accent3 24" xfId="286"/>
    <cellStyle name="40% - Accent3 25" xfId="287"/>
    <cellStyle name="40% - Accent3 26" xfId="288"/>
    <cellStyle name="40% - Accent3 26 2" xfId="289"/>
    <cellStyle name="40% - Accent3 27" xfId="290"/>
    <cellStyle name="40% - Accent3 27 2" xfId="291"/>
    <cellStyle name="40% - Accent3 28" xfId="292"/>
    <cellStyle name="40% - Accent3 29" xfId="293"/>
    <cellStyle name="40% - Accent3 3" xfId="294"/>
    <cellStyle name="40% - Accent3 30" xfId="295"/>
    <cellStyle name="40% - Accent3 4" xfId="296"/>
    <cellStyle name="40% - Accent3 5" xfId="297"/>
    <cellStyle name="40% - Accent3 6" xfId="298"/>
    <cellStyle name="40% - Accent3 7" xfId="299"/>
    <cellStyle name="40% - Accent3 8" xfId="300"/>
    <cellStyle name="40% - Accent3 9" xfId="301"/>
    <cellStyle name="40% - Accent4 10" xfId="302"/>
    <cellStyle name="40% - Accent4 11" xfId="303"/>
    <cellStyle name="40% - Accent4 12" xfId="304"/>
    <cellStyle name="40% - Accent4 13" xfId="305"/>
    <cellStyle name="40% - Accent4 14" xfId="306"/>
    <cellStyle name="40% - Accent4 15" xfId="307"/>
    <cellStyle name="40% - Accent4 16" xfId="308"/>
    <cellStyle name="40% - Accent4 17" xfId="309"/>
    <cellStyle name="40% - Accent4 18" xfId="310"/>
    <cellStyle name="40% - Accent4 19" xfId="311"/>
    <cellStyle name="40% - Accent4 2" xfId="312"/>
    <cellStyle name="40% - Accent4 2 2" xfId="313"/>
    <cellStyle name="40% - Accent4 2 3" xfId="314"/>
    <cellStyle name="40% - Accent4 20" xfId="315"/>
    <cellStyle name="40% - Accent4 21" xfId="316"/>
    <cellStyle name="40% - Accent4 22" xfId="317"/>
    <cellStyle name="40% - Accent4 23" xfId="318"/>
    <cellStyle name="40% - Accent4 24" xfId="319"/>
    <cellStyle name="40% - Accent4 25" xfId="320"/>
    <cellStyle name="40% - Accent4 26" xfId="321"/>
    <cellStyle name="40% - Accent4 26 2" xfId="322"/>
    <cellStyle name="40% - Accent4 27" xfId="323"/>
    <cellStyle name="40% - Accent4 27 2" xfId="324"/>
    <cellStyle name="40% - Accent4 28" xfId="325"/>
    <cellStyle name="40% - Accent4 29" xfId="326"/>
    <cellStyle name="40% - Accent4 3" xfId="327"/>
    <cellStyle name="40% - Accent4 30" xfId="328"/>
    <cellStyle name="40% - Accent4 4" xfId="329"/>
    <cellStyle name="40% - Accent4 5" xfId="330"/>
    <cellStyle name="40% - Accent4 6" xfId="331"/>
    <cellStyle name="40% - Accent4 7" xfId="332"/>
    <cellStyle name="40% - Accent4 8" xfId="333"/>
    <cellStyle name="40% - Accent4 9" xfId="334"/>
    <cellStyle name="40% - Accent5 10" xfId="335"/>
    <cellStyle name="40% - Accent5 11" xfId="336"/>
    <cellStyle name="40% - Accent5 12" xfId="337"/>
    <cellStyle name="40% - Accent5 13" xfId="338"/>
    <cellStyle name="40% - Accent5 14" xfId="339"/>
    <cellStyle name="40% - Accent5 15" xfId="340"/>
    <cellStyle name="40% - Accent5 16" xfId="341"/>
    <cellStyle name="40% - Accent5 17" xfId="342"/>
    <cellStyle name="40% - Accent5 18" xfId="343"/>
    <cellStyle name="40% - Accent5 19" xfId="344"/>
    <cellStyle name="40% - Accent5 2" xfId="345"/>
    <cellStyle name="40% - Accent5 2 2" xfId="346"/>
    <cellStyle name="40% - Accent5 2 3" xfId="347"/>
    <cellStyle name="40% - Accent5 20" xfId="348"/>
    <cellStyle name="40% - Accent5 21" xfId="349"/>
    <cellStyle name="40% - Accent5 22" xfId="350"/>
    <cellStyle name="40% - Accent5 23" xfId="351"/>
    <cellStyle name="40% - Accent5 24" xfId="352"/>
    <cellStyle name="40% - Accent5 25" xfId="353"/>
    <cellStyle name="40% - Accent5 26" xfId="354"/>
    <cellStyle name="40% - Accent5 26 2" xfId="355"/>
    <cellStyle name="40% - Accent5 27" xfId="356"/>
    <cellStyle name="40% - Accent5 27 2" xfId="357"/>
    <cellStyle name="40% - Accent5 28" xfId="358"/>
    <cellStyle name="40% - Accent5 29" xfId="359"/>
    <cellStyle name="40% - Accent5 3" xfId="360"/>
    <cellStyle name="40% - Accent5 30" xfId="361"/>
    <cellStyle name="40% - Accent5 4" xfId="362"/>
    <cellStyle name="40% - Accent5 5" xfId="363"/>
    <cellStyle name="40% - Accent5 6" xfId="364"/>
    <cellStyle name="40% - Accent5 7" xfId="365"/>
    <cellStyle name="40% - Accent5 8" xfId="366"/>
    <cellStyle name="40% - Accent5 9" xfId="367"/>
    <cellStyle name="40% - Accent6 10" xfId="368"/>
    <cellStyle name="40% - Accent6 11" xfId="369"/>
    <cellStyle name="40% - Accent6 12" xfId="370"/>
    <cellStyle name="40% - Accent6 13" xfId="371"/>
    <cellStyle name="40% - Accent6 14" xfId="372"/>
    <cellStyle name="40% - Accent6 15" xfId="373"/>
    <cellStyle name="40% - Accent6 16" xfId="374"/>
    <cellStyle name="40% - Accent6 17" xfId="375"/>
    <cellStyle name="40% - Accent6 18" xfId="376"/>
    <cellStyle name="40% - Accent6 19" xfId="377"/>
    <cellStyle name="40% - Accent6 2" xfId="378"/>
    <cellStyle name="40% - Accent6 2 2" xfId="379"/>
    <cellStyle name="40% - Accent6 2 3" xfId="380"/>
    <cellStyle name="40% - Accent6 20" xfId="381"/>
    <cellStyle name="40% - Accent6 21" xfId="382"/>
    <cellStyle name="40% - Accent6 22" xfId="383"/>
    <cellStyle name="40% - Accent6 23" xfId="384"/>
    <cellStyle name="40% - Accent6 24" xfId="385"/>
    <cellStyle name="40% - Accent6 25" xfId="386"/>
    <cellStyle name="40% - Accent6 26" xfId="387"/>
    <cellStyle name="40% - Accent6 26 2" xfId="388"/>
    <cellStyle name="40% - Accent6 27" xfId="389"/>
    <cellStyle name="40% - Accent6 27 2" xfId="390"/>
    <cellStyle name="40% - Accent6 28" xfId="391"/>
    <cellStyle name="40% - Accent6 29" xfId="392"/>
    <cellStyle name="40% - Accent6 3" xfId="393"/>
    <cellStyle name="40% - Accent6 30" xfId="394"/>
    <cellStyle name="40% - Accent6 4" xfId="395"/>
    <cellStyle name="40% - Accent6 5" xfId="396"/>
    <cellStyle name="40% - Accent6 6" xfId="397"/>
    <cellStyle name="40% - Accent6 7" xfId="398"/>
    <cellStyle name="40% - Accent6 8" xfId="399"/>
    <cellStyle name="40% - Accent6 9" xfId="400"/>
    <cellStyle name="60% - Accent1 10" xfId="401"/>
    <cellStyle name="60% - Accent1 11" xfId="402"/>
    <cellStyle name="60% - Accent1 12" xfId="403"/>
    <cellStyle name="60% - Accent1 13" xfId="404"/>
    <cellStyle name="60% - Accent1 14" xfId="405"/>
    <cellStyle name="60% - Accent1 15" xfId="406"/>
    <cellStyle name="60% - Accent1 16" xfId="407"/>
    <cellStyle name="60% - Accent1 17" xfId="408"/>
    <cellStyle name="60% - Accent1 18" xfId="409"/>
    <cellStyle name="60% - Accent1 19" xfId="410"/>
    <cellStyle name="60% - Accent1 2" xfId="411"/>
    <cellStyle name="60% - Accent1 2 2" xfId="412"/>
    <cellStyle name="60% - Accent1 2 3" xfId="413"/>
    <cellStyle name="60% - Accent1 20" xfId="414"/>
    <cellStyle name="60% - Accent1 21" xfId="415"/>
    <cellStyle name="60% - Accent1 22" xfId="416"/>
    <cellStyle name="60% - Accent1 23" xfId="417"/>
    <cellStyle name="60% - Accent1 24" xfId="418"/>
    <cellStyle name="60% - Accent1 25" xfId="419"/>
    <cellStyle name="60% - Accent1 26" xfId="420"/>
    <cellStyle name="60% - Accent1 3" xfId="421"/>
    <cellStyle name="60% - Accent1 4" xfId="422"/>
    <cellStyle name="60% - Accent1 5" xfId="423"/>
    <cellStyle name="60% - Accent1 6" xfId="424"/>
    <cellStyle name="60% - Accent1 7" xfId="425"/>
    <cellStyle name="60% - Accent1 8" xfId="426"/>
    <cellStyle name="60% - Accent1 9" xfId="427"/>
    <cellStyle name="60% - Accent2 10" xfId="428"/>
    <cellStyle name="60% - Accent2 11" xfId="429"/>
    <cellStyle name="60% - Accent2 12" xfId="430"/>
    <cellStyle name="60% - Accent2 13" xfId="431"/>
    <cellStyle name="60% - Accent2 14" xfId="432"/>
    <cellStyle name="60% - Accent2 15" xfId="433"/>
    <cellStyle name="60% - Accent2 16" xfId="434"/>
    <cellStyle name="60% - Accent2 17" xfId="435"/>
    <cellStyle name="60% - Accent2 18" xfId="436"/>
    <cellStyle name="60% - Accent2 19" xfId="437"/>
    <cellStyle name="60% - Accent2 2" xfId="438"/>
    <cellStyle name="60% - Accent2 2 2" xfId="439"/>
    <cellStyle name="60% - Accent2 2 3" xfId="440"/>
    <cellStyle name="60% - Accent2 20" xfId="441"/>
    <cellStyle name="60% - Accent2 21" xfId="442"/>
    <cellStyle name="60% - Accent2 22" xfId="443"/>
    <cellStyle name="60% - Accent2 23" xfId="444"/>
    <cellStyle name="60% - Accent2 24" xfId="445"/>
    <cellStyle name="60% - Accent2 25" xfId="446"/>
    <cellStyle name="60% - Accent2 26" xfId="447"/>
    <cellStyle name="60% - Accent2 3" xfId="448"/>
    <cellStyle name="60% - Accent2 4" xfId="449"/>
    <cellStyle name="60% - Accent2 5" xfId="450"/>
    <cellStyle name="60% - Accent2 6" xfId="451"/>
    <cellStyle name="60% - Accent2 7" xfId="452"/>
    <cellStyle name="60% - Accent2 8" xfId="453"/>
    <cellStyle name="60% - Accent2 9" xfId="454"/>
    <cellStyle name="60% - Accent3 10" xfId="455"/>
    <cellStyle name="60% - Accent3 11" xfId="456"/>
    <cellStyle name="60% - Accent3 12" xfId="457"/>
    <cellStyle name="60% - Accent3 13" xfId="458"/>
    <cellStyle name="60% - Accent3 14" xfId="459"/>
    <cellStyle name="60% - Accent3 15" xfId="460"/>
    <cellStyle name="60% - Accent3 16" xfId="461"/>
    <cellStyle name="60% - Accent3 17" xfId="462"/>
    <cellStyle name="60% - Accent3 18" xfId="463"/>
    <cellStyle name="60% - Accent3 19" xfId="464"/>
    <cellStyle name="60% - Accent3 2" xfId="465"/>
    <cellStyle name="60% - Accent3 2 2" xfId="466"/>
    <cellStyle name="60% - Accent3 2 3" xfId="467"/>
    <cellStyle name="60% - Accent3 20" xfId="468"/>
    <cellStyle name="60% - Accent3 21" xfId="469"/>
    <cellStyle name="60% - Accent3 22" xfId="470"/>
    <cellStyle name="60% - Accent3 23" xfId="471"/>
    <cellStyle name="60% - Accent3 24" xfId="472"/>
    <cellStyle name="60% - Accent3 25" xfId="473"/>
    <cellStyle name="60% - Accent3 26" xfId="474"/>
    <cellStyle name="60% - Accent3 3" xfId="475"/>
    <cellStyle name="60% - Accent3 4" xfId="476"/>
    <cellStyle name="60% - Accent3 5" xfId="477"/>
    <cellStyle name="60% - Accent3 6" xfId="478"/>
    <cellStyle name="60% - Accent3 7" xfId="479"/>
    <cellStyle name="60% - Accent3 8" xfId="480"/>
    <cellStyle name="60% - Accent3 9" xfId="481"/>
    <cellStyle name="60% - Accent4 10" xfId="482"/>
    <cellStyle name="60% - Accent4 11" xfId="483"/>
    <cellStyle name="60% - Accent4 12" xfId="484"/>
    <cellStyle name="60% - Accent4 13" xfId="485"/>
    <cellStyle name="60% - Accent4 14" xfId="486"/>
    <cellStyle name="60% - Accent4 15" xfId="487"/>
    <cellStyle name="60% - Accent4 16" xfId="488"/>
    <cellStyle name="60% - Accent4 17" xfId="489"/>
    <cellStyle name="60% - Accent4 18" xfId="490"/>
    <cellStyle name="60% - Accent4 19" xfId="491"/>
    <cellStyle name="60% - Accent4 2" xfId="492"/>
    <cellStyle name="60% - Accent4 2 2" xfId="493"/>
    <cellStyle name="60% - Accent4 2 3" xfId="494"/>
    <cellStyle name="60% - Accent4 20" xfId="495"/>
    <cellStyle name="60% - Accent4 21" xfId="496"/>
    <cellStyle name="60% - Accent4 22" xfId="497"/>
    <cellStyle name="60% - Accent4 23" xfId="498"/>
    <cellStyle name="60% - Accent4 24" xfId="499"/>
    <cellStyle name="60% - Accent4 25" xfId="500"/>
    <cellStyle name="60% - Accent4 26" xfId="501"/>
    <cellStyle name="60% - Accent4 3" xfId="502"/>
    <cellStyle name="60% - Accent4 4" xfId="503"/>
    <cellStyle name="60% - Accent4 5" xfId="504"/>
    <cellStyle name="60% - Accent4 6" xfId="505"/>
    <cellStyle name="60% - Accent4 7" xfId="506"/>
    <cellStyle name="60% - Accent4 8" xfId="507"/>
    <cellStyle name="60% - Accent4 9" xfId="508"/>
    <cellStyle name="60% - Accent5 10" xfId="509"/>
    <cellStyle name="60% - Accent5 11" xfId="510"/>
    <cellStyle name="60% - Accent5 12" xfId="511"/>
    <cellStyle name="60% - Accent5 13" xfId="512"/>
    <cellStyle name="60% - Accent5 14" xfId="513"/>
    <cellStyle name="60% - Accent5 15" xfId="514"/>
    <cellStyle name="60% - Accent5 16" xfId="515"/>
    <cellStyle name="60% - Accent5 17" xfId="516"/>
    <cellStyle name="60% - Accent5 18" xfId="517"/>
    <cellStyle name="60% - Accent5 19" xfId="518"/>
    <cellStyle name="60% - Accent5 2" xfId="519"/>
    <cellStyle name="60% - Accent5 2 2" xfId="520"/>
    <cellStyle name="60% - Accent5 2 3" xfId="521"/>
    <cellStyle name="60% - Accent5 20" xfId="522"/>
    <cellStyle name="60% - Accent5 21" xfId="523"/>
    <cellStyle name="60% - Accent5 22" xfId="524"/>
    <cellStyle name="60% - Accent5 23" xfId="525"/>
    <cellStyle name="60% - Accent5 24" xfId="526"/>
    <cellStyle name="60% - Accent5 25" xfId="527"/>
    <cellStyle name="60% - Accent5 26" xfId="528"/>
    <cellStyle name="60% - Accent5 3" xfId="529"/>
    <cellStyle name="60% - Accent5 4" xfId="530"/>
    <cellStyle name="60% - Accent5 5" xfId="531"/>
    <cellStyle name="60% - Accent5 6" xfId="532"/>
    <cellStyle name="60% - Accent5 7" xfId="533"/>
    <cellStyle name="60% - Accent5 8" xfId="534"/>
    <cellStyle name="60% - Accent5 9" xfId="535"/>
    <cellStyle name="60% - Accent6 10" xfId="536"/>
    <cellStyle name="60% - Accent6 11" xfId="537"/>
    <cellStyle name="60% - Accent6 12" xfId="538"/>
    <cellStyle name="60% - Accent6 13" xfId="539"/>
    <cellStyle name="60% - Accent6 14" xfId="540"/>
    <cellStyle name="60% - Accent6 15" xfId="541"/>
    <cellStyle name="60% - Accent6 16" xfId="542"/>
    <cellStyle name="60% - Accent6 17" xfId="543"/>
    <cellStyle name="60% - Accent6 18" xfId="544"/>
    <cellStyle name="60% - Accent6 19" xfId="545"/>
    <cellStyle name="60% - Accent6 2" xfId="546"/>
    <cellStyle name="60% - Accent6 2 2" xfId="547"/>
    <cellStyle name="60% - Accent6 2 3" xfId="548"/>
    <cellStyle name="60% - Accent6 20" xfId="549"/>
    <cellStyle name="60% - Accent6 21" xfId="550"/>
    <cellStyle name="60% - Accent6 22" xfId="551"/>
    <cellStyle name="60% - Accent6 23" xfId="552"/>
    <cellStyle name="60% - Accent6 24" xfId="553"/>
    <cellStyle name="60% - Accent6 25" xfId="554"/>
    <cellStyle name="60% - Accent6 26" xfId="555"/>
    <cellStyle name="60% - Accent6 3" xfId="556"/>
    <cellStyle name="60% - Accent6 4" xfId="557"/>
    <cellStyle name="60% - Accent6 5" xfId="558"/>
    <cellStyle name="60% - Accent6 6" xfId="559"/>
    <cellStyle name="60% - Accent6 7" xfId="560"/>
    <cellStyle name="60% - Accent6 8" xfId="561"/>
    <cellStyle name="60% - Accent6 9" xfId="562"/>
    <cellStyle name="Accent1 10" xfId="563"/>
    <cellStyle name="Accent1 11" xfId="564"/>
    <cellStyle name="Accent1 12" xfId="565"/>
    <cellStyle name="Accent1 13" xfId="566"/>
    <cellStyle name="Accent1 14" xfId="567"/>
    <cellStyle name="Accent1 15" xfId="568"/>
    <cellStyle name="Accent1 16" xfId="569"/>
    <cellStyle name="Accent1 17" xfId="570"/>
    <cellStyle name="Accent1 18" xfId="571"/>
    <cellStyle name="Accent1 19" xfId="572"/>
    <cellStyle name="Accent1 2" xfId="573"/>
    <cellStyle name="Accent1 2 2" xfId="574"/>
    <cellStyle name="Accent1 2 3" xfId="575"/>
    <cellStyle name="Accent1 20" xfId="576"/>
    <cellStyle name="Accent1 21" xfId="577"/>
    <cellStyle name="Accent1 22" xfId="578"/>
    <cellStyle name="Accent1 23" xfId="579"/>
    <cellStyle name="Accent1 24" xfId="580"/>
    <cellStyle name="Accent1 25" xfId="581"/>
    <cellStyle name="Accent1 26" xfId="582"/>
    <cellStyle name="Accent1 3" xfId="583"/>
    <cellStyle name="Accent1 4" xfId="584"/>
    <cellStyle name="Accent1 5" xfId="585"/>
    <cellStyle name="Accent1 6" xfId="586"/>
    <cellStyle name="Accent1 7" xfId="587"/>
    <cellStyle name="Accent1 8" xfId="588"/>
    <cellStyle name="Accent1 9" xfId="589"/>
    <cellStyle name="Accent2 10" xfId="590"/>
    <cellStyle name="Accent2 11" xfId="591"/>
    <cellStyle name="Accent2 12" xfId="592"/>
    <cellStyle name="Accent2 13" xfId="593"/>
    <cellStyle name="Accent2 14" xfId="594"/>
    <cellStyle name="Accent2 15" xfId="595"/>
    <cellStyle name="Accent2 16" xfId="596"/>
    <cellStyle name="Accent2 17" xfId="597"/>
    <cellStyle name="Accent2 18" xfId="598"/>
    <cellStyle name="Accent2 19" xfId="599"/>
    <cellStyle name="Accent2 2" xfId="600"/>
    <cellStyle name="Accent2 2 2" xfId="601"/>
    <cellStyle name="Accent2 2 3" xfId="602"/>
    <cellStyle name="Accent2 20" xfId="603"/>
    <cellStyle name="Accent2 21" xfId="604"/>
    <cellStyle name="Accent2 22" xfId="605"/>
    <cellStyle name="Accent2 23" xfId="606"/>
    <cellStyle name="Accent2 24" xfId="607"/>
    <cellStyle name="Accent2 25" xfId="608"/>
    <cellStyle name="Accent2 26" xfId="609"/>
    <cellStyle name="Accent2 3" xfId="610"/>
    <cellStyle name="Accent2 4" xfId="611"/>
    <cellStyle name="Accent2 5" xfId="612"/>
    <cellStyle name="Accent2 6" xfId="613"/>
    <cellStyle name="Accent2 7" xfId="614"/>
    <cellStyle name="Accent2 8" xfId="615"/>
    <cellStyle name="Accent2 9" xfId="616"/>
    <cellStyle name="Accent3 10" xfId="617"/>
    <cellStyle name="Accent3 11" xfId="618"/>
    <cellStyle name="Accent3 12" xfId="619"/>
    <cellStyle name="Accent3 13" xfId="620"/>
    <cellStyle name="Accent3 14" xfId="621"/>
    <cellStyle name="Accent3 15" xfId="622"/>
    <cellStyle name="Accent3 16" xfId="623"/>
    <cellStyle name="Accent3 17" xfId="624"/>
    <cellStyle name="Accent3 18" xfId="625"/>
    <cellStyle name="Accent3 19" xfId="626"/>
    <cellStyle name="Accent3 2" xfId="627"/>
    <cellStyle name="Accent3 2 2" xfId="628"/>
    <cellStyle name="Accent3 2 3" xfId="629"/>
    <cellStyle name="Accent3 20" xfId="630"/>
    <cellStyle name="Accent3 21" xfId="631"/>
    <cellStyle name="Accent3 22" xfId="632"/>
    <cellStyle name="Accent3 23" xfId="633"/>
    <cellStyle name="Accent3 24" xfId="634"/>
    <cellStyle name="Accent3 25" xfId="635"/>
    <cellStyle name="Accent3 26" xfId="636"/>
    <cellStyle name="Accent3 3" xfId="637"/>
    <cellStyle name="Accent3 4" xfId="638"/>
    <cellStyle name="Accent3 5" xfId="639"/>
    <cellStyle name="Accent3 6" xfId="640"/>
    <cellStyle name="Accent3 7" xfId="641"/>
    <cellStyle name="Accent3 8" xfId="642"/>
    <cellStyle name="Accent3 9" xfId="643"/>
    <cellStyle name="Accent4 10" xfId="644"/>
    <cellStyle name="Accent4 11" xfId="645"/>
    <cellStyle name="Accent4 12" xfId="646"/>
    <cellStyle name="Accent4 13" xfId="647"/>
    <cellStyle name="Accent4 14" xfId="648"/>
    <cellStyle name="Accent4 15" xfId="649"/>
    <cellStyle name="Accent4 16" xfId="650"/>
    <cellStyle name="Accent4 17" xfId="651"/>
    <cellStyle name="Accent4 18" xfId="652"/>
    <cellStyle name="Accent4 19" xfId="653"/>
    <cellStyle name="Accent4 2" xfId="654"/>
    <cellStyle name="Accent4 2 2" xfId="655"/>
    <cellStyle name="Accent4 2 3" xfId="656"/>
    <cellStyle name="Accent4 20" xfId="657"/>
    <cellStyle name="Accent4 21" xfId="658"/>
    <cellStyle name="Accent4 22" xfId="659"/>
    <cellStyle name="Accent4 23" xfId="660"/>
    <cellStyle name="Accent4 24" xfId="661"/>
    <cellStyle name="Accent4 25" xfId="662"/>
    <cellStyle name="Accent4 26" xfId="663"/>
    <cellStyle name="Accent4 3" xfId="664"/>
    <cellStyle name="Accent4 4" xfId="665"/>
    <cellStyle name="Accent4 5" xfId="666"/>
    <cellStyle name="Accent4 6" xfId="667"/>
    <cellStyle name="Accent4 7" xfId="668"/>
    <cellStyle name="Accent4 8" xfId="669"/>
    <cellStyle name="Accent4 9" xfId="670"/>
    <cellStyle name="Accent5 10" xfId="671"/>
    <cellStyle name="Accent5 11" xfId="672"/>
    <cellStyle name="Accent5 12" xfId="673"/>
    <cellStyle name="Accent5 13" xfId="674"/>
    <cellStyle name="Accent5 14" xfId="675"/>
    <cellStyle name="Accent5 15" xfId="676"/>
    <cellStyle name="Accent5 16" xfId="677"/>
    <cellStyle name="Accent5 17" xfId="678"/>
    <cellStyle name="Accent5 18" xfId="679"/>
    <cellStyle name="Accent5 19" xfId="680"/>
    <cellStyle name="Accent5 2" xfId="681"/>
    <cellStyle name="Accent5 2 2" xfId="682"/>
    <cellStyle name="Accent5 2 3" xfId="683"/>
    <cellStyle name="Accent5 20" xfId="684"/>
    <cellStyle name="Accent5 21" xfId="685"/>
    <cellStyle name="Accent5 22" xfId="686"/>
    <cellStyle name="Accent5 23" xfId="687"/>
    <cellStyle name="Accent5 24" xfId="688"/>
    <cellStyle name="Accent5 25" xfId="689"/>
    <cellStyle name="Accent5 26" xfId="690"/>
    <cellStyle name="Accent5 3" xfId="691"/>
    <cellStyle name="Accent5 4" xfId="692"/>
    <cellStyle name="Accent5 5" xfId="693"/>
    <cellStyle name="Accent5 6" xfId="694"/>
    <cellStyle name="Accent5 7" xfId="695"/>
    <cellStyle name="Accent5 8" xfId="696"/>
    <cellStyle name="Accent5 9" xfId="697"/>
    <cellStyle name="Accent6 10" xfId="698"/>
    <cellStyle name="Accent6 11" xfId="699"/>
    <cellStyle name="Accent6 12" xfId="700"/>
    <cellStyle name="Accent6 13" xfId="701"/>
    <cellStyle name="Accent6 14" xfId="702"/>
    <cellStyle name="Accent6 15" xfId="703"/>
    <cellStyle name="Accent6 16" xfId="704"/>
    <cellStyle name="Accent6 17" xfId="705"/>
    <cellStyle name="Accent6 18" xfId="706"/>
    <cellStyle name="Accent6 19" xfId="707"/>
    <cellStyle name="Accent6 2" xfId="708"/>
    <cellStyle name="Accent6 2 2" xfId="709"/>
    <cellStyle name="Accent6 2 3" xfId="710"/>
    <cellStyle name="Accent6 20" xfId="711"/>
    <cellStyle name="Accent6 21" xfId="712"/>
    <cellStyle name="Accent6 22" xfId="713"/>
    <cellStyle name="Accent6 23" xfId="714"/>
    <cellStyle name="Accent6 24" xfId="715"/>
    <cellStyle name="Accent6 25" xfId="716"/>
    <cellStyle name="Accent6 26" xfId="717"/>
    <cellStyle name="Accent6 3" xfId="718"/>
    <cellStyle name="Accent6 4" xfId="719"/>
    <cellStyle name="Accent6 5" xfId="720"/>
    <cellStyle name="Accent6 6" xfId="721"/>
    <cellStyle name="Accent6 7" xfId="722"/>
    <cellStyle name="Accent6 8" xfId="723"/>
    <cellStyle name="Accent6 9" xfId="724"/>
    <cellStyle name="Bad 10" xfId="725"/>
    <cellStyle name="Bad 11" xfId="726"/>
    <cellStyle name="Bad 12" xfId="727"/>
    <cellStyle name="Bad 13" xfId="728"/>
    <cellStyle name="Bad 14" xfId="729"/>
    <cellStyle name="Bad 15" xfId="730"/>
    <cellStyle name="Bad 16" xfId="731"/>
    <cellStyle name="Bad 17" xfId="732"/>
    <cellStyle name="Bad 18" xfId="733"/>
    <cellStyle name="Bad 19" xfId="734"/>
    <cellStyle name="Bad 2" xfId="735"/>
    <cellStyle name="Bad 2 2" xfId="736"/>
    <cellStyle name="Bad 2 3" xfId="737"/>
    <cellStyle name="Bad 20" xfId="738"/>
    <cellStyle name="Bad 21" xfId="739"/>
    <cellStyle name="Bad 22" xfId="740"/>
    <cellStyle name="Bad 23" xfId="741"/>
    <cellStyle name="Bad 24" xfId="742"/>
    <cellStyle name="Bad 25" xfId="743"/>
    <cellStyle name="Bad 26" xfId="744"/>
    <cellStyle name="Bad 3" xfId="745"/>
    <cellStyle name="Bad 4" xfId="746"/>
    <cellStyle name="Bad 5" xfId="747"/>
    <cellStyle name="Bad 6" xfId="748"/>
    <cellStyle name="Bad 7" xfId="749"/>
    <cellStyle name="Bad 8" xfId="750"/>
    <cellStyle name="Bad 9" xfId="751"/>
    <cellStyle name="Calculation 10" xfId="752"/>
    <cellStyle name="Calculation 11" xfId="753"/>
    <cellStyle name="Calculation 12" xfId="754"/>
    <cellStyle name="Calculation 13" xfId="755"/>
    <cellStyle name="Calculation 14" xfId="756"/>
    <cellStyle name="Calculation 15" xfId="757"/>
    <cellStyle name="Calculation 16" xfId="758"/>
    <cellStyle name="Calculation 17" xfId="759"/>
    <cellStyle name="Calculation 18" xfId="760"/>
    <cellStyle name="Calculation 19" xfId="761"/>
    <cellStyle name="Calculation 2" xfId="762"/>
    <cellStyle name="Calculation 2 2" xfId="763"/>
    <cellStyle name="Calculation 2 3" xfId="764"/>
    <cellStyle name="Calculation 20" xfId="765"/>
    <cellStyle name="Calculation 21" xfId="766"/>
    <cellStyle name="Calculation 22" xfId="767"/>
    <cellStyle name="Calculation 23" xfId="768"/>
    <cellStyle name="Calculation 24" xfId="769"/>
    <cellStyle name="Calculation 25" xfId="770"/>
    <cellStyle name="Calculation 26" xfId="771"/>
    <cellStyle name="Calculation 3" xfId="772"/>
    <cellStyle name="Calculation 4" xfId="773"/>
    <cellStyle name="Calculation 5" xfId="774"/>
    <cellStyle name="Calculation 6" xfId="775"/>
    <cellStyle name="Calculation 7" xfId="776"/>
    <cellStyle name="Calculation 8" xfId="777"/>
    <cellStyle name="Calculation 9" xfId="778"/>
    <cellStyle name="Check Cell 10" xfId="779"/>
    <cellStyle name="Check Cell 11" xfId="780"/>
    <cellStyle name="Check Cell 12" xfId="781"/>
    <cellStyle name="Check Cell 13" xfId="782"/>
    <cellStyle name="Check Cell 14" xfId="783"/>
    <cellStyle name="Check Cell 15" xfId="784"/>
    <cellStyle name="Check Cell 16" xfId="785"/>
    <cellStyle name="Check Cell 17" xfId="786"/>
    <cellStyle name="Check Cell 18" xfId="787"/>
    <cellStyle name="Check Cell 19" xfId="788"/>
    <cellStyle name="Check Cell 2" xfId="789"/>
    <cellStyle name="Check Cell 2 2" xfId="790"/>
    <cellStyle name="Check Cell 2 3" xfId="791"/>
    <cellStyle name="Check Cell 20" xfId="792"/>
    <cellStyle name="Check Cell 21" xfId="793"/>
    <cellStyle name="Check Cell 22" xfId="794"/>
    <cellStyle name="Check Cell 23" xfId="795"/>
    <cellStyle name="Check Cell 24" xfId="796"/>
    <cellStyle name="Check Cell 25" xfId="797"/>
    <cellStyle name="Check Cell 26" xfId="798"/>
    <cellStyle name="Check Cell 3" xfId="799"/>
    <cellStyle name="Check Cell 4" xfId="800"/>
    <cellStyle name="Check Cell 5" xfId="801"/>
    <cellStyle name="Check Cell 6" xfId="802"/>
    <cellStyle name="Check Cell 7" xfId="803"/>
    <cellStyle name="Check Cell 8" xfId="804"/>
    <cellStyle name="Check Cell 9" xfId="805"/>
    <cellStyle name="Comma" xfId="1" builtinId="3"/>
    <cellStyle name="Comma 2" xfId="806"/>
    <cellStyle name="Comma 2 2" xfId="807"/>
    <cellStyle name="Comma 2 3" xfId="808"/>
    <cellStyle name="Comma 3" xfId="809"/>
    <cellStyle name="Comma 3 2" xfId="810"/>
    <cellStyle name="Comma 3 3" xfId="811"/>
    <cellStyle name="Comma 4" xfId="812"/>
    <cellStyle name="Comma 5" xfId="813"/>
    <cellStyle name="Comma 6" xfId="814"/>
    <cellStyle name="Comma 7" xfId="815"/>
    <cellStyle name="Comma0" xfId="816"/>
    <cellStyle name="Comma0 2" xfId="817"/>
    <cellStyle name="Currency" xfId="2" builtinId="4"/>
    <cellStyle name="Currency 2" xfId="4"/>
    <cellStyle name="Currency 2 2" xfId="818"/>
    <cellStyle name="Currency 2 3" xfId="819"/>
    <cellStyle name="Currency 3" xfId="820"/>
    <cellStyle name="Currency 4" xfId="821"/>
    <cellStyle name="Currency 4 2" xfId="822"/>
    <cellStyle name="Currency 5" xfId="823"/>
    <cellStyle name="Currency 6" xfId="824"/>
    <cellStyle name="Currency 7" xfId="825"/>
    <cellStyle name="Currency0" xfId="826"/>
    <cellStyle name="Currency0 2" xfId="827"/>
    <cellStyle name="Date" xfId="828"/>
    <cellStyle name="Date 2" xfId="829"/>
    <cellStyle name="Explanatory Text 10" xfId="830"/>
    <cellStyle name="Explanatory Text 11" xfId="831"/>
    <cellStyle name="Explanatory Text 12" xfId="832"/>
    <cellStyle name="Explanatory Text 13" xfId="833"/>
    <cellStyle name="Explanatory Text 14" xfId="834"/>
    <cellStyle name="Explanatory Text 15" xfId="835"/>
    <cellStyle name="Explanatory Text 16" xfId="836"/>
    <cellStyle name="Explanatory Text 17" xfId="837"/>
    <cellStyle name="Explanatory Text 18" xfId="838"/>
    <cellStyle name="Explanatory Text 19" xfId="839"/>
    <cellStyle name="Explanatory Text 2" xfId="840"/>
    <cellStyle name="Explanatory Text 2 2" xfId="841"/>
    <cellStyle name="Explanatory Text 2 3" xfId="842"/>
    <cellStyle name="Explanatory Text 20" xfId="843"/>
    <cellStyle name="Explanatory Text 21" xfId="844"/>
    <cellStyle name="Explanatory Text 22" xfId="845"/>
    <cellStyle name="Explanatory Text 23" xfId="846"/>
    <cellStyle name="Explanatory Text 24" xfId="847"/>
    <cellStyle name="Explanatory Text 25" xfId="848"/>
    <cellStyle name="Explanatory Text 26" xfId="849"/>
    <cellStyle name="Explanatory Text 3" xfId="850"/>
    <cellStyle name="Explanatory Text 4" xfId="851"/>
    <cellStyle name="Explanatory Text 5" xfId="852"/>
    <cellStyle name="Explanatory Text 6" xfId="853"/>
    <cellStyle name="Explanatory Text 7" xfId="854"/>
    <cellStyle name="Explanatory Text 8" xfId="855"/>
    <cellStyle name="Explanatory Text 9" xfId="856"/>
    <cellStyle name="Fixed" xfId="857"/>
    <cellStyle name="Fixed 2" xfId="858"/>
    <cellStyle name="Good 10" xfId="859"/>
    <cellStyle name="Good 11" xfId="860"/>
    <cellStyle name="Good 12" xfId="861"/>
    <cellStyle name="Good 13" xfId="862"/>
    <cellStyle name="Good 14" xfId="863"/>
    <cellStyle name="Good 15" xfId="864"/>
    <cellStyle name="Good 16" xfId="865"/>
    <cellStyle name="Good 17" xfId="866"/>
    <cellStyle name="Good 18" xfId="867"/>
    <cellStyle name="Good 19" xfId="868"/>
    <cellStyle name="Good 2" xfId="869"/>
    <cellStyle name="Good 2 2" xfId="870"/>
    <cellStyle name="Good 2 3" xfId="871"/>
    <cellStyle name="Good 20" xfId="872"/>
    <cellStyle name="Good 21" xfId="873"/>
    <cellStyle name="Good 22" xfId="874"/>
    <cellStyle name="Good 23" xfId="875"/>
    <cellStyle name="Good 24" xfId="876"/>
    <cellStyle name="Good 25" xfId="877"/>
    <cellStyle name="Good 26" xfId="878"/>
    <cellStyle name="Good 3" xfId="879"/>
    <cellStyle name="Good 4" xfId="880"/>
    <cellStyle name="Good 5" xfId="881"/>
    <cellStyle name="Good 6" xfId="882"/>
    <cellStyle name="Good 7" xfId="883"/>
    <cellStyle name="Good 8" xfId="884"/>
    <cellStyle name="Good 9" xfId="885"/>
    <cellStyle name="Heading 1 10" xfId="886"/>
    <cellStyle name="Heading 1 11" xfId="887"/>
    <cellStyle name="Heading 1 12" xfId="888"/>
    <cellStyle name="Heading 1 13" xfId="889"/>
    <cellStyle name="Heading 1 14" xfId="890"/>
    <cellStyle name="Heading 1 15" xfId="891"/>
    <cellStyle name="Heading 1 16" xfId="892"/>
    <cellStyle name="Heading 1 17" xfId="893"/>
    <cellStyle name="Heading 1 18" xfId="894"/>
    <cellStyle name="Heading 1 19" xfId="895"/>
    <cellStyle name="Heading 1 2" xfId="896"/>
    <cellStyle name="Heading 1 2 2" xfId="897"/>
    <cellStyle name="Heading 1 2 3" xfId="898"/>
    <cellStyle name="Heading 1 20" xfId="899"/>
    <cellStyle name="Heading 1 21" xfId="900"/>
    <cellStyle name="Heading 1 22" xfId="901"/>
    <cellStyle name="Heading 1 23" xfId="902"/>
    <cellStyle name="Heading 1 24" xfId="903"/>
    <cellStyle name="Heading 1 25" xfId="904"/>
    <cellStyle name="Heading 1 26" xfId="905"/>
    <cellStyle name="Heading 1 3" xfId="906"/>
    <cellStyle name="Heading 1 3 2" xfId="907"/>
    <cellStyle name="Heading 1 4" xfId="908"/>
    <cellStyle name="Heading 1 5" xfId="909"/>
    <cellStyle name="Heading 1 6" xfId="910"/>
    <cellStyle name="Heading 1 7" xfId="911"/>
    <cellStyle name="Heading 1 8" xfId="912"/>
    <cellStyle name="Heading 1 9" xfId="913"/>
    <cellStyle name="Heading 2 10" xfId="914"/>
    <cellStyle name="Heading 2 11" xfId="915"/>
    <cellStyle name="Heading 2 12" xfId="916"/>
    <cellStyle name="Heading 2 13" xfId="917"/>
    <cellStyle name="Heading 2 14" xfId="918"/>
    <cellStyle name="Heading 2 15" xfId="919"/>
    <cellStyle name="Heading 2 16" xfId="920"/>
    <cellStyle name="Heading 2 17" xfId="921"/>
    <cellStyle name="Heading 2 18" xfId="922"/>
    <cellStyle name="Heading 2 19" xfId="923"/>
    <cellStyle name="Heading 2 2" xfId="924"/>
    <cellStyle name="Heading 2 2 2" xfId="925"/>
    <cellStyle name="Heading 2 2 3" xfId="926"/>
    <cellStyle name="Heading 2 20" xfId="927"/>
    <cellStyle name="Heading 2 21" xfId="928"/>
    <cellStyle name="Heading 2 22" xfId="929"/>
    <cellStyle name="Heading 2 23" xfId="930"/>
    <cellStyle name="Heading 2 24" xfId="931"/>
    <cellStyle name="Heading 2 25" xfId="932"/>
    <cellStyle name="Heading 2 26" xfId="933"/>
    <cellStyle name="Heading 2 3" xfId="934"/>
    <cellStyle name="Heading 2 3 2" xfId="935"/>
    <cellStyle name="Heading 2 4" xfId="936"/>
    <cellStyle name="Heading 2 5" xfId="937"/>
    <cellStyle name="Heading 2 6" xfId="938"/>
    <cellStyle name="Heading 2 7" xfId="939"/>
    <cellStyle name="Heading 2 8" xfId="940"/>
    <cellStyle name="Heading 2 9" xfId="941"/>
    <cellStyle name="Heading 3 10" xfId="942"/>
    <cellStyle name="Heading 3 11" xfId="943"/>
    <cellStyle name="Heading 3 12" xfId="944"/>
    <cellStyle name="Heading 3 13" xfId="945"/>
    <cellStyle name="Heading 3 14" xfId="946"/>
    <cellStyle name="Heading 3 15" xfId="947"/>
    <cellStyle name="Heading 3 16" xfId="948"/>
    <cellStyle name="Heading 3 17" xfId="949"/>
    <cellStyle name="Heading 3 18" xfId="950"/>
    <cellStyle name="Heading 3 19" xfId="951"/>
    <cellStyle name="Heading 3 2" xfId="952"/>
    <cellStyle name="Heading 3 2 2" xfId="953"/>
    <cellStyle name="Heading 3 2 3" xfId="954"/>
    <cellStyle name="Heading 3 20" xfId="955"/>
    <cellStyle name="Heading 3 21" xfId="956"/>
    <cellStyle name="Heading 3 22" xfId="957"/>
    <cellStyle name="Heading 3 23" xfId="958"/>
    <cellStyle name="Heading 3 24" xfId="959"/>
    <cellStyle name="Heading 3 25" xfId="960"/>
    <cellStyle name="Heading 3 26" xfId="961"/>
    <cellStyle name="Heading 3 3" xfId="962"/>
    <cellStyle name="Heading 3 4" xfId="963"/>
    <cellStyle name="Heading 3 5" xfId="964"/>
    <cellStyle name="Heading 3 6" xfId="965"/>
    <cellStyle name="Heading 3 7" xfId="966"/>
    <cellStyle name="Heading 3 8" xfId="967"/>
    <cellStyle name="Heading 3 9" xfId="968"/>
    <cellStyle name="Heading 4 10" xfId="969"/>
    <cellStyle name="Heading 4 11" xfId="970"/>
    <cellStyle name="Heading 4 12" xfId="971"/>
    <cellStyle name="Heading 4 13" xfId="972"/>
    <cellStyle name="Heading 4 14" xfId="973"/>
    <cellStyle name="Heading 4 15" xfId="974"/>
    <cellStyle name="Heading 4 16" xfId="975"/>
    <cellStyle name="Heading 4 17" xfId="976"/>
    <cellStyle name="Heading 4 18" xfId="977"/>
    <cellStyle name="Heading 4 19" xfId="978"/>
    <cellStyle name="Heading 4 2" xfId="979"/>
    <cellStyle name="Heading 4 2 2" xfId="980"/>
    <cellStyle name="Heading 4 2 3" xfId="981"/>
    <cellStyle name="Heading 4 20" xfId="982"/>
    <cellStyle name="Heading 4 21" xfId="983"/>
    <cellStyle name="Heading 4 22" xfId="984"/>
    <cellStyle name="Heading 4 23" xfId="985"/>
    <cellStyle name="Heading 4 24" xfId="986"/>
    <cellStyle name="Heading 4 25" xfId="987"/>
    <cellStyle name="Heading 4 26" xfId="988"/>
    <cellStyle name="Heading 4 3" xfId="989"/>
    <cellStyle name="Heading 4 4" xfId="990"/>
    <cellStyle name="Heading 4 5" xfId="991"/>
    <cellStyle name="Heading 4 6" xfId="992"/>
    <cellStyle name="Heading 4 7" xfId="993"/>
    <cellStyle name="Heading 4 8" xfId="994"/>
    <cellStyle name="Heading 4 9" xfId="995"/>
    <cellStyle name="Hyperlink 2" xfId="996"/>
    <cellStyle name="Hyperlink 3" xfId="997"/>
    <cellStyle name="Input 10" xfId="998"/>
    <cellStyle name="Input 11" xfId="999"/>
    <cellStyle name="Input 12" xfId="1000"/>
    <cellStyle name="Input 13" xfId="1001"/>
    <cellStyle name="Input 14" xfId="1002"/>
    <cellStyle name="Input 15" xfId="1003"/>
    <cellStyle name="Input 16" xfId="1004"/>
    <cellStyle name="Input 17" xfId="1005"/>
    <cellStyle name="Input 18" xfId="1006"/>
    <cellStyle name="Input 19" xfId="1007"/>
    <cellStyle name="Input 2" xfId="1008"/>
    <cellStyle name="Input 2 2" xfId="1009"/>
    <cellStyle name="Input 2 3" xfId="1010"/>
    <cellStyle name="Input 20" xfId="1011"/>
    <cellStyle name="Input 21" xfId="1012"/>
    <cellStyle name="Input 22" xfId="1013"/>
    <cellStyle name="Input 23" xfId="1014"/>
    <cellStyle name="Input 24" xfId="1015"/>
    <cellStyle name="Input 25" xfId="1016"/>
    <cellStyle name="Input 26" xfId="1017"/>
    <cellStyle name="Input 3" xfId="1018"/>
    <cellStyle name="Input 4" xfId="1019"/>
    <cellStyle name="Input 5" xfId="1020"/>
    <cellStyle name="Input 6" xfId="1021"/>
    <cellStyle name="Input 7" xfId="1022"/>
    <cellStyle name="Input 8" xfId="1023"/>
    <cellStyle name="Input 9" xfId="1024"/>
    <cellStyle name="Linked Cell 10" xfId="1025"/>
    <cellStyle name="Linked Cell 11" xfId="1026"/>
    <cellStyle name="Linked Cell 12" xfId="1027"/>
    <cellStyle name="Linked Cell 13" xfId="1028"/>
    <cellStyle name="Linked Cell 14" xfId="1029"/>
    <cellStyle name="Linked Cell 15" xfId="1030"/>
    <cellStyle name="Linked Cell 16" xfId="1031"/>
    <cellStyle name="Linked Cell 17" xfId="1032"/>
    <cellStyle name="Linked Cell 18" xfId="1033"/>
    <cellStyle name="Linked Cell 19" xfId="1034"/>
    <cellStyle name="Linked Cell 2" xfId="1035"/>
    <cellStyle name="Linked Cell 2 2" xfId="1036"/>
    <cellStyle name="Linked Cell 2 3" xfId="1037"/>
    <cellStyle name="Linked Cell 20" xfId="1038"/>
    <cellStyle name="Linked Cell 21" xfId="1039"/>
    <cellStyle name="Linked Cell 22" xfId="1040"/>
    <cellStyle name="Linked Cell 23" xfId="1041"/>
    <cellStyle name="Linked Cell 24" xfId="1042"/>
    <cellStyle name="Linked Cell 25" xfId="1043"/>
    <cellStyle name="Linked Cell 26" xfId="1044"/>
    <cellStyle name="Linked Cell 3" xfId="1045"/>
    <cellStyle name="Linked Cell 4" xfId="1046"/>
    <cellStyle name="Linked Cell 5" xfId="1047"/>
    <cellStyle name="Linked Cell 6" xfId="1048"/>
    <cellStyle name="Linked Cell 7" xfId="1049"/>
    <cellStyle name="Linked Cell 8" xfId="1050"/>
    <cellStyle name="Linked Cell 9" xfId="1051"/>
    <cellStyle name="Neutral 10" xfId="1052"/>
    <cellStyle name="Neutral 11" xfId="1053"/>
    <cellStyle name="Neutral 12" xfId="1054"/>
    <cellStyle name="Neutral 13" xfId="1055"/>
    <cellStyle name="Neutral 14" xfId="1056"/>
    <cellStyle name="Neutral 15" xfId="1057"/>
    <cellStyle name="Neutral 16" xfId="1058"/>
    <cellStyle name="Neutral 17" xfId="1059"/>
    <cellStyle name="Neutral 18" xfId="1060"/>
    <cellStyle name="Neutral 19" xfId="1061"/>
    <cellStyle name="Neutral 2" xfId="1062"/>
    <cellStyle name="Neutral 2 2" xfId="1063"/>
    <cellStyle name="Neutral 2 3" xfId="1064"/>
    <cellStyle name="Neutral 20" xfId="1065"/>
    <cellStyle name="Neutral 21" xfId="1066"/>
    <cellStyle name="Neutral 22" xfId="1067"/>
    <cellStyle name="Neutral 23" xfId="1068"/>
    <cellStyle name="Neutral 24" xfId="1069"/>
    <cellStyle name="Neutral 25" xfId="1070"/>
    <cellStyle name="Neutral 26" xfId="1071"/>
    <cellStyle name="Neutral 3" xfId="1072"/>
    <cellStyle name="Neutral 4" xfId="1073"/>
    <cellStyle name="Neutral 5" xfId="1074"/>
    <cellStyle name="Neutral 6" xfId="1075"/>
    <cellStyle name="Neutral 7" xfId="1076"/>
    <cellStyle name="Neutral 8" xfId="1077"/>
    <cellStyle name="Neutral 9" xfId="1078"/>
    <cellStyle name="Normal" xfId="0" builtinId="0"/>
    <cellStyle name="Normal 10" xfId="3"/>
    <cellStyle name="Normal 2" xfId="1079"/>
    <cellStyle name="Normal 2 2" xfId="1080"/>
    <cellStyle name="Normal 2 2 2" xfId="1081"/>
    <cellStyle name="Normal 2 3" xfId="1082"/>
    <cellStyle name="Normal 2 4" xfId="1083"/>
    <cellStyle name="Normal 25" xfId="1084"/>
    <cellStyle name="Normal 3" xfId="1085"/>
    <cellStyle name="Normal 3 2" xfId="1086"/>
    <cellStyle name="Normal 3 2 2" xfId="1087"/>
    <cellStyle name="Normal 3 2 3" xfId="1088"/>
    <cellStyle name="Normal 3 3" xfId="1089"/>
    <cellStyle name="Normal 3 4" xfId="1090"/>
    <cellStyle name="Normal 4" xfId="1091"/>
    <cellStyle name="Normal 4 2" xfId="1092"/>
    <cellStyle name="Normal 4 2 2" xfId="1093"/>
    <cellStyle name="Normal 4 3" xfId="1094"/>
    <cellStyle name="Normal 5" xfId="1095"/>
    <cellStyle name="Normal 6" xfId="1096"/>
    <cellStyle name="Normal 7" xfId="1097"/>
    <cellStyle name="Normal 8" xfId="1098"/>
    <cellStyle name="Normal 9" xfId="1099"/>
    <cellStyle name="Normal_PPE Deferral Account Schedule for 2013 MIFRS CoS applications (2)" xfId="1231"/>
    <cellStyle name="Note 10" xfId="1100"/>
    <cellStyle name="Note 11" xfId="1101"/>
    <cellStyle name="Note 12" xfId="1102"/>
    <cellStyle name="Note 13" xfId="1103"/>
    <cellStyle name="Note 14" xfId="1104"/>
    <cellStyle name="Note 15" xfId="1105"/>
    <cellStyle name="Note 16" xfId="1106"/>
    <cellStyle name="Note 17" xfId="1107"/>
    <cellStyle name="Note 18" xfId="1108"/>
    <cellStyle name="Note 19" xfId="1109"/>
    <cellStyle name="Note 2" xfId="1110"/>
    <cellStyle name="Note 2 2" xfId="1111"/>
    <cellStyle name="Note 2 3" xfId="1112"/>
    <cellStyle name="Note 20" xfId="1113"/>
    <cellStyle name="Note 21" xfId="1114"/>
    <cellStyle name="Note 22" xfId="1115"/>
    <cellStyle name="Note 23" xfId="1116"/>
    <cellStyle name="Note 24" xfId="1117"/>
    <cellStyle name="Note 25" xfId="1118"/>
    <cellStyle name="Note 26" xfId="1119"/>
    <cellStyle name="Note 26 2" xfId="1120"/>
    <cellStyle name="Note 26 2 2" xfId="1121"/>
    <cellStyle name="Note 26 3" xfId="1122"/>
    <cellStyle name="Note 27" xfId="1123"/>
    <cellStyle name="Note 27 2" xfId="1124"/>
    <cellStyle name="Note 28" xfId="1125"/>
    <cellStyle name="Note 28 2" xfId="1126"/>
    <cellStyle name="Note 29" xfId="1127"/>
    <cellStyle name="Note 3" xfId="1128"/>
    <cellStyle name="Note 3 2" xfId="1129"/>
    <cellStyle name="Note 30" xfId="1130"/>
    <cellStyle name="Note 4" xfId="1131"/>
    <cellStyle name="Note 5" xfId="1132"/>
    <cellStyle name="Note 6" xfId="1133"/>
    <cellStyle name="Note 7" xfId="1134"/>
    <cellStyle name="Note 8" xfId="1135"/>
    <cellStyle name="Note 9" xfId="1136"/>
    <cellStyle name="Output 10" xfId="1137"/>
    <cellStyle name="Output 11" xfId="1138"/>
    <cellStyle name="Output 12" xfId="1139"/>
    <cellStyle name="Output 13" xfId="1140"/>
    <cellStyle name="Output 14" xfId="1141"/>
    <cellStyle name="Output 15" xfId="1142"/>
    <cellStyle name="Output 16" xfId="1143"/>
    <cellStyle name="Output 17" xfId="1144"/>
    <cellStyle name="Output 18" xfId="1145"/>
    <cellStyle name="Output 19" xfId="1146"/>
    <cellStyle name="Output 2" xfId="1147"/>
    <cellStyle name="Output 2 2" xfId="1148"/>
    <cellStyle name="Output 2 3" xfId="1149"/>
    <cellStyle name="Output 20" xfId="1150"/>
    <cellStyle name="Output 21" xfId="1151"/>
    <cellStyle name="Output 22" xfId="1152"/>
    <cellStyle name="Output 23" xfId="1153"/>
    <cellStyle name="Output 24" xfId="1154"/>
    <cellStyle name="Output 25" xfId="1155"/>
    <cellStyle name="Output 26" xfId="1156"/>
    <cellStyle name="Output 3" xfId="1157"/>
    <cellStyle name="Output 4" xfId="1158"/>
    <cellStyle name="Output 5" xfId="1159"/>
    <cellStyle name="Output 6" xfId="1160"/>
    <cellStyle name="Output 7" xfId="1161"/>
    <cellStyle name="Output 8" xfId="1162"/>
    <cellStyle name="Output 9" xfId="1163"/>
    <cellStyle name="Percent 2" xfId="1164"/>
    <cellStyle name="Percent 2 2" xfId="1165"/>
    <cellStyle name="Percent 3" xfId="1166"/>
    <cellStyle name="Percent 4" xfId="1167"/>
    <cellStyle name="Percent 4 2" xfId="1168"/>
    <cellStyle name="Percent 5" xfId="1169"/>
    <cellStyle name="PSChar" xfId="1170"/>
    <cellStyle name="Style 23" xfId="1230"/>
    <cellStyle name="Title 2" xfId="1171"/>
    <cellStyle name="Title 2 2" xfId="1172"/>
    <cellStyle name="Title 3" xfId="1173"/>
    <cellStyle name="Total 10" xfId="1174"/>
    <cellStyle name="Total 11" xfId="1175"/>
    <cellStyle name="Total 12" xfId="1176"/>
    <cellStyle name="Total 13" xfId="1177"/>
    <cellStyle name="Total 14" xfId="1178"/>
    <cellStyle name="Total 15" xfId="1179"/>
    <cellStyle name="Total 16" xfId="1180"/>
    <cellStyle name="Total 17" xfId="1181"/>
    <cellStyle name="Total 18" xfId="1182"/>
    <cellStyle name="Total 19" xfId="1183"/>
    <cellStyle name="Total 2" xfId="1184"/>
    <cellStyle name="Total 2 2" xfId="1185"/>
    <cellStyle name="Total 2 3" xfId="1186"/>
    <cellStyle name="Total 20" xfId="1187"/>
    <cellStyle name="Total 21" xfId="1188"/>
    <cellStyle name="Total 22" xfId="1189"/>
    <cellStyle name="Total 23" xfId="1190"/>
    <cellStyle name="Total 24" xfId="1191"/>
    <cellStyle name="Total 25" xfId="1192"/>
    <cellStyle name="Total 26" xfId="1193"/>
    <cellStyle name="Total 3" xfId="1194"/>
    <cellStyle name="Total 3 2" xfId="1195"/>
    <cellStyle name="Total 4" xfId="1196"/>
    <cellStyle name="Total 4 2" xfId="1197"/>
    <cellStyle name="Total 5" xfId="1198"/>
    <cellStyle name="Total 6" xfId="1199"/>
    <cellStyle name="Total 7" xfId="1200"/>
    <cellStyle name="Total 8" xfId="1201"/>
    <cellStyle name="Total 9" xfId="1202"/>
    <cellStyle name="Warning Text 10" xfId="1203"/>
    <cellStyle name="Warning Text 11" xfId="1204"/>
    <cellStyle name="Warning Text 12" xfId="1205"/>
    <cellStyle name="Warning Text 13" xfId="1206"/>
    <cellStyle name="Warning Text 14" xfId="1207"/>
    <cellStyle name="Warning Text 15" xfId="1208"/>
    <cellStyle name="Warning Text 16" xfId="1209"/>
    <cellStyle name="Warning Text 17" xfId="1210"/>
    <cellStyle name="Warning Text 18" xfId="1211"/>
    <cellStyle name="Warning Text 19" xfId="1212"/>
    <cellStyle name="Warning Text 2" xfId="1213"/>
    <cellStyle name="Warning Text 2 2" xfId="1214"/>
    <cellStyle name="Warning Text 2 3" xfId="1215"/>
    <cellStyle name="Warning Text 20" xfId="1216"/>
    <cellStyle name="Warning Text 21" xfId="1217"/>
    <cellStyle name="Warning Text 22" xfId="1218"/>
    <cellStyle name="Warning Text 23" xfId="1219"/>
    <cellStyle name="Warning Text 24" xfId="1220"/>
    <cellStyle name="Warning Text 25" xfId="1221"/>
    <cellStyle name="Warning Text 26" xfId="1222"/>
    <cellStyle name="Warning Text 3" xfId="1223"/>
    <cellStyle name="Warning Text 4" xfId="1224"/>
    <cellStyle name="Warning Text 5" xfId="1225"/>
    <cellStyle name="Warning Text 6" xfId="1226"/>
    <cellStyle name="Warning Text 7" xfId="1227"/>
    <cellStyle name="Warning Text 8" xfId="1228"/>
    <cellStyle name="Warning Text 9" xfId="12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1.128\Data\common\2013%20COS%20Application\Interogatories\Ready%20to%20File%20with%20OEB\WPI%20EB-2012-0176%202013COS%20Filing_Requirements_Chapter2_Appendices_V1.1-amended%20for%20rate%20app.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3%20COS%20Application\Interogatories\Ready%20to%20File%20with%20OEB\WPI%20EB-2012-0176%202013COS%20Filing_Requirements_Chapter2_Appendices_V1.1-amended%20for%20rate%20app.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3%20COS%20Application\Interogatories\Models%20-%20amended%20for%20IR%20Response\Models%20-%20amended%20for%20IR%20Response%20-%20EP\Filing_Requirements_Chapter2_Appendices_V1.1%20-%20Appendix2-F%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arterj\AppData\Local\Microsoft\Windows\Temporary%20Internet%20Files\Content.Outlook\2AOMM4DC\2006-2010%20Final%20OPA%20CDM%20Results%20Westario%20Power%20In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tom.barrett\Local%20Settings\Temporary%20Internet%20Files\OLKA1\COP%20Forecast_Apr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 2007"/>
      <sheetName val="App.2-B_Fixed Asset Cont 2008"/>
      <sheetName val="App.2-B_Fixed Asset Cont 2009"/>
      <sheetName val="App.2-B_Fixed Asset Cont 2009SM"/>
      <sheetName val="App.2-B_Fixed Asset Cont 2010"/>
      <sheetName val="App.2-B_Fixed Asset Cont 2010SM"/>
      <sheetName val="App.2-B_Fixed Asset Cont 2011"/>
      <sheetName val="App.2-B_Fixed Asset Cont 2011SM"/>
      <sheetName val="App.2-B_Fixed Asset Cont 2012"/>
      <sheetName val="App.2-B_Fixed Asset Cont 2012SM"/>
      <sheetName val="App.2-B_FA Cont MIFRS 2012"/>
      <sheetName val="App.2-B_FA Cont MIFRS 2012SM"/>
      <sheetName val="App.2-B_Fixed Asset Cont 2013"/>
      <sheetName val="App.2-B_Fixed Asset Cont 2013SM"/>
      <sheetName val="App.2-EB_PP&amp;E Deferral Account"/>
      <sheetName val="App.2-B_FA Cont MIFRS 2013"/>
      <sheetName val="App.2-CA_CGAAP_DepExp_2011"/>
      <sheetName val="App.2-CB_MIFRS_DepExp_2011"/>
      <sheetName val="App.2-CC_MIFRS_DepExp_2012"/>
      <sheetName val="App.2-CD_MIFRS_DepExp_2013"/>
      <sheetName val="App.2-B_FA Cont MIFRS 2013SM"/>
      <sheetName val="App.2-CE_CGAAP_DepExp_2011"/>
      <sheetName val="App.2-CF_CGAAP_DepExp_2012"/>
      <sheetName val="App.2-CJ_CGAAP_DepExp_2013"/>
      <sheetName val="App.2-CG_MIFRS_DepExp_2012"/>
      <sheetName val="App.2-CH_MIFRS_DepExp_2013"/>
      <sheetName val="App.2-CI_AltAccStd_DepExp"/>
      <sheetName val="App.2-D_Overhead"/>
      <sheetName val="App.2-EA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A2009"/>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_RES800"/>
      <sheetName val="App.2-W_Bill Impacts_GS&lt;50"/>
      <sheetName val="App.2-W_Bill Impacts_GS&gt;50"/>
      <sheetName val="App.2-W_Bill Impacts_USL"/>
      <sheetName val="App.2-W_Bill Impacts_Sentinel"/>
      <sheetName val="App.2-W_Bill Impacts_Streetligh"/>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row r="55">
          <cell r="F55">
            <v>2741802.2199999997</v>
          </cell>
          <cell r="G55">
            <v>-396102.12</v>
          </cell>
          <cell r="K55">
            <v>-1855323.9700000002</v>
          </cell>
          <cell r="L55">
            <v>261843.26</v>
          </cell>
        </row>
      </sheetData>
      <sheetData sheetId="8"/>
      <sheetData sheetId="9">
        <row r="55">
          <cell r="F55">
            <v>3527103.22</v>
          </cell>
          <cell r="G55">
            <v>-461019.88</v>
          </cell>
          <cell r="K55">
            <v>-2010836.9300000006</v>
          </cell>
          <cell r="L55">
            <v>266042</v>
          </cell>
        </row>
      </sheetData>
      <sheetData sheetId="10"/>
      <sheetData sheetId="11">
        <row r="55">
          <cell r="F55">
            <v>3951756</v>
          </cell>
          <cell r="G55">
            <v>-150000</v>
          </cell>
          <cell r="K55">
            <v>-2201348.6833333336</v>
          </cell>
          <cell r="L55">
            <v>150000</v>
          </cell>
        </row>
      </sheetData>
      <sheetData sheetId="12"/>
      <sheetData sheetId="13">
        <row r="55">
          <cell r="F55">
            <v>3388315</v>
          </cell>
          <cell r="G55">
            <v>-150000</v>
          </cell>
          <cell r="K55">
            <v>-1131462.5666666667</v>
          </cell>
          <cell r="L55">
            <v>150000</v>
          </cell>
        </row>
      </sheetData>
      <sheetData sheetId="14"/>
      <sheetData sheetId="15">
        <row r="57">
          <cell r="E57">
            <v>3446141</v>
          </cell>
          <cell r="J57">
            <v>-656079</v>
          </cell>
        </row>
        <row r="58">
          <cell r="E58">
            <v>62873</v>
          </cell>
          <cell r="J58">
            <v>-35193</v>
          </cell>
        </row>
        <row r="59">
          <cell r="E59">
            <v>274217</v>
          </cell>
          <cell r="J59">
            <v>-81848</v>
          </cell>
        </row>
        <row r="60">
          <cell r="F60">
            <v>5839957</v>
          </cell>
          <cell r="G60">
            <v>-50000</v>
          </cell>
          <cell r="K60">
            <v>-2717909.3166666664</v>
          </cell>
          <cell r="L60">
            <v>50000</v>
          </cell>
        </row>
      </sheetData>
      <sheetData sheetId="16">
        <row r="59">
          <cell r="G59">
            <v>-50000</v>
          </cell>
        </row>
      </sheetData>
      <sheetData sheetId="17"/>
      <sheetData sheetId="18">
        <row r="57">
          <cell r="E57">
            <v>3446141</v>
          </cell>
          <cell r="J57">
            <v>-656079</v>
          </cell>
        </row>
        <row r="58">
          <cell r="E58">
            <v>62873</v>
          </cell>
          <cell r="J58">
            <v>-35193</v>
          </cell>
        </row>
        <row r="59">
          <cell r="E59">
            <v>274217</v>
          </cell>
          <cell r="J59">
            <v>-81848</v>
          </cell>
        </row>
        <row r="60">
          <cell r="F60">
            <v>4954040</v>
          </cell>
          <cell r="K60">
            <v>-1499375.4333333333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 2007"/>
      <sheetName val="App.2-B_Fixed Asset Cont 2008"/>
      <sheetName val="App.2-B_Fixed Asset Cont 2009"/>
      <sheetName val="App.2-B_Fixed Asset Cont 2009SM"/>
      <sheetName val="App.2-B_Fixed Asset Cont 2010"/>
      <sheetName val="App.2-B_Fixed Asset Cont 2010SM"/>
      <sheetName val="App.2-B_Fixed Asset Cont 2011"/>
      <sheetName val="App.2-B_Fixed Asset Cont 2011SM"/>
      <sheetName val="App.2-B_Fixed Asset Cont 2012"/>
      <sheetName val="App.2-B_Fixed Asset Cont 2012SM"/>
      <sheetName val="App.2-B_FA Cont MIFRS 2012"/>
      <sheetName val="App.2-B_FA Cont MIFRS 2012SM"/>
      <sheetName val="App.2-B_Fixed Asset Cont 2013"/>
      <sheetName val="App.2-B_Fixed Asset Cont 2013SM"/>
      <sheetName val="App.2-B_FA Cont MIFRS 2013"/>
      <sheetName val="App.2-CA_CGAAP_DepExp_2011"/>
      <sheetName val="App.2-CB_MIFRS_DepExp_2011"/>
      <sheetName val="App.2-CC_MIFRS_DepExp_2012"/>
      <sheetName val="App.2-CD_MIFRS_DepExp_2013"/>
      <sheetName val="App.2-B_FA Cont MIFRS 2013SM"/>
      <sheetName val="App.2-CE_CGAAP_DepExp_2011"/>
      <sheetName val="App.2-CF_CGAAP_DepExp_2012"/>
      <sheetName val="App.2-CJ_CGAAP_DepExp_2013"/>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A2009"/>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_RES800"/>
      <sheetName val="App.2-W_Bill Impacts_GS&lt;50"/>
      <sheetName val="App.2-W_Bill Impacts_GS&gt;50"/>
      <sheetName val="App.2-W_Bill Impacts_USL"/>
      <sheetName val="App.2-W_Bill Impacts_Sentinel"/>
      <sheetName val="App.2-W_Bill Impacts_Streetligh"/>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EB2012-0176</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8">
          <cell r="H18">
            <v>227768.86</v>
          </cell>
        </row>
        <row r="19">
          <cell r="H19">
            <v>2486318</v>
          </cell>
          <cell r="M19">
            <v>-225197.49</v>
          </cell>
        </row>
        <row r="20">
          <cell r="M20">
            <v>0</v>
          </cell>
        </row>
        <row r="21">
          <cell r="M21">
            <v>0</v>
          </cell>
        </row>
        <row r="22">
          <cell r="H22">
            <v>4269129.0199999996</v>
          </cell>
          <cell r="M22">
            <v>-1575655.4100000001</v>
          </cell>
        </row>
        <row r="23">
          <cell r="M23">
            <v>0</v>
          </cell>
        </row>
        <row r="24">
          <cell r="H24">
            <v>7106082.5599999996</v>
          </cell>
          <cell r="M24">
            <v>-2348061.4500000002</v>
          </cell>
        </row>
        <row r="25">
          <cell r="H25">
            <v>9746857.4500000011</v>
          </cell>
          <cell r="M25">
            <v>-3339848.33</v>
          </cell>
        </row>
        <row r="26">
          <cell r="H26">
            <v>3044635.92</v>
          </cell>
          <cell r="M26">
            <v>-959558.04</v>
          </cell>
        </row>
        <row r="27">
          <cell r="H27">
            <v>8848610.7899999991</v>
          </cell>
          <cell r="M27">
            <v>-2651520.7400000002</v>
          </cell>
        </row>
        <row r="28">
          <cell r="H28">
            <v>8007560.7500000009</v>
          </cell>
          <cell r="M28">
            <v>-2691469.2199999997</v>
          </cell>
        </row>
        <row r="29">
          <cell r="H29">
            <v>4430482.2</v>
          </cell>
          <cell r="M29">
            <v>-1314820.05</v>
          </cell>
        </row>
        <row r="30">
          <cell r="H30">
            <v>1579563.6600000001</v>
          </cell>
          <cell r="M30">
            <v>-417283.04000000004</v>
          </cell>
        </row>
        <row r="31">
          <cell r="H31">
            <v>105634</v>
          </cell>
          <cell r="M31">
            <v>-2150.23</v>
          </cell>
        </row>
        <row r="32">
          <cell r="M32">
            <v>0</v>
          </cell>
        </row>
        <row r="33">
          <cell r="M33">
            <v>0</v>
          </cell>
        </row>
        <row r="34">
          <cell r="M34">
            <v>0</v>
          </cell>
        </row>
        <row r="35">
          <cell r="H35">
            <v>262476.14999999997</v>
          </cell>
          <cell r="M35">
            <v>-186028.6</v>
          </cell>
        </row>
        <row r="36">
          <cell r="M36">
            <v>0</v>
          </cell>
        </row>
        <row r="37">
          <cell r="H37">
            <v>275946.02999999997</v>
          </cell>
          <cell r="M37">
            <v>-152871.07</v>
          </cell>
        </row>
        <row r="38">
          <cell r="H38">
            <v>52211.630000000005</v>
          </cell>
          <cell r="M38">
            <v>-146240.59</v>
          </cell>
        </row>
        <row r="39">
          <cell r="H39">
            <v>153836.70000000001</v>
          </cell>
          <cell r="M39">
            <v>-107493.88</v>
          </cell>
        </row>
        <row r="40">
          <cell r="H40">
            <v>944456.07</v>
          </cell>
          <cell r="M40">
            <v>-813572.16</v>
          </cell>
        </row>
        <row r="41">
          <cell r="H41">
            <v>1984171.0300000003</v>
          </cell>
          <cell r="M41">
            <v>-1188623.2000000002</v>
          </cell>
        </row>
        <row r="42">
          <cell r="H42">
            <v>85037.21</v>
          </cell>
          <cell r="M42">
            <v>-26165.989999999998</v>
          </cell>
        </row>
        <row r="43">
          <cell r="H43">
            <v>296780.97000000003</v>
          </cell>
          <cell r="M43">
            <v>-184379.91</v>
          </cell>
        </row>
        <row r="44">
          <cell r="H44">
            <v>67543.58</v>
          </cell>
          <cell r="M44">
            <v>-34989.46</v>
          </cell>
        </row>
        <row r="45">
          <cell r="H45">
            <v>89271.959999999992</v>
          </cell>
          <cell r="M45">
            <v>-37367.120000000003</v>
          </cell>
        </row>
        <row r="46">
          <cell r="H46">
            <v>176173.24</v>
          </cell>
          <cell r="M46">
            <v>-105990.53</v>
          </cell>
        </row>
        <row r="47">
          <cell r="M47">
            <v>0</v>
          </cell>
        </row>
        <row r="48">
          <cell r="H48">
            <v>43493.47</v>
          </cell>
          <cell r="M48">
            <v>-29742.11</v>
          </cell>
        </row>
        <row r="49">
          <cell r="H49">
            <v>258630.5</v>
          </cell>
          <cell r="M49">
            <v>-258630.5</v>
          </cell>
        </row>
        <row r="50">
          <cell r="M50">
            <v>0</v>
          </cell>
        </row>
        <row r="51">
          <cell r="H51">
            <v>1427</v>
          </cell>
          <cell r="M51">
            <v>-1426.68</v>
          </cell>
        </row>
        <row r="52">
          <cell r="H52">
            <v>-8188457.3499999996</v>
          </cell>
          <cell r="M52">
            <v>1719806.5499999998</v>
          </cell>
        </row>
      </sheetData>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 2007"/>
      <sheetName val="App.2-B_Fixed Asset Cont 2008"/>
      <sheetName val="App.2-B_Fixed Asset Cont 2009"/>
      <sheetName val="App.2-B_Fixed Asset Cont 2010"/>
      <sheetName val="App.2-B_Fixed Asset Cont 2011"/>
      <sheetName val="App.2-B_Fixed Asset Cont 2012"/>
      <sheetName val="App.2-B_Fixed Asset Cont 2013"/>
      <sheetName val="App.2-B_FA Cont MIFRS 2012"/>
      <sheetName val="App.2-B_FA Cont MIFRS 2013"/>
      <sheetName val="App.2-CA_CGAAP_DepExp_2011"/>
      <sheetName val="App.2-CB_MIFRS_DepExp_2011"/>
      <sheetName val="App.2-CC_MIFRS_DepExp_2012"/>
      <sheetName val="App.2-CD_MIFRS_DepExp_2013"/>
      <sheetName val="App.2-CE_CGAAP_DepExp_2011"/>
      <sheetName val="App.2-CF_CGAAP_DepExp_2012"/>
      <sheetName val="App.2-CJ_CGAAP_DepExp_2013"/>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A2009"/>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_RES800"/>
      <sheetName val="App.2-W_Bill Impacts_GS&lt;50"/>
      <sheetName val="App.2-W_Bill Impacts_GS&gt;50"/>
      <sheetName val="App.2-W_Bill Impacts_USL"/>
      <sheetName val="App.2-W_Bill Impacts_Sentinel"/>
      <sheetName val="App.2-W_Bill Impacts_Streetligh"/>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EB2012-0176</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E26">
            <v>2012</v>
          </cell>
          <cell r="AA26" t="str">
            <v>Greater Sudbury Hydro Inc.</v>
          </cell>
        </row>
        <row r="27">
          <cell r="AA27" t="str">
            <v>Grimsby Power Inc.</v>
          </cell>
        </row>
        <row r="28">
          <cell r="E28">
            <v>2013</v>
          </cell>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75">
          <cell r="G75">
            <v>0.96277871555935501</v>
          </cell>
          <cell r="H75">
            <v>9.4051384476906072E-2</v>
          </cell>
          <cell r="I75">
            <v>9.4051384476906072E-2</v>
          </cell>
          <cell r="J75">
            <v>9.4051384476906072E-2</v>
          </cell>
          <cell r="K75">
            <v>9.4051384476906072E-2</v>
          </cell>
          <cell r="L75">
            <v>9.4051384476906072E-2</v>
          </cell>
          <cell r="M75">
            <v>8.7531877809225916E-2</v>
          </cell>
          <cell r="N75">
            <v>8.7531877809225916E-2</v>
          </cell>
          <cell r="O75">
            <v>6.8460389136908786E-2</v>
          </cell>
          <cell r="P75">
            <v>6.8460389136908786E-2</v>
          </cell>
          <cell r="Q75">
            <v>6.8460389136908786E-2</v>
          </cell>
          <cell r="R75">
            <v>6.8460389136908786E-2</v>
          </cell>
          <cell r="S75">
            <v>6.8460389136908786E-2</v>
          </cell>
          <cell r="T75">
            <v>6.8460389136908786E-2</v>
          </cell>
          <cell r="U75">
            <v>4.1899100196245015E-2</v>
          </cell>
          <cell r="V75">
            <v>2.860005082567689E-2</v>
          </cell>
          <cell r="W75">
            <v>2.860005082567689E-2</v>
          </cell>
          <cell r="X75">
            <v>2.860005082567689E-2</v>
          </cell>
          <cell r="Y75">
            <v>8.0413312709485055E-4</v>
          </cell>
          <cell r="Z75">
            <v>8.0413312709485055E-4</v>
          </cell>
          <cell r="AA75">
            <v>0</v>
          </cell>
          <cell r="AB75">
            <v>0</v>
          </cell>
          <cell r="AC75">
            <v>0</v>
          </cell>
          <cell r="AD75">
            <v>0</v>
          </cell>
          <cell r="AE75">
            <v>0</v>
          </cell>
          <cell r="AF75">
            <v>0</v>
          </cell>
          <cell r="AG75">
            <v>0</v>
          </cell>
          <cell r="AH75">
            <v>0</v>
          </cell>
          <cell r="AI75">
            <v>0</v>
          </cell>
        </row>
        <row r="77">
          <cell r="G77">
            <v>0</v>
          </cell>
          <cell r="H77">
            <v>1.3607379582745522</v>
          </cell>
          <cell r="I77">
            <v>0.18935301783920722</v>
          </cell>
          <cell r="J77">
            <v>0.15833080838005315</v>
          </cell>
          <cell r="K77">
            <v>0.15833080838005315</v>
          </cell>
          <cell r="L77">
            <v>0.15639450766217958</v>
          </cell>
          <cell r="M77">
            <v>0.15052918287796588</v>
          </cell>
          <cell r="N77">
            <v>0.15052918287796588</v>
          </cell>
          <cell r="O77">
            <v>0.15052918287796588</v>
          </cell>
          <cell r="P77">
            <v>0.13073768122011745</v>
          </cell>
          <cell r="Q77">
            <v>0.1244005994911945</v>
          </cell>
          <cell r="R77">
            <v>0.11159382135527508</v>
          </cell>
          <cell r="S77">
            <v>0.11159382135527508</v>
          </cell>
          <cell r="T77">
            <v>0.11159382135527508</v>
          </cell>
          <cell r="U77">
            <v>0.11159382135527508</v>
          </cell>
          <cell r="V77">
            <v>8.3047019230653371E-2</v>
          </cell>
          <cell r="W77">
            <v>2.6350488891420498E-2</v>
          </cell>
          <cell r="X77">
            <v>2.6203252093553706E-2</v>
          </cell>
          <cell r="Y77">
            <v>2.6203252093553706E-2</v>
          </cell>
          <cell r="Z77">
            <v>1.3193333333333335E-2</v>
          </cell>
          <cell r="AA77">
            <v>0</v>
          </cell>
          <cell r="AB77">
            <v>0</v>
          </cell>
          <cell r="AC77">
            <v>0</v>
          </cell>
          <cell r="AD77">
            <v>0</v>
          </cell>
          <cell r="AE77">
            <v>0</v>
          </cell>
          <cell r="AF77">
            <v>0</v>
          </cell>
          <cell r="AG77">
            <v>0</v>
          </cell>
          <cell r="AH77">
            <v>0</v>
          </cell>
          <cell r="AI77">
            <v>0</v>
          </cell>
        </row>
        <row r="79">
          <cell r="G79">
            <v>0</v>
          </cell>
          <cell r="H79">
            <v>0</v>
          </cell>
          <cell r="I79">
            <v>1.8759687530518767</v>
          </cell>
          <cell r="J79">
            <v>0.13511822456668166</v>
          </cell>
          <cell r="K79">
            <v>0.13511822456668166</v>
          </cell>
          <cell r="L79">
            <v>0.13511822456668166</v>
          </cell>
          <cell r="M79">
            <v>0.13166038609968755</v>
          </cell>
          <cell r="N79">
            <v>0.13166038609968755</v>
          </cell>
          <cell r="O79">
            <v>0.12485091710691069</v>
          </cell>
          <cell r="P79">
            <v>0.12255099246883355</v>
          </cell>
          <cell r="Q79">
            <v>0.11274561593006628</v>
          </cell>
          <cell r="R79">
            <v>9.5185227734474312E-2</v>
          </cell>
          <cell r="S79">
            <v>9.3755513841150995E-2</v>
          </cell>
          <cell r="T79">
            <v>9.3755513841150995E-2</v>
          </cell>
          <cell r="U79">
            <v>8.832955807230447E-2</v>
          </cell>
          <cell r="V79">
            <v>8.832955807230447E-2</v>
          </cell>
          <cell r="W79">
            <v>8.7261629826727638E-2</v>
          </cell>
          <cell r="X79">
            <v>7.2564301779759158E-2</v>
          </cell>
          <cell r="Y79">
            <v>6.7360548853918539E-2</v>
          </cell>
          <cell r="Z79">
            <v>6.7360548853918539E-2</v>
          </cell>
          <cell r="AA79">
            <v>4.3200000000000001E-3</v>
          </cell>
          <cell r="AB79">
            <v>4.3200000000000001E-3</v>
          </cell>
          <cell r="AC79">
            <v>0</v>
          </cell>
          <cell r="AD79">
            <v>0</v>
          </cell>
          <cell r="AE79">
            <v>0</v>
          </cell>
          <cell r="AF79">
            <v>0</v>
          </cell>
          <cell r="AG79">
            <v>0</v>
          </cell>
          <cell r="AH79">
            <v>0</v>
          </cell>
          <cell r="AI79">
            <v>0</v>
          </cell>
        </row>
        <row r="81">
          <cell r="G81">
            <v>0</v>
          </cell>
          <cell r="H81">
            <v>0</v>
          </cell>
          <cell r="I81">
            <v>0</v>
          </cell>
          <cell r="J81">
            <v>1.7619351986106757</v>
          </cell>
          <cell r="K81">
            <v>0.17852716185297182</v>
          </cell>
          <cell r="L81">
            <v>0.17852716185297182</v>
          </cell>
          <cell r="M81">
            <v>0.1772118732658588</v>
          </cell>
          <cell r="N81">
            <v>0.16704132873468716</v>
          </cell>
          <cell r="O81">
            <v>0.14518090522476162</v>
          </cell>
          <cell r="P81">
            <v>0.14315564858043589</v>
          </cell>
          <cell r="Q81">
            <v>0.14315564858043589</v>
          </cell>
          <cell r="R81">
            <v>0.13712173783952225</v>
          </cell>
          <cell r="S81">
            <v>0.13712173783952225</v>
          </cell>
          <cell r="T81">
            <v>0.13331560252463315</v>
          </cell>
          <cell r="U81">
            <v>0.13330835914773623</v>
          </cell>
          <cell r="V81">
            <v>0.12475616723189384</v>
          </cell>
          <cell r="W81">
            <v>0.12475616723189384</v>
          </cell>
          <cell r="X81">
            <v>0.12434472522790056</v>
          </cell>
          <cell r="Y81">
            <v>0.11485182841327438</v>
          </cell>
          <cell r="Z81">
            <v>0.11404900965389668</v>
          </cell>
          <cell r="AA81">
            <v>0.11404900965389668</v>
          </cell>
          <cell r="AB81">
            <v>8.7074482782031198E-2</v>
          </cell>
          <cell r="AC81">
            <v>1.2858666812659241E-2</v>
          </cell>
          <cell r="AD81">
            <v>0</v>
          </cell>
          <cell r="AE81">
            <v>0</v>
          </cell>
          <cell r="AF81">
            <v>0</v>
          </cell>
          <cell r="AG81">
            <v>0</v>
          </cell>
          <cell r="AH81">
            <v>0</v>
          </cell>
          <cell r="AI81">
            <v>0</v>
          </cell>
        </row>
        <row r="83">
          <cell r="G83">
            <v>0</v>
          </cell>
          <cell r="H83">
            <v>0</v>
          </cell>
          <cell r="I83">
            <v>0</v>
          </cell>
          <cell r="J83">
            <v>0</v>
          </cell>
          <cell r="K83">
            <v>1.7465898247440372</v>
          </cell>
          <cell r="L83">
            <v>0.41721002355472725</v>
          </cell>
          <cell r="M83">
            <v>0.41700354388931155</v>
          </cell>
          <cell r="N83">
            <v>0.41402096465104049</v>
          </cell>
          <cell r="O83">
            <v>0.39766588485358195</v>
          </cell>
          <cell r="P83">
            <v>0.36953825617828079</v>
          </cell>
          <cell r="Q83">
            <v>0.36920455351300524</v>
          </cell>
          <cell r="R83">
            <v>0.36920455351300524</v>
          </cell>
          <cell r="S83">
            <v>0.23882025822489589</v>
          </cell>
          <cell r="T83">
            <v>0.2362768268521378</v>
          </cell>
          <cell r="U83">
            <v>9.7009806640529411E-2</v>
          </cell>
          <cell r="V83">
            <v>9.7009806640529411E-2</v>
          </cell>
          <cell r="W83">
            <v>9.676728863886086E-2</v>
          </cell>
          <cell r="X83">
            <v>9.676728863886086E-2</v>
          </cell>
          <cell r="Y83">
            <v>9.676728863886086E-2</v>
          </cell>
          <cell r="Z83">
            <v>9.2899681266859796E-2</v>
          </cell>
          <cell r="AA83">
            <v>9.2481453705237276E-2</v>
          </cell>
          <cell r="AB83">
            <v>9.2481453705237276E-2</v>
          </cell>
          <cell r="AC83">
            <v>8.6731164967140228E-2</v>
          </cell>
          <cell r="AD83">
            <v>4.2905982982965774E-2</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row>
        <row r="157">
          <cell r="G157">
            <v>1942.1146787457706</v>
          </cell>
          <cell r="H157">
            <v>1942.1146787457706</v>
          </cell>
          <cell r="I157">
            <v>1942.1146787457706</v>
          </cell>
          <cell r="J157">
            <v>1942.1146787457706</v>
          </cell>
          <cell r="K157">
            <v>337.30231632578102</v>
          </cell>
          <cell r="L157">
            <v>337.30231632578102</v>
          </cell>
          <cell r="M157">
            <v>308.53978690954506</v>
          </cell>
          <cell r="N157">
            <v>308.53978690954506</v>
          </cell>
          <cell r="O157">
            <v>289.92066777985974</v>
          </cell>
          <cell r="P157">
            <v>289.92066777985974</v>
          </cell>
          <cell r="Q157">
            <v>273.91108091106821</v>
          </cell>
          <cell r="R157">
            <v>273.91108091106821</v>
          </cell>
          <cell r="S157">
            <v>273.91108091106821</v>
          </cell>
          <cell r="T157">
            <v>273.91108091106821</v>
          </cell>
          <cell r="U157">
            <v>247.9409567136164</v>
          </cell>
          <cell r="V157">
            <v>215.51405990830185</v>
          </cell>
          <cell r="W157">
            <v>215.51405990830185</v>
          </cell>
          <cell r="X157">
            <v>215.51405990830185</v>
          </cell>
          <cell r="Y157">
            <v>116.44859497345665</v>
          </cell>
          <cell r="Z157">
            <v>116.44859497345665</v>
          </cell>
          <cell r="AA157">
            <v>67.947509673000923</v>
          </cell>
          <cell r="AB157">
            <v>67.947509673000923</v>
          </cell>
          <cell r="AC157">
            <v>67.947509673000923</v>
          </cell>
          <cell r="AD157">
            <v>67.947509673000923</v>
          </cell>
          <cell r="AE157">
            <v>67.947509673000923</v>
          </cell>
          <cell r="AF157">
            <v>10.651235022659334</v>
          </cell>
          <cell r="AG157">
            <v>10.651235022659334</v>
          </cell>
          <cell r="AH157">
            <v>10.651235022659334</v>
          </cell>
          <cell r="AI157">
            <v>10.651235022659334</v>
          </cell>
          <cell r="AJ157">
            <v>10.651235022659334</v>
          </cell>
        </row>
        <row r="159">
          <cell r="G159">
            <v>0</v>
          </cell>
          <cell r="H159">
            <v>1322.9927195123794</v>
          </cell>
          <cell r="I159">
            <v>1016.754175314763</v>
          </cell>
          <cell r="J159">
            <v>979.21669971409665</v>
          </cell>
          <cell r="K159">
            <v>979.21669971409665</v>
          </cell>
          <cell r="L159">
            <v>978.80264289359604</v>
          </cell>
          <cell r="M159">
            <v>950.14795473264701</v>
          </cell>
          <cell r="N159">
            <v>950.14795473264701</v>
          </cell>
          <cell r="O159">
            <v>950.14795473264701</v>
          </cell>
          <cell r="P159">
            <v>336.67341542428494</v>
          </cell>
          <cell r="Q159">
            <v>277.90099079969633</v>
          </cell>
          <cell r="R159">
            <v>173.61464875283869</v>
          </cell>
          <cell r="S159">
            <v>173.61464875283869</v>
          </cell>
          <cell r="T159">
            <v>173.61464875283869</v>
          </cell>
          <cell r="U159">
            <v>173.61464875283869</v>
          </cell>
          <cell r="V159">
            <v>159.09470924453331</v>
          </cell>
          <cell r="W159">
            <v>59.1527365772492</v>
          </cell>
          <cell r="X159">
            <v>55.921414709779761</v>
          </cell>
          <cell r="Y159">
            <v>55.921414709779761</v>
          </cell>
          <cell r="Z159">
            <v>41.419382695829547</v>
          </cell>
          <cell r="AA159">
            <v>0</v>
          </cell>
          <cell r="AB159">
            <v>0</v>
          </cell>
          <cell r="AC159">
            <v>0</v>
          </cell>
          <cell r="AD159">
            <v>0</v>
          </cell>
          <cell r="AE159">
            <v>0</v>
          </cell>
          <cell r="AF159">
            <v>0</v>
          </cell>
          <cell r="AG159">
            <v>0</v>
          </cell>
          <cell r="AH159">
            <v>0</v>
          </cell>
          <cell r="AI159">
            <v>0</v>
          </cell>
          <cell r="AJ159">
            <v>0</v>
          </cell>
        </row>
        <row r="161">
          <cell r="G161">
            <v>0</v>
          </cell>
          <cell r="H161">
            <v>0</v>
          </cell>
          <cell r="I161">
            <v>933.3047687970269</v>
          </cell>
          <cell r="J161">
            <v>930.59483358404179</v>
          </cell>
          <cell r="K161">
            <v>930.59483358404179</v>
          </cell>
          <cell r="L161">
            <v>930.59483358404179</v>
          </cell>
          <cell r="M161">
            <v>836.5453055503117</v>
          </cell>
          <cell r="N161">
            <v>836.29708555031175</v>
          </cell>
          <cell r="O161">
            <v>738.61935127815298</v>
          </cell>
          <cell r="P161">
            <v>665.64581243325438</v>
          </cell>
          <cell r="Q161">
            <v>496.39467251186329</v>
          </cell>
          <cell r="R161">
            <v>350.31144749166759</v>
          </cell>
          <cell r="S161">
            <v>310.39503227779778</v>
          </cell>
          <cell r="T161">
            <v>310.39503227779778</v>
          </cell>
          <cell r="U161">
            <v>301.04367816307536</v>
          </cell>
          <cell r="V161">
            <v>301.04367816307536</v>
          </cell>
          <cell r="W161">
            <v>300.14222108519141</v>
          </cell>
          <cell r="X161">
            <v>268.8381699898033</v>
          </cell>
          <cell r="Y161">
            <v>102.7796208070239</v>
          </cell>
          <cell r="Z161">
            <v>102.7796208070239</v>
          </cell>
          <cell r="AA161">
            <v>4.9196159999999995</v>
          </cell>
          <cell r="AB161">
            <v>4.9196159999999995</v>
          </cell>
          <cell r="AC161">
            <v>0</v>
          </cell>
          <cell r="AD161">
            <v>0</v>
          </cell>
          <cell r="AE161">
            <v>0</v>
          </cell>
          <cell r="AF161">
            <v>0</v>
          </cell>
          <cell r="AG161">
            <v>0</v>
          </cell>
          <cell r="AH161">
            <v>0</v>
          </cell>
          <cell r="AI161">
            <v>0</v>
          </cell>
          <cell r="AJ161">
            <v>0</v>
          </cell>
        </row>
        <row r="163">
          <cell r="G163">
            <v>0</v>
          </cell>
          <cell r="H163">
            <v>0</v>
          </cell>
          <cell r="I163">
            <v>0</v>
          </cell>
          <cell r="J163">
            <v>948.24599121950689</v>
          </cell>
          <cell r="K163">
            <v>672.34319987820936</v>
          </cell>
          <cell r="L163">
            <v>672.34319987820936</v>
          </cell>
          <cell r="M163">
            <v>670.94496431255766</v>
          </cell>
          <cell r="N163">
            <v>609.61609188761622</v>
          </cell>
          <cell r="O163">
            <v>441.67900838953119</v>
          </cell>
          <cell r="P163">
            <v>389.66300706340496</v>
          </cell>
          <cell r="Q163">
            <v>388.52805524389436</v>
          </cell>
          <cell r="R163">
            <v>315.71438391569455</v>
          </cell>
          <cell r="S163">
            <v>315.71438391569455</v>
          </cell>
          <cell r="T163">
            <v>276.56757210514127</v>
          </cell>
          <cell r="U163">
            <v>276.49760322557677</v>
          </cell>
          <cell r="V163">
            <v>248.51718116424499</v>
          </cell>
          <cell r="W163">
            <v>248.51718116424499</v>
          </cell>
          <cell r="X163">
            <v>244.52991930096334</v>
          </cell>
          <cell r="Y163">
            <v>211.47521737496265</v>
          </cell>
          <cell r="Z163">
            <v>190.96353679072809</v>
          </cell>
          <cell r="AA163">
            <v>186.88766476793418</v>
          </cell>
          <cell r="AB163">
            <v>162.23053065708652</v>
          </cell>
          <cell r="AC163">
            <v>35.394511249126793</v>
          </cell>
          <cell r="AD163">
            <v>0</v>
          </cell>
          <cell r="AE163">
            <v>0</v>
          </cell>
          <cell r="AF163">
            <v>0</v>
          </cell>
          <cell r="AG163">
            <v>0</v>
          </cell>
          <cell r="AH163">
            <v>0</v>
          </cell>
          <cell r="AI163">
            <v>0</v>
          </cell>
          <cell r="AJ163">
            <v>0</v>
          </cell>
        </row>
        <row r="165">
          <cell r="G165">
            <v>0</v>
          </cell>
          <cell r="H165">
            <v>0</v>
          </cell>
          <cell r="I165">
            <v>0</v>
          </cell>
          <cell r="J165">
            <v>0</v>
          </cell>
          <cell r="K165">
            <v>2713.8073410250568</v>
          </cell>
          <cell r="L165">
            <v>2222.8593206258302</v>
          </cell>
          <cell r="M165">
            <v>2220.015095178971</v>
          </cell>
          <cell r="N165">
            <v>2217.0685741331154</v>
          </cell>
          <cell r="O165">
            <v>2146.1039072636049</v>
          </cell>
          <cell r="P165">
            <v>1904.276776347107</v>
          </cell>
          <cell r="Q165">
            <v>1893.7456411119445</v>
          </cell>
          <cell r="R165">
            <v>1763.6971744921364</v>
          </cell>
          <cell r="S165">
            <v>1489.4856346920328</v>
          </cell>
          <cell r="T165">
            <v>367.47673777631849</v>
          </cell>
          <cell r="U165">
            <v>203.79964358947007</v>
          </cell>
          <cell r="V165">
            <v>203.79964358947007</v>
          </cell>
          <cell r="W165">
            <v>201.00209902854917</v>
          </cell>
          <cell r="X165">
            <v>201.00209902854917</v>
          </cell>
          <cell r="Y165">
            <v>201.00209902854917</v>
          </cell>
          <cell r="Z165">
            <v>190.51389813196874</v>
          </cell>
          <cell r="AA165">
            <v>178.74835808261639</v>
          </cell>
          <cell r="AB165">
            <v>178.74835808261639</v>
          </cell>
          <cell r="AC165">
            <v>173.42850491139978</v>
          </cell>
          <cell r="AD165">
            <v>98.106667051669973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row>
        <row r="239">
          <cell r="G239">
            <v>0.98012511111797729</v>
          </cell>
          <cell r="H239">
            <v>0.11139778003552842</v>
          </cell>
          <cell r="I239">
            <v>0.11139778003552842</v>
          </cell>
          <cell r="J239">
            <v>0.11139778003552842</v>
          </cell>
          <cell r="K239">
            <v>0.11139778003552842</v>
          </cell>
          <cell r="L239">
            <v>0.11139778003552842</v>
          </cell>
          <cell r="M239">
            <v>0.10415388373810602</v>
          </cell>
          <cell r="N239">
            <v>0.10415388373810602</v>
          </cell>
          <cell r="O239">
            <v>8.2963340768864788E-2</v>
          </cell>
          <cell r="P239">
            <v>8.2963340768864788E-2</v>
          </cell>
          <cell r="Q239">
            <v>8.2963340768864788E-2</v>
          </cell>
          <cell r="R239">
            <v>8.2963340768864788E-2</v>
          </cell>
          <cell r="S239">
            <v>8.2963340768864788E-2</v>
          </cell>
          <cell r="T239">
            <v>8.2963340768864788E-2</v>
          </cell>
          <cell r="U239">
            <v>5.345079750146059E-2</v>
          </cell>
          <cell r="V239">
            <v>3.2708259981438538E-2</v>
          </cell>
          <cell r="W239">
            <v>3.2708259981438538E-2</v>
          </cell>
          <cell r="X239">
            <v>3.2708259981438538E-2</v>
          </cell>
          <cell r="Y239">
            <v>8.9348125232761161E-4</v>
          </cell>
          <cell r="Z239">
            <v>8.9348125232761161E-4</v>
          </cell>
          <cell r="AA239">
            <v>0</v>
          </cell>
          <cell r="AB239">
            <v>0</v>
          </cell>
          <cell r="AC239">
            <v>0</v>
          </cell>
          <cell r="AD239">
            <v>0</v>
          </cell>
          <cell r="AE239">
            <v>0</v>
          </cell>
          <cell r="AF239">
            <v>0</v>
          </cell>
          <cell r="AG239">
            <v>0</v>
          </cell>
          <cell r="AH239">
            <v>0</v>
          </cell>
          <cell r="AI239">
            <v>0</v>
          </cell>
          <cell r="AJ239">
            <v>0</v>
          </cell>
        </row>
        <row r="241">
          <cell r="G241">
            <v>0</v>
          </cell>
          <cell r="H241">
            <v>2.9407447936511648</v>
          </cell>
          <cell r="I241">
            <v>0.73491519275279371</v>
          </cell>
          <cell r="J241">
            <v>0.47639678059317664</v>
          </cell>
          <cell r="K241">
            <v>0.47639678059317664</v>
          </cell>
          <cell r="L241">
            <v>0.47190420352154422</v>
          </cell>
          <cell r="M241">
            <v>0.43457516750427327</v>
          </cell>
          <cell r="N241">
            <v>0.43457516750427327</v>
          </cell>
          <cell r="O241">
            <v>0.43457516750427327</v>
          </cell>
          <cell r="P241">
            <v>0.40588471151833466</v>
          </cell>
          <cell r="Q241">
            <v>0.38983246458584514</v>
          </cell>
          <cell r="R241">
            <v>0.37259080542854378</v>
          </cell>
          <cell r="S241">
            <v>0.37259080542854378</v>
          </cell>
          <cell r="T241">
            <v>0.37259080542854378</v>
          </cell>
          <cell r="U241">
            <v>0.37259080542854378</v>
          </cell>
          <cell r="V241">
            <v>0.13470078772336286</v>
          </cell>
          <cell r="W241">
            <v>3.616673168991523E-2</v>
          </cell>
          <cell r="X241">
            <v>3.5899028421066514E-2</v>
          </cell>
          <cell r="Y241">
            <v>3.5899028421066514E-2</v>
          </cell>
          <cell r="Z241">
            <v>1.3193333333333335E-2</v>
          </cell>
          <cell r="AA241">
            <v>0</v>
          </cell>
          <cell r="AB241">
            <v>0</v>
          </cell>
          <cell r="AC241">
            <v>0</v>
          </cell>
          <cell r="AD241">
            <v>0</v>
          </cell>
          <cell r="AE241">
            <v>0</v>
          </cell>
          <cell r="AF241">
            <v>0</v>
          </cell>
          <cell r="AG241">
            <v>0</v>
          </cell>
          <cell r="AH241">
            <v>0</v>
          </cell>
          <cell r="AI241">
            <v>0</v>
          </cell>
          <cell r="AJ241">
            <v>0</v>
          </cell>
        </row>
        <row r="243">
          <cell r="G243">
            <v>0</v>
          </cell>
          <cell r="H243">
            <v>0</v>
          </cell>
          <cell r="I243">
            <v>1.9979608101268962</v>
          </cell>
          <cell r="J243">
            <v>0.25431768262248478</v>
          </cell>
          <cell r="K243">
            <v>0.25431768262248478</v>
          </cell>
          <cell r="L243">
            <v>0.25431768262248478</v>
          </cell>
          <cell r="M243">
            <v>0.24525926745449286</v>
          </cell>
          <cell r="N243">
            <v>0.24525926745449286</v>
          </cell>
          <cell r="O243">
            <v>0.23040538118680171</v>
          </cell>
          <cell r="P243">
            <v>0.22426697586537866</v>
          </cell>
          <cell r="Q243">
            <v>0.20546173322160538</v>
          </cell>
          <cell r="R243">
            <v>0.1722102754550916</v>
          </cell>
          <cell r="S243">
            <v>0.16868320078024099</v>
          </cell>
          <cell r="T243">
            <v>0.16868320078024099</v>
          </cell>
          <cell r="U243">
            <v>0.15626964576660449</v>
          </cell>
          <cell r="V243">
            <v>0.15626964576660449</v>
          </cell>
          <cell r="W243">
            <v>0.15474403398720901</v>
          </cell>
          <cell r="X243">
            <v>0.1293083730395522</v>
          </cell>
          <cell r="Y243">
            <v>0.11384723403720759</v>
          </cell>
          <cell r="Z243">
            <v>0.11384723403720759</v>
          </cell>
          <cell r="AA243">
            <v>4.3200000000000001E-3</v>
          </cell>
          <cell r="AB243">
            <v>4.3200000000000001E-3</v>
          </cell>
          <cell r="AC243">
            <v>0</v>
          </cell>
          <cell r="AD243">
            <v>0</v>
          </cell>
          <cell r="AE243">
            <v>0</v>
          </cell>
          <cell r="AF243">
            <v>0</v>
          </cell>
          <cell r="AG243">
            <v>0</v>
          </cell>
          <cell r="AH243">
            <v>0</v>
          </cell>
          <cell r="AI243">
            <v>0</v>
          </cell>
          <cell r="AJ243">
            <v>0</v>
          </cell>
        </row>
        <row r="245">
          <cell r="G245">
            <v>0</v>
          </cell>
          <cell r="H245">
            <v>0</v>
          </cell>
          <cell r="I245">
            <v>0</v>
          </cell>
          <cell r="J245">
            <v>1.9832134453929493</v>
          </cell>
          <cell r="K245">
            <v>0.39714911212983151</v>
          </cell>
          <cell r="L245">
            <v>0.39714911212983151</v>
          </cell>
          <cell r="M245">
            <v>0.3943460874968715</v>
          </cell>
          <cell r="N245">
            <v>0.37299189136086264</v>
          </cell>
          <cell r="O245">
            <v>0.3327037784320146</v>
          </cell>
          <cell r="P245">
            <v>0.32842351822374477</v>
          </cell>
          <cell r="Q245">
            <v>0.32842351822374477</v>
          </cell>
          <cell r="R245">
            <v>0.31491159684663766</v>
          </cell>
          <cell r="S245">
            <v>0.31491159684663766</v>
          </cell>
          <cell r="T245">
            <v>0.30633921895161664</v>
          </cell>
          <cell r="U245">
            <v>0.30632494792267884</v>
          </cell>
          <cell r="V245">
            <v>0.28990663565796104</v>
          </cell>
          <cell r="W245">
            <v>0.28990663565796104</v>
          </cell>
          <cell r="X245">
            <v>0.28826854935492752</v>
          </cell>
          <cell r="Y245">
            <v>0.25683327469870743</v>
          </cell>
          <cell r="Z245">
            <v>0.25523485069880231</v>
          </cell>
          <cell r="AA245">
            <v>0.25523485069880231</v>
          </cell>
          <cell r="AB245">
            <v>0.20780656472408748</v>
          </cell>
          <cell r="AC245">
            <v>2.0901219769355415E-2</v>
          </cell>
          <cell r="AD245">
            <v>0</v>
          </cell>
          <cell r="AE245">
            <v>0</v>
          </cell>
          <cell r="AF245">
            <v>0</v>
          </cell>
          <cell r="AG245">
            <v>0</v>
          </cell>
          <cell r="AH245">
            <v>0</v>
          </cell>
          <cell r="AI245">
            <v>0</v>
          </cell>
          <cell r="AJ245">
            <v>0</v>
          </cell>
        </row>
        <row r="247">
          <cell r="G247">
            <v>0</v>
          </cell>
          <cell r="H247">
            <v>0</v>
          </cell>
          <cell r="I247">
            <v>0</v>
          </cell>
          <cell r="J247">
            <v>0</v>
          </cell>
          <cell r="K247">
            <v>1.9732032265124528</v>
          </cell>
          <cell r="L247">
            <v>0.64423118941256274</v>
          </cell>
          <cell r="M247">
            <v>0.64422078120030224</v>
          </cell>
          <cell r="N247">
            <v>0.63593583887177163</v>
          </cell>
          <cell r="O247">
            <v>0.5980663199359959</v>
          </cell>
          <cell r="P247">
            <v>0.54567543078873371</v>
          </cell>
          <cell r="Q247">
            <v>0.545100059237974</v>
          </cell>
          <cell r="R247">
            <v>0.545100059237974</v>
          </cell>
          <cell r="S247">
            <v>0.41342594778244113</v>
          </cell>
          <cell r="T247">
            <v>0.40867406933734984</v>
          </cell>
          <cell r="U247">
            <v>0.18843497676349483</v>
          </cell>
          <cell r="V247">
            <v>0.18843497676349483</v>
          </cell>
          <cell r="W247">
            <v>0.18782566536626788</v>
          </cell>
          <cell r="X247">
            <v>0.18782566536626788</v>
          </cell>
          <cell r="Y247">
            <v>0.18782566536626788</v>
          </cell>
          <cell r="Z247">
            <v>0.17868207978678596</v>
          </cell>
          <cell r="AA247">
            <v>0.17775838362359514</v>
          </cell>
          <cell r="AB247">
            <v>0.17775838362359514</v>
          </cell>
          <cell r="AC247">
            <v>0.16811478064100352</v>
          </cell>
          <cell r="AD247">
            <v>6.1293272595502622E-2</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row>
        <row r="321">
          <cell r="G321">
            <v>2168.9608191896109</v>
          </cell>
          <cell r="H321">
            <v>2168.9608191896109</v>
          </cell>
          <cell r="I321">
            <v>2168.9608191896109</v>
          </cell>
          <cell r="J321">
            <v>2168.9608191896109</v>
          </cell>
          <cell r="K321">
            <v>385.83597205628951</v>
          </cell>
          <cell r="L321">
            <v>385.83597205628951</v>
          </cell>
          <cell r="M321">
            <v>353.8776060382495</v>
          </cell>
          <cell r="N321">
            <v>353.8776060382495</v>
          </cell>
          <cell r="O321">
            <v>333.18969589415468</v>
          </cell>
          <cell r="P321">
            <v>333.18969589415468</v>
          </cell>
          <cell r="Q321">
            <v>315.40126603994185</v>
          </cell>
          <cell r="R321">
            <v>315.40126603994185</v>
          </cell>
          <cell r="S321">
            <v>315.40126603994185</v>
          </cell>
          <cell r="T321">
            <v>315.40126603994185</v>
          </cell>
          <cell r="U321">
            <v>286.54557248721767</v>
          </cell>
          <cell r="V321">
            <v>240.31093534925722</v>
          </cell>
          <cell r="W321">
            <v>240.31093534925722</v>
          </cell>
          <cell r="X321">
            <v>240.31093534925722</v>
          </cell>
          <cell r="Y321">
            <v>129.38732774828517</v>
          </cell>
          <cell r="Z321">
            <v>129.38732774828517</v>
          </cell>
          <cell r="AA321">
            <v>75.497232970001036</v>
          </cell>
          <cell r="AB321">
            <v>75.497232970001036</v>
          </cell>
          <cell r="AC321">
            <v>75.497232970001036</v>
          </cell>
          <cell r="AD321">
            <v>75.497232970001036</v>
          </cell>
          <cell r="AE321">
            <v>75.497232970001036</v>
          </cell>
          <cell r="AF321">
            <v>11.834705580732592</v>
          </cell>
          <cell r="AG321">
            <v>11.834705580732592</v>
          </cell>
          <cell r="AH321">
            <v>11.834705580732592</v>
          </cell>
          <cell r="AI321">
            <v>11.834705580732592</v>
          </cell>
          <cell r="AJ321">
            <v>11.834705580732592</v>
          </cell>
        </row>
        <row r="323">
          <cell r="G323">
            <v>0</v>
          </cell>
          <cell r="H323">
            <v>4410.9919921905503</v>
          </cell>
          <cell r="I323">
            <v>1913.0426010228837</v>
          </cell>
          <cell r="J323">
            <v>1600.2303043506645</v>
          </cell>
          <cell r="K323">
            <v>1600.2303043506645</v>
          </cell>
          <cell r="L323">
            <v>1599.2696156720085</v>
          </cell>
          <cell r="M323">
            <v>1511.9005338443535</v>
          </cell>
          <cell r="N323">
            <v>1511.9005338443535</v>
          </cell>
          <cell r="O323">
            <v>1511.9005338443535</v>
          </cell>
          <cell r="P323">
            <v>653.90897384127891</v>
          </cell>
          <cell r="Q323">
            <v>505.01627325121933</v>
          </cell>
          <cell r="R323">
            <v>367.10328088879737</v>
          </cell>
          <cell r="S323">
            <v>367.10328088879737</v>
          </cell>
          <cell r="T323">
            <v>367.10328088879737</v>
          </cell>
          <cell r="U323">
            <v>367.10328088879737</v>
          </cell>
          <cell r="V323">
            <v>246.10378498625235</v>
          </cell>
          <cell r="W323">
            <v>71.441254173052698</v>
          </cell>
          <cell r="X323">
            <v>65.566123504926452</v>
          </cell>
          <cell r="Y323">
            <v>65.566123504926452</v>
          </cell>
          <cell r="Z323">
            <v>41.419382695829547</v>
          </cell>
          <cell r="AA323">
            <v>0</v>
          </cell>
          <cell r="AB323">
            <v>0</v>
          </cell>
          <cell r="AC323">
            <v>0</v>
          </cell>
          <cell r="AD323">
            <v>0</v>
          </cell>
          <cell r="AE323">
            <v>0</v>
          </cell>
          <cell r="AF323">
            <v>0</v>
          </cell>
          <cell r="AG323">
            <v>0</v>
          </cell>
          <cell r="AH323">
            <v>0</v>
          </cell>
          <cell r="AI323">
            <v>0</v>
          </cell>
          <cell r="AJ323">
            <v>0</v>
          </cell>
        </row>
        <row r="325">
          <cell r="G325">
            <v>0</v>
          </cell>
          <cell r="H325">
            <v>0</v>
          </cell>
          <cell r="I325">
            <v>2099.9002591917988</v>
          </cell>
          <cell r="J325">
            <v>2092.1769438347915</v>
          </cell>
          <cell r="K325">
            <v>2092.1769438347915</v>
          </cell>
          <cell r="L325">
            <v>2092.1769438347915</v>
          </cell>
          <cell r="M325">
            <v>1848.2740522901909</v>
          </cell>
          <cell r="N325">
            <v>1847.5845522901909</v>
          </cell>
          <cell r="O325">
            <v>1629.1085769038027</v>
          </cell>
          <cell r="P325">
            <v>1434.3451695501183</v>
          </cell>
          <cell r="Q325">
            <v>1110.0959522867031</v>
          </cell>
          <cell r="R325">
            <v>843.1787257436855</v>
          </cell>
          <cell r="S325">
            <v>748.71646564251989</v>
          </cell>
          <cell r="T325">
            <v>748.71646564251989</v>
          </cell>
          <cell r="U325">
            <v>727.3223456569491</v>
          </cell>
          <cell r="V325">
            <v>727.3223456569491</v>
          </cell>
          <cell r="W325">
            <v>726.03454983140057</v>
          </cell>
          <cell r="X325">
            <v>669.01551282875653</v>
          </cell>
          <cell r="Y325">
            <v>175.39013647896257</v>
          </cell>
          <cell r="Z325">
            <v>175.39013647896257</v>
          </cell>
          <cell r="AA325">
            <v>4.9196159999999995</v>
          </cell>
          <cell r="AB325">
            <v>4.9196159999999995</v>
          </cell>
          <cell r="AC325">
            <v>0</v>
          </cell>
          <cell r="AD325">
            <v>0</v>
          </cell>
          <cell r="AE325">
            <v>0</v>
          </cell>
          <cell r="AF325">
            <v>0</v>
          </cell>
          <cell r="AG325">
            <v>0</v>
          </cell>
          <cell r="AH325">
            <v>0</v>
          </cell>
          <cell r="AI325">
            <v>0</v>
          </cell>
          <cell r="AJ325">
            <v>0</v>
          </cell>
        </row>
        <row r="327">
          <cell r="G327">
            <v>0</v>
          </cell>
          <cell r="H327">
            <v>0</v>
          </cell>
          <cell r="I327">
            <v>0</v>
          </cell>
          <cell r="J327">
            <v>1847.0610258725033</v>
          </cell>
          <cell r="K327">
            <v>1510.0445992005825</v>
          </cell>
          <cell r="L327">
            <v>1510.0445992005825</v>
          </cell>
          <cell r="M327">
            <v>1507.1571427418007</v>
          </cell>
          <cell r="N327">
            <v>1387.2924210380631</v>
          </cell>
          <cell r="O327">
            <v>1072.2872777864952</v>
          </cell>
          <cell r="P327">
            <v>975.35805360208951</v>
          </cell>
          <cell r="Q327">
            <v>972.83511411364248</v>
          </cell>
          <cell r="R327">
            <v>808.22716615753166</v>
          </cell>
          <cell r="S327">
            <v>808.22716615753166</v>
          </cell>
          <cell r="T327">
            <v>701.75508692156882</v>
          </cell>
          <cell r="U327">
            <v>701.61723300077733</v>
          </cell>
          <cell r="V327">
            <v>647.63933352092886</v>
          </cell>
          <cell r="W327">
            <v>647.63933352092886</v>
          </cell>
          <cell r="X327">
            <v>631.90722537750867</v>
          </cell>
          <cell r="Y327">
            <v>511.65345391929765</v>
          </cell>
          <cell r="Z327">
            <v>469.98451829031563</v>
          </cell>
          <cell r="AA327">
            <v>441.33763128059633</v>
          </cell>
          <cell r="AB327">
            <v>398.0133713784486</v>
          </cell>
          <cell r="AC327">
            <v>78.58914016184174</v>
          </cell>
          <cell r="AD327">
            <v>0</v>
          </cell>
          <cell r="AE327">
            <v>0</v>
          </cell>
          <cell r="AF327">
            <v>0</v>
          </cell>
          <cell r="AG327">
            <v>0</v>
          </cell>
          <cell r="AH327">
            <v>0</v>
          </cell>
          <cell r="AI327">
            <v>0</v>
          </cell>
          <cell r="AJ327">
            <v>0</v>
          </cell>
        </row>
        <row r="329">
          <cell r="G329">
            <v>0</v>
          </cell>
          <cell r="H329">
            <v>0</v>
          </cell>
          <cell r="I329">
            <v>0</v>
          </cell>
          <cell r="J329">
            <v>0</v>
          </cell>
          <cell r="K329">
            <v>3888.7476455252399</v>
          </cell>
          <cell r="L329">
            <v>3409.519875162553</v>
          </cell>
          <cell r="M329">
            <v>3409.1950461664583</v>
          </cell>
          <cell r="N329">
            <v>3401.0102654835264</v>
          </cell>
          <cell r="O329">
            <v>3258.1998941876791</v>
          </cell>
          <cell r="P329">
            <v>2764.1863576716828</v>
          </cell>
          <cell r="Q329">
            <v>2746.2355653959021</v>
          </cell>
          <cell r="R329">
            <v>2614.8734779011461</v>
          </cell>
          <cell r="S329">
            <v>2336.6400499892807</v>
          </cell>
          <cell r="T329">
            <v>664.3836947276875</v>
          </cell>
          <cell r="U329">
            <v>388.70814073763154</v>
          </cell>
          <cell r="V329">
            <v>388.70814073763154</v>
          </cell>
          <cell r="W329">
            <v>381.67948400496948</v>
          </cell>
          <cell r="X329">
            <v>381.67948400496948</v>
          </cell>
          <cell r="Y329">
            <v>381.67948400496948</v>
          </cell>
          <cell r="Z329">
            <v>360.35368177800592</v>
          </cell>
          <cell r="AA329">
            <v>332.61740553163315</v>
          </cell>
          <cell r="AB329">
            <v>332.61740553163315</v>
          </cell>
          <cell r="AC329">
            <v>323.69567059874146</v>
          </cell>
          <cell r="AD329">
            <v>140.10276933388198</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row>
      </sheetData>
      <sheetData sheetId="9" refreshError="1"/>
      <sheetData sheetId="10" refreshError="1"/>
      <sheetData sheetId="11" refreshError="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WMS charges_IESO"/>
      <sheetName val="TC_Consolidated"/>
      <sheetName val="Transmission Charges_IESO"/>
      <sheetName val="Transmission Charges_H1"/>
      <sheetName val="Ratios"/>
      <sheetName val="2012F"/>
      <sheetName val="2013F"/>
      <sheetName val="2013F_3% avg"/>
      <sheetName val="AVG rate increases"/>
    </sheetNames>
    <sheetDataSet>
      <sheetData sheetId="0"/>
      <sheetData sheetId="1"/>
      <sheetData sheetId="2"/>
      <sheetData sheetId="3"/>
      <sheetData sheetId="4"/>
      <sheetData sheetId="5"/>
      <sheetData sheetId="6">
        <row r="7">
          <cell r="B7">
            <v>757335608.01658869</v>
          </cell>
        </row>
        <row r="44">
          <cell r="B44">
            <v>292.56</v>
          </cell>
          <cell r="C44">
            <v>292.56</v>
          </cell>
          <cell r="D44">
            <v>292.56</v>
          </cell>
          <cell r="E44">
            <v>292.56</v>
          </cell>
          <cell r="F44">
            <v>292.56</v>
          </cell>
          <cell r="G44">
            <v>292.56</v>
          </cell>
          <cell r="H44">
            <v>292.56</v>
          </cell>
          <cell r="I44">
            <v>292.56</v>
          </cell>
          <cell r="J44">
            <v>292.56</v>
          </cell>
          <cell r="K44">
            <v>292.56</v>
          </cell>
          <cell r="L44">
            <v>292.56</v>
          </cell>
          <cell r="M44">
            <v>292.56</v>
          </cell>
        </row>
        <row r="45">
          <cell r="B45">
            <v>1.944</v>
          </cell>
          <cell r="C45">
            <v>1.944</v>
          </cell>
          <cell r="D45">
            <v>1.944</v>
          </cell>
          <cell r="E45">
            <v>1.944</v>
          </cell>
          <cell r="F45">
            <v>1.944</v>
          </cell>
          <cell r="G45">
            <v>1.944</v>
          </cell>
          <cell r="H45">
            <v>1.944</v>
          </cell>
          <cell r="I45">
            <v>1.944</v>
          </cell>
          <cell r="J45">
            <v>1.944</v>
          </cell>
          <cell r="K45">
            <v>1.944</v>
          </cell>
          <cell r="L45">
            <v>1.944</v>
          </cell>
          <cell r="M45">
            <v>1.944</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O72"/>
  <sheetViews>
    <sheetView showGridLines="0" topLeftCell="A27" zoomScale="79" zoomScaleNormal="79" workbookViewId="0">
      <selection sqref="A1:A1048576"/>
    </sheetView>
  </sheetViews>
  <sheetFormatPr defaultColWidth="9.140625" defaultRowHeight="12.75"/>
  <cols>
    <col min="1" max="1" width="9.140625" style="2"/>
    <col min="2" max="2" width="7.7109375" style="1" customWidth="1"/>
    <col min="3" max="3" width="6.42578125" style="1" customWidth="1"/>
    <col min="4" max="4" width="37.85546875" style="2" customWidth="1"/>
    <col min="5" max="5" width="14" style="2" customWidth="1"/>
    <col min="6" max="6" width="15.85546875" style="2" customWidth="1"/>
    <col min="7" max="7" width="14.5703125" style="2" customWidth="1"/>
    <col min="8" max="8" width="13.140625" style="2" customWidth="1"/>
    <col min="9" max="9" width="16.28515625" style="2" customWidth="1"/>
    <col min="10" max="10" width="1.7109375" style="3" customWidth="1"/>
    <col min="11" max="12" width="16.28515625" style="2" customWidth="1"/>
    <col min="13" max="13" width="14.42578125" style="2" customWidth="1"/>
    <col min="14" max="14" width="16.140625" style="2" customWidth="1"/>
    <col min="15" max="15" width="16.85546875" style="2" customWidth="1"/>
    <col min="16" max="16384" width="9.140625" style="2"/>
  </cols>
  <sheetData>
    <row r="1" spans="2:15">
      <c r="N1" s="4" t="s">
        <v>0</v>
      </c>
      <c r="O1" s="5" t="str">
        <f>'[3]LDC Info'!$E$18</f>
        <v>EB2012-0176</v>
      </c>
    </row>
    <row r="2" spans="2:15">
      <c r="N2" s="4"/>
    </row>
    <row r="3" spans="2:15" hidden="1">
      <c r="N3" s="4"/>
    </row>
    <row r="4" spans="2:15" hidden="1">
      <c r="N4" s="4"/>
    </row>
    <row r="5" spans="2:15" hidden="1">
      <c r="N5" s="4"/>
    </row>
    <row r="6" spans="2:15" ht="9" hidden="1" customHeight="1">
      <c r="N6" s="4"/>
    </row>
    <row r="7" spans="2:15" hidden="1">
      <c r="N7" s="4"/>
    </row>
    <row r="8" spans="2:15" ht="9" hidden="1" customHeight="1"/>
    <row r="9" spans="2:15" ht="20.25" customHeight="1">
      <c r="B9" s="293" t="s">
        <v>1</v>
      </c>
      <c r="C9" s="293"/>
      <c r="D9" s="293"/>
      <c r="E9" s="293"/>
      <c r="F9" s="293"/>
      <c r="G9" s="293"/>
      <c r="H9" s="293"/>
      <c r="I9" s="293"/>
      <c r="J9" s="293"/>
      <c r="K9" s="293"/>
      <c r="L9" s="293"/>
      <c r="M9" s="293"/>
      <c r="N9" s="293"/>
      <c r="O9" s="293"/>
    </row>
    <row r="10" spans="2:15" ht="18">
      <c r="B10" s="293" t="s">
        <v>2</v>
      </c>
      <c r="C10" s="293"/>
      <c r="D10" s="293"/>
      <c r="E10" s="293"/>
      <c r="F10" s="293"/>
      <c r="G10" s="293"/>
      <c r="H10" s="293"/>
      <c r="I10" s="293"/>
      <c r="J10" s="293"/>
      <c r="K10" s="293"/>
      <c r="L10" s="293"/>
      <c r="M10" s="293"/>
      <c r="N10" s="293"/>
      <c r="O10" s="293"/>
    </row>
    <row r="12" spans="2:15" ht="15">
      <c r="D12" s="6"/>
      <c r="G12" s="7" t="s">
        <v>3</v>
      </c>
      <c r="H12" s="8">
        <v>2012</v>
      </c>
      <c r="I12" s="9"/>
    </row>
    <row r="14" spans="2:15">
      <c r="E14" s="10"/>
      <c r="F14" s="294" t="s">
        <v>4</v>
      </c>
      <c r="G14" s="295"/>
      <c r="H14" s="295"/>
      <c r="I14" s="296"/>
      <c r="K14" s="11"/>
      <c r="L14" s="12" t="s">
        <v>5</v>
      </c>
      <c r="M14" s="12"/>
      <c r="N14" s="13"/>
      <c r="O14" s="3"/>
    </row>
    <row r="15" spans="2:15" ht="25.5">
      <c r="B15" s="14" t="s">
        <v>6</v>
      </c>
      <c r="C15" s="15" t="s">
        <v>7</v>
      </c>
      <c r="D15" s="16" t="s">
        <v>8</v>
      </c>
      <c r="E15" s="14" t="s">
        <v>9</v>
      </c>
      <c r="F15" s="14" t="s">
        <v>10</v>
      </c>
      <c r="G15" s="15" t="s">
        <v>11</v>
      </c>
      <c r="H15" s="15" t="s">
        <v>12</v>
      </c>
      <c r="I15" s="14" t="s">
        <v>13</v>
      </c>
      <c r="J15" s="17"/>
      <c r="K15" s="18" t="s">
        <v>10</v>
      </c>
      <c r="L15" s="19" t="s">
        <v>11</v>
      </c>
      <c r="M15" s="19" t="s">
        <v>12</v>
      </c>
      <c r="N15" s="20" t="s">
        <v>13</v>
      </c>
      <c r="O15" s="14" t="s">
        <v>14</v>
      </c>
    </row>
    <row r="16" spans="2:15" ht="25.5">
      <c r="B16" s="21">
        <v>12</v>
      </c>
      <c r="C16" s="21">
        <v>1611</v>
      </c>
      <c r="D16" s="22" t="s">
        <v>15</v>
      </c>
      <c r="E16" s="23"/>
      <c r="F16" s="24"/>
      <c r="G16" s="24"/>
      <c r="H16" s="24"/>
      <c r="I16" s="25">
        <f>F16+G16+H16</f>
        <v>0</v>
      </c>
      <c r="J16" s="26"/>
      <c r="K16" s="27"/>
      <c r="L16" s="24"/>
      <c r="M16" s="24"/>
      <c r="N16" s="25">
        <f>K16+L16+M16</f>
        <v>0</v>
      </c>
      <c r="O16" s="28">
        <f>I16+N16</f>
        <v>0</v>
      </c>
    </row>
    <row r="17" spans="2:15" ht="25.5">
      <c r="B17" s="21" t="s">
        <v>16</v>
      </c>
      <c r="C17" s="21">
        <v>1612</v>
      </c>
      <c r="D17" s="22" t="s">
        <v>17</v>
      </c>
      <c r="E17" s="23"/>
      <c r="F17" s="24"/>
      <c r="G17" s="24"/>
      <c r="H17" s="24"/>
      <c r="I17" s="25">
        <f>F17+G17+H17</f>
        <v>0</v>
      </c>
      <c r="J17" s="26"/>
      <c r="K17" s="27"/>
      <c r="L17" s="24"/>
      <c r="M17" s="24"/>
      <c r="N17" s="25">
        <f>K17+L17+M17</f>
        <v>0</v>
      </c>
      <c r="O17" s="28">
        <f>I17+N17</f>
        <v>0</v>
      </c>
    </row>
    <row r="18" spans="2:15" ht="15">
      <c r="B18" s="29" t="s">
        <v>18</v>
      </c>
      <c r="C18" s="29">
        <v>1805</v>
      </c>
      <c r="D18" s="30" t="s">
        <v>19</v>
      </c>
      <c r="E18" s="23"/>
      <c r="F18" s="24">
        <f>+'[3]App.2-B_Fixed Asset Cont 2011'!H18</f>
        <v>227768.86</v>
      </c>
      <c r="G18" s="24"/>
      <c r="H18" s="24"/>
      <c r="I18" s="25">
        <f>F18+G18+H18</f>
        <v>227768.86</v>
      </c>
      <c r="J18" s="26"/>
      <c r="K18" s="24"/>
      <c r="L18" s="24"/>
      <c r="M18" s="24"/>
      <c r="N18" s="25">
        <f>K18+L18+M18</f>
        <v>0</v>
      </c>
      <c r="O18" s="28">
        <f>I18+N18</f>
        <v>227768.86</v>
      </c>
    </row>
    <row r="19" spans="2:15" ht="15">
      <c r="B19" s="21">
        <v>47</v>
      </c>
      <c r="C19" s="21">
        <v>1808</v>
      </c>
      <c r="D19" s="31" t="s">
        <v>20</v>
      </c>
      <c r="E19" s="23">
        <v>0.02</v>
      </c>
      <c r="F19" s="24">
        <f>+'[3]App.2-B_Fixed Asset Cont 2011'!H19</f>
        <v>2486318</v>
      </c>
      <c r="G19" s="24">
        <v>5000</v>
      </c>
      <c r="H19" s="24"/>
      <c r="I19" s="25">
        <f t="shared" ref="I19:I53" si="0">F19+G19+H19</f>
        <v>2491318</v>
      </c>
      <c r="J19" s="26"/>
      <c r="K19" s="24">
        <f>+'[3]App.2-B_Fixed Asset Cont 2011'!M19</f>
        <v>-225197.49</v>
      </c>
      <c r="L19" s="24">
        <v>-49937</v>
      </c>
      <c r="M19" s="24"/>
      <c r="N19" s="25">
        <f t="shared" ref="N19:N53" si="1">K19+L19+M19</f>
        <v>-275134.49</v>
      </c>
      <c r="O19" s="28">
        <f t="shared" ref="O19:O53" si="2">I19+N19</f>
        <v>2216183.5099999998</v>
      </c>
    </row>
    <row r="20" spans="2:15" ht="15">
      <c r="B20" s="21">
        <v>13</v>
      </c>
      <c r="C20" s="21">
        <v>1810</v>
      </c>
      <c r="D20" s="31" t="s">
        <v>21</v>
      </c>
      <c r="E20" s="23"/>
      <c r="F20" s="24"/>
      <c r="G20" s="24"/>
      <c r="H20" s="24"/>
      <c r="I20" s="25">
        <f t="shared" si="0"/>
        <v>0</v>
      </c>
      <c r="J20" s="26"/>
      <c r="K20" s="24">
        <f>+'[3]App.2-B_Fixed Asset Cont 2011'!M20</f>
        <v>0</v>
      </c>
      <c r="L20" s="24"/>
      <c r="M20" s="24"/>
      <c r="N20" s="25">
        <f t="shared" si="1"/>
        <v>0</v>
      </c>
      <c r="O20" s="28">
        <f t="shared" si="2"/>
        <v>0</v>
      </c>
    </row>
    <row r="21" spans="2:15" ht="15">
      <c r="B21" s="21">
        <v>47</v>
      </c>
      <c r="C21" s="21">
        <v>1815</v>
      </c>
      <c r="D21" s="31" t="s">
        <v>22</v>
      </c>
      <c r="E21" s="23"/>
      <c r="F21" s="24"/>
      <c r="G21" s="24"/>
      <c r="H21" s="24"/>
      <c r="I21" s="25">
        <f t="shared" si="0"/>
        <v>0</v>
      </c>
      <c r="J21" s="26"/>
      <c r="K21" s="24">
        <f>+'[3]App.2-B_Fixed Asset Cont 2011'!M21</f>
        <v>0</v>
      </c>
      <c r="L21" s="24"/>
      <c r="M21" s="24"/>
      <c r="N21" s="25">
        <f t="shared" si="1"/>
        <v>0</v>
      </c>
      <c r="O21" s="28">
        <f t="shared" si="2"/>
        <v>0</v>
      </c>
    </row>
    <row r="22" spans="2:15" ht="15">
      <c r="B22" s="21">
        <v>47</v>
      </c>
      <c r="C22" s="21">
        <v>1820</v>
      </c>
      <c r="D22" s="22" t="s">
        <v>23</v>
      </c>
      <c r="E22" s="23">
        <v>3.3300000000000003E-2</v>
      </c>
      <c r="F22" s="24">
        <f>+'[3]App.2-B_Fixed Asset Cont 2011'!H22</f>
        <v>4269129.0199999996</v>
      </c>
      <c r="G22" s="24">
        <f>506839-506839</f>
        <v>0</v>
      </c>
      <c r="H22" s="27"/>
      <c r="I22" s="25">
        <f t="shared" si="0"/>
        <v>4269129.0199999996</v>
      </c>
      <c r="J22" s="26"/>
      <c r="K22" s="24">
        <f>+'[3]App.2-B_Fixed Asset Cont 2011'!M22</f>
        <v>-1575655.4100000001</v>
      </c>
      <c r="L22" s="24">
        <f>-147775+506839/60</f>
        <v>-139327.68333333332</v>
      </c>
      <c r="M22" s="27"/>
      <c r="N22" s="25">
        <f t="shared" si="1"/>
        <v>-1714983.0933333335</v>
      </c>
      <c r="O22" s="28">
        <f t="shared" si="2"/>
        <v>2554145.9266666658</v>
      </c>
    </row>
    <row r="23" spans="2:15" ht="15">
      <c r="B23" s="21">
        <v>47</v>
      </c>
      <c r="C23" s="21">
        <v>1825</v>
      </c>
      <c r="D23" s="31" t="s">
        <v>24</v>
      </c>
      <c r="E23" s="23"/>
      <c r="F23" s="24"/>
      <c r="G23" s="24"/>
      <c r="H23" s="27"/>
      <c r="I23" s="25">
        <f t="shared" si="0"/>
        <v>0</v>
      </c>
      <c r="J23" s="26"/>
      <c r="K23" s="24">
        <f>+'[3]App.2-B_Fixed Asset Cont 2011'!M23</f>
        <v>0</v>
      </c>
      <c r="L23" s="24"/>
      <c r="M23" s="27"/>
      <c r="N23" s="25">
        <f t="shared" si="1"/>
        <v>0</v>
      </c>
      <c r="O23" s="28">
        <f t="shared" si="2"/>
        <v>0</v>
      </c>
    </row>
    <row r="24" spans="2:15" ht="15">
      <c r="B24" s="21">
        <v>47</v>
      </c>
      <c r="C24" s="21">
        <v>1830</v>
      </c>
      <c r="D24" s="31" t="s">
        <v>25</v>
      </c>
      <c r="E24" s="23">
        <v>0.04</v>
      </c>
      <c r="F24" s="24">
        <f>+'[3]App.2-B_Fixed Asset Cont 2011'!H24</f>
        <v>7106082.5599999996</v>
      </c>
      <c r="G24" s="24">
        <v>888906</v>
      </c>
      <c r="H24" s="27"/>
      <c r="I24" s="25">
        <f t="shared" si="0"/>
        <v>7994988.5599999996</v>
      </c>
      <c r="J24" s="26"/>
      <c r="K24" s="24">
        <f>+'[3]App.2-B_Fixed Asset Cont 2011'!M24</f>
        <v>-2348061.4500000002</v>
      </c>
      <c r="L24" s="24">
        <v>-327658</v>
      </c>
      <c r="M24" s="27"/>
      <c r="N24" s="25">
        <f t="shared" si="1"/>
        <v>-2675719.4500000002</v>
      </c>
      <c r="O24" s="28">
        <f t="shared" si="2"/>
        <v>5319269.1099999994</v>
      </c>
    </row>
    <row r="25" spans="2:15" ht="15">
      <c r="B25" s="21">
        <v>47</v>
      </c>
      <c r="C25" s="21">
        <v>1835</v>
      </c>
      <c r="D25" s="31" t="s">
        <v>26</v>
      </c>
      <c r="E25" s="23">
        <v>0.04</v>
      </c>
      <c r="F25" s="24">
        <f>+'[3]App.2-B_Fixed Asset Cont 2011'!H25</f>
        <v>9746857.4500000011</v>
      </c>
      <c r="G25" s="24">
        <v>838997</v>
      </c>
      <c r="H25" s="27"/>
      <c r="I25" s="25">
        <f t="shared" si="0"/>
        <v>10585854.450000001</v>
      </c>
      <c r="J25" s="26"/>
      <c r="K25" s="24">
        <f>+'[3]App.2-B_Fixed Asset Cont 2011'!M25</f>
        <v>-3339848.33</v>
      </c>
      <c r="L25" s="24">
        <v>-441852</v>
      </c>
      <c r="M25" s="27"/>
      <c r="N25" s="25">
        <f t="shared" si="1"/>
        <v>-3781700.33</v>
      </c>
      <c r="O25" s="28">
        <f t="shared" si="2"/>
        <v>6804154.120000001</v>
      </c>
    </row>
    <row r="26" spans="2:15" ht="15">
      <c r="B26" s="21">
        <v>47</v>
      </c>
      <c r="C26" s="21">
        <v>1840</v>
      </c>
      <c r="D26" s="31" t="s">
        <v>27</v>
      </c>
      <c r="E26" s="23">
        <v>0.04</v>
      </c>
      <c r="F26" s="24">
        <f>+'[3]App.2-B_Fixed Asset Cont 2011'!H26</f>
        <v>3044635.92</v>
      </c>
      <c r="G26" s="24">
        <v>290681</v>
      </c>
      <c r="H26" s="27"/>
      <c r="I26" s="25">
        <f t="shared" si="0"/>
        <v>3335316.92</v>
      </c>
      <c r="J26" s="26"/>
      <c r="K26" s="24">
        <f>+'[3]App.2-B_Fixed Asset Cont 2011'!M26</f>
        <v>-959558.04</v>
      </c>
      <c r="L26" s="24">
        <v>-136788</v>
      </c>
      <c r="M26" s="27"/>
      <c r="N26" s="25">
        <f t="shared" si="1"/>
        <v>-1096346.04</v>
      </c>
      <c r="O26" s="28">
        <f t="shared" si="2"/>
        <v>2238970.8799999999</v>
      </c>
    </row>
    <row r="27" spans="2:15" ht="15">
      <c r="B27" s="21">
        <v>47</v>
      </c>
      <c r="C27" s="21">
        <v>1845</v>
      </c>
      <c r="D27" s="31" t="s">
        <v>28</v>
      </c>
      <c r="E27" s="23">
        <v>0.04</v>
      </c>
      <c r="F27" s="24">
        <f>+'[3]App.2-B_Fixed Asset Cont 2011'!H27</f>
        <v>8848610.7899999991</v>
      </c>
      <c r="G27" s="24">
        <v>454468</v>
      </c>
      <c r="H27" s="27"/>
      <c r="I27" s="25">
        <f t="shared" si="0"/>
        <v>9303078.7899999991</v>
      </c>
      <c r="J27" s="26"/>
      <c r="K27" s="24">
        <f>+'[3]App.2-B_Fixed Asset Cont 2011'!M27</f>
        <v>-2651520.7400000002</v>
      </c>
      <c r="L27" s="24">
        <v>-392366</v>
      </c>
      <c r="M27" s="27"/>
      <c r="N27" s="25">
        <f t="shared" si="1"/>
        <v>-3043886.74</v>
      </c>
      <c r="O27" s="28">
        <f t="shared" si="2"/>
        <v>6259192.0499999989</v>
      </c>
    </row>
    <row r="28" spans="2:15" ht="15">
      <c r="B28" s="21">
        <v>47</v>
      </c>
      <c r="C28" s="21">
        <v>1850</v>
      </c>
      <c r="D28" s="31" t="s">
        <v>29</v>
      </c>
      <c r="E28" s="23">
        <v>0.04</v>
      </c>
      <c r="F28" s="24">
        <f>+'[3]App.2-B_Fixed Asset Cont 2011'!H28</f>
        <v>8007560.7500000009</v>
      </c>
      <c r="G28" s="24">
        <v>592656</v>
      </c>
      <c r="H28" s="27"/>
      <c r="I28" s="25">
        <f t="shared" si="0"/>
        <v>8600216.75</v>
      </c>
      <c r="J28" s="26"/>
      <c r="K28" s="24">
        <f>+'[3]App.2-B_Fixed Asset Cont 2011'!M28</f>
        <v>-2691469.2199999997</v>
      </c>
      <c r="L28" s="24">
        <v>-360782</v>
      </c>
      <c r="M28" s="27"/>
      <c r="N28" s="25">
        <f t="shared" si="1"/>
        <v>-3052251.2199999997</v>
      </c>
      <c r="O28" s="28">
        <f t="shared" si="2"/>
        <v>5547965.5300000003</v>
      </c>
    </row>
    <row r="29" spans="2:15" ht="15">
      <c r="B29" s="21">
        <v>47</v>
      </c>
      <c r="C29" s="21">
        <v>1855</v>
      </c>
      <c r="D29" s="31" t="s">
        <v>30</v>
      </c>
      <c r="E29" s="23">
        <v>0.04</v>
      </c>
      <c r="F29" s="24">
        <f>+'[3]App.2-B_Fixed Asset Cont 2011'!H29</f>
        <v>4430482.2</v>
      </c>
      <c r="G29" s="24">
        <v>637257</v>
      </c>
      <c r="H29" s="27"/>
      <c r="I29" s="25">
        <f t="shared" si="0"/>
        <v>5067739.2</v>
      </c>
      <c r="J29" s="26"/>
      <c r="K29" s="24">
        <f>+'[3]App.2-B_Fixed Asset Cont 2011'!M29</f>
        <v>-1314820.05</v>
      </c>
      <c r="L29" s="24">
        <v>-201040</v>
      </c>
      <c r="M29" s="27"/>
      <c r="N29" s="25">
        <f t="shared" si="1"/>
        <v>-1515860.05</v>
      </c>
      <c r="O29" s="28">
        <f t="shared" si="2"/>
        <v>3551879.1500000004</v>
      </c>
    </row>
    <row r="30" spans="2:15" ht="15">
      <c r="B30" s="21">
        <v>47</v>
      </c>
      <c r="C30" s="21">
        <v>1860</v>
      </c>
      <c r="D30" s="31" t="s">
        <v>31</v>
      </c>
      <c r="E30" s="23">
        <v>0.04</v>
      </c>
      <c r="F30" s="24">
        <f>+'[3]App.2-B_Fixed Asset Cont 2011'!H30</f>
        <v>1579563.6600000001</v>
      </c>
      <c r="G30" s="24"/>
      <c r="H30" s="27"/>
      <c r="I30" s="25">
        <f t="shared" si="0"/>
        <v>1579563.6600000001</v>
      </c>
      <c r="J30" s="26"/>
      <c r="K30" s="24">
        <f>+'[3]App.2-B_Fixed Asset Cont 2011'!M30</f>
        <v>-417283.04000000004</v>
      </c>
      <c r="L30" s="24">
        <v>-67812</v>
      </c>
      <c r="M30" s="27"/>
      <c r="N30" s="25">
        <f t="shared" si="1"/>
        <v>-485095.04000000004</v>
      </c>
      <c r="O30" s="28">
        <f t="shared" si="2"/>
        <v>1094468.6200000001</v>
      </c>
    </row>
    <row r="31" spans="2:15" ht="15">
      <c r="B31" s="29">
        <v>8</v>
      </c>
      <c r="C31" s="29">
        <v>1860</v>
      </c>
      <c r="D31" s="30" t="s">
        <v>32</v>
      </c>
      <c r="E31" s="23">
        <v>6.6699999999999995E-2</v>
      </c>
      <c r="F31" s="24">
        <f>+'[3]App.2-B_Fixed Asset Cont 2011'!H31</f>
        <v>105634</v>
      </c>
      <c r="G31" s="24">
        <v>38652</v>
      </c>
      <c r="H31" s="27"/>
      <c r="I31" s="25">
        <f t="shared" si="0"/>
        <v>144286</v>
      </c>
      <c r="J31" s="26"/>
      <c r="K31" s="24">
        <f>+'[3]App.2-B_Fixed Asset Cont 2011'!M31</f>
        <v>-2150.23</v>
      </c>
      <c r="L31" s="24">
        <v>-8418</v>
      </c>
      <c r="M31" s="27"/>
      <c r="N31" s="25">
        <f t="shared" si="1"/>
        <v>-10568.23</v>
      </c>
      <c r="O31" s="28">
        <f t="shared" si="2"/>
        <v>133717.76999999999</v>
      </c>
    </row>
    <row r="32" spans="2:15" ht="15">
      <c r="B32" s="29" t="s">
        <v>18</v>
      </c>
      <c r="C32" s="29">
        <v>1905</v>
      </c>
      <c r="D32" s="30" t="s">
        <v>19</v>
      </c>
      <c r="E32" s="23"/>
      <c r="F32" s="24"/>
      <c r="G32" s="24"/>
      <c r="H32" s="27"/>
      <c r="I32" s="25">
        <f t="shared" si="0"/>
        <v>0</v>
      </c>
      <c r="J32" s="26"/>
      <c r="K32" s="24">
        <f>+'[3]App.2-B_Fixed Asset Cont 2011'!M32</f>
        <v>0</v>
      </c>
      <c r="L32" s="24"/>
      <c r="M32" s="27"/>
      <c r="N32" s="25">
        <f t="shared" si="1"/>
        <v>0</v>
      </c>
      <c r="O32" s="28">
        <f t="shared" si="2"/>
        <v>0</v>
      </c>
    </row>
    <row r="33" spans="2:15" ht="15">
      <c r="B33" s="21">
        <v>47</v>
      </c>
      <c r="C33" s="21">
        <v>1908</v>
      </c>
      <c r="D33" s="31" t="s">
        <v>33</v>
      </c>
      <c r="E33" s="23"/>
      <c r="F33" s="24"/>
      <c r="G33" s="24"/>
      <c r="H33" s="27"/>
      <c r="I33" s="25">
        <f t="shared" si="0"/>
        <v>0</v>
      </c>
      <c r="J33" s="26"/>
      <c r="K33" s="24">
        <f>+'[3]App.2-B_Fixed Asset Cont 2011'!M33</f>
        <v>0</v>
      </c>
      <c r="L33" s="24"/>
      <c r="M33" s="27"/>
      <c r="N33" s="25">
        <f t="shared" si="1"/>
        <v>0</v>
      </c>
      <c r="O33" s="28">
        <f t="shared" si="2"/>
        <v>0</v>
      </c>
    </row>
    <row r="34" spans="2:15" ht="15">
      <c r="B34" s="21">
        <v>13</v>
      </c>
      <c r="C34" s="21">
        <v>1910</v>
      </c>
      <c r="D34" s="31" t="s">
        <v>21</v>
      </c>
      <c r="E34" s="23"/>
      <c r="F34" s="24"/>
      <c r="G34" s="24"/>
      <c r="H34" s="27"/>
      <c r="I34" s="25">
        <f t="shared" si="0"/>
        <v>0</v>
      </c>
      <c r="J34" s="26"/>
      <c r="K34" s="24">
        <f>+'[3]App.2-B_Fixed Asset Cont 2011'!M34</f>
        <v>0</v>
      </c>
      <c r="L34" s="24"/>
      <c r="M34" s="27"/>
      <c r="N34" s="25">
        <f t="shared" si="1"/>
        <v>0</v>
      </c>
      <c r="O34" s="28">
        <f t="shared" si="2"/>
        <v>0</v>
      </c>
    </row>
    <row r="35" spans="2:15" ht="15">
      <c r="B35" s="21">
        <v>8</v>
      </c>
      <c r="C35" s="21">
        <v>1915</v>
      </c>
      <c r="D35" s="31" t="s">
        <v>34</v>
      </c>
      <c r="E35" s="23">
        <v>0.1</v>
      </c>
      <c r="F35" s="24">
        <f>+'[3]App.2-B_Fixed Asset Cont 2011'!H35</f>
        <v>262476.14999999997</v>
      </c>
      <c r="G35" s="24">
        <v>5000</v>
      </c>
      <c r="H35" s="27"/>
      <c r="I35" s="25">
        <f t="shared" si="0"/>
        <v>267476.14999999997</v>
      </c>
      <c r="J35" s="26"/>
      <c r="K35" s="24">
        <f>+'[3]App.2-B_Fixed Asset Cont 2011'!M35</f>
        <v>-186028.6</v>
      </c>
      <c r="L35" s="24">
        <v>-15084</v>
      </c>
      <c r="M35" s="27"/>
      <c r="N35" s="25">
        <f t="shared" si="1"/>
        <v>-201112.6</v>
      </c>
      <c r="O35" s="28">
        <f t="shared" si="2"/>
        <v>66363.549999999959</v>
      </c>
    </row>
    <row r="36" spans="2:15" ht="15">
      <c r="B36" s="21">
        <v>8</v>
      </c>
      <c r="C36" s="21">
        <v>1915</v>
      </c>
      <c r="D36" s="31" t="s">
        <v>35</v>
      </c>
      <c r="E36" s="23"/>
      <c r="F36" s="24"/>
      <c r="G36" s="24"/>
      <c r="H36" s="27"/>
      <c r="I36" s="25">
        <f t="shared" si="0"/>
        <v>0</v>
      </c>
      <c r="J36" s="26"/>
      <c r="K36" s="24">
        <f>+'[3]App.2-B_Fixed Asset Cont 2011'!M36</f>
        <v>0</v>
      </c>
      <c r="L36" s="24"/>
      <c r="M36" s="27"/>
      <c r="N36" s="25">
        <f t="shared" si="1"/>
        <v>0</v>
      </c>
      <c r="O36" s="28">
        <f t="shared" si="2"/>
        <v>0</v>
      </c>
    </row>
    <row r="37" spans="2:15" ht="15">
      <c r="B37" s="21">
        <v>10</v>
      </c>
      <c r="C37" s="21">
        <v>1920</v>
      </c>
      <c r="D37" s="31" t="s">
        <v>36</v>
      </c>
      <c r="E37" s="23">
        <v>0.2</v>
      </c>
      <c r="F37" s="24">
        <f>+'[3]App.2-B_Fixed Asset Cont 2011'!H37</f>
        <v>275946.02999999997</v>
      </c>
      <c r="G37" s="24"/>
      <c r="H37" s="27"/>
      <c r="I37" s="25">
        <f t="shared" si="0"/>
        <v>275946.02999999997</v>
      </c>
      <c r="J37" s="26"/>
      <c r="K37" s="24">
        <f>+'[3]App.2-B_Fixed Asset Cont 2011'!M37</f>
        <v>-152871.07</v>
      </c>
      <c r="L37" s="24"/>
      <c r="M37" s="27"/>
      <c r="N37" s="25">
        <f t="shared" si="1"/>
        <v>-152871.07</v>
      </c>
      <c r="O37" s="28">
        <f t="shared" si="2"/>
        <v>123074.95999999996</v>
      </c>
    </row>
    <row r="38" spans="2:15" ht="25.5">
      <c r="B38" s="21">
        <v>45</v>
      </c>
      <c r="C38" s="32">
        <v>1920</v>
      </c>
      <c r="D38" s="22" t="s">
        <v>37</v>
      </c>
      <c r="E38" s="23">
        <v>0.2</v>
      </c>
      <c r="F38" s="24">
        <f>+'[3]App.2-B_Fixed Asset Cont 2011'!H38</f>
        <v>52211.630000000005</v>
      </c>
      <c r="G38" s="24"/>
      <c r="H38" s="27"/>
      <c r="I38" s="25">
        <f t="shared" si="0"/>
        <v>52211.630000000005</v>
      </c>
      <c r="J38" s="26"/>
      <c r="K38" s="24">
        <f>+'[3]App.2-B_Fixed Asset Cont 2011'!M38</f>
        <v>-146240.59</v>
      </c>
      <c r="L38" s="24"/>
      <c r="M38" s="27"/>
      <c r="N38" s="25">
        <f t="shared" si="1"/>
        <v>-146240.59</v>
      </c>
      <c r="O38" s="28">
        <f t="shared" si="2"/>
        <v>-94028.959999999992</v>
      </c>
    </row>
    <row r="39" spans="2:15" ht="25.5">
      <c r="B39" s="21">
        <v>45.1</v>
      </c>
      <c r="C39" s="32">
        <v>1920</v>
      </c>
      <c r="D39" s="22" t="s">
        <v>38</v>
      </c>
      <c r="E39" s="23">
        <v>0.2</v>
      </c>
      <c r="F39" s="24">
        <f>+'[3]App.2-B_Fixed Asset Cont 2011'!H39</f>
        <v>153836.70000000001</v>
      </c>
      <c r="G39" s="24">
        <v>22000</v>
      </c>
      <c r="H39" s="27"/>
      <c r="I39" s="25">
        <f t="shared" si="0"/>
        <v>175836.7</v>
      </c>
      <c r="J39" s="26"/>
      <c r="K39" s="24">
        <f>+'[3]App.2-B_Fixed Asset Cont 2011'!M39</f>
        <v>-107493.88</v>
      </c>
      <c r="L39" s="24">
        <v>-27104</v>
      </c>
      <c r="M39" s="27"/>
      <c r="N39" s="25">
        <f t="shared" si="1"/>
        <v>-134597.88</v>
      </c>
      <c r="O39" s="28">
        <f t="shared" si="2"/>
        <v>41238.820000000007</v>
      </c>
    </row>
    <row r="40" spans="2:15" ht="25.5">
      <c r="B40" s="21">
        <v>12</v>
      </c>
      <c r="C40" s="32">
        <v>1925</v>
      </c>
      <c r="D40" s="31" t="s">
        <v>15</v>
      </c>
      <c r="E40" s="23">
        <v>0.33329999999999999</v>
      </c>
      <c r="F40" s="24">
        <f>+'[3]App.2-B_Fixed Asset Cont 2011'!H40</f>
        <v>944456.07</v>
      </c>
      <c r="G40" s="24">
        <v>50000</v>
      </c>
      <c r="H40" s="27"/>
      <c r="I40" s="25">
        <f t="shared" si="0"/>
        <v>994456.07</v>
      </c>
      <c r="J40" s="26"/>
      <c r="K40" s="24">
        <f>+'[3]App.2-B_Fixed Asset Cont 2011'!M40</f>
        <v>-813572.16</v>
      </c>
      <c r="L40" s="24">
        <v>-70279</v>
      </c>
      <c r="M40" s="27"/>
      <c r="N40" s="25">
        <f t="shared" si="1"/>
        <v>-883851.16</v>
      </c>
      <c r="O40" s="28">
        <f t="shared" si="2"/>
        <v>110604.90999999992</v>
      </c>
    </row>
    <row r="41" spans="2:15" ht="15">
      <c r="B41" s="21">
        <v>10</v>
      </c>
      <c r="C41" s="21">
        <v>1930</v>
      </c>
      <c r="D41" s="31" t="s">
        <v>39</v>
      </c>
      <c r="E41" s="23">
        <v>0.125</v>
      </c>
      <c r="F41" s="24">
        <f>+'[3]App.2-B_Fixed Asset Cont 2011'!H41</f>
        <v>1984171.0300000003</v>
      </c>
      <c r="G41" s="24">
        <v>450000</v>
      </c>
      <c r="H41" s="27">
        <v>-150000</v>
      </c>
      <c r="I41" s="25">
        <f t="shared" si="0"/>
        <v>2284171.0300000003</v>
      </c>
      <c r="J41" s="26"/>
      <c r="K41" s="24">
        <f>+'[3]App.2-B_Fixed Asset Cont 2011'!M41</f>
        <v>-1188623.2000000002</v>
      </c>
      <c r="L41" s="24">
        <v>-229861</v>
      </c>
      <c r="M41" s="27">
        <v>150000</v>
      </c>
      <c r="N41" s="25">
        <f t="shared" si="1"/>
        <v>-1268484.2000000002</v>
      </c>
      <c r="O41" s="28">
        <f t="shared" si="2"/>
        <v>1015686.8300000001</v>
      </c>
    </row>
    <row r="42" spans="2:15" ht="15">
      <c r="B42" s="21">
        <v>8</v>
      </c>
      <c r="C42" s="21">
        <v>1935</v>
      </c>
      <c r="D42" s="31" t="s">
        <v>40</v>
      </c>
      <c r="E42" s="23">
        <v>0.1</v>
      </c>
      <c r="F42" s="24">
        <f>+'[3]App.2-B_Fixed Asset Cont 2011'!H42</f>
        <v>85037.21</v>
      </c>
      <c r="G42" s="24"/>
      <c r="H42" s="27"/>
      <c r="I42" s="25">
        <f t="shared" si="0"/>
        <v>85037.21</v>
      </c>
      <c r="J42" s="26"/>
      <c r="K42" s="24">
        <f>+'[3]App.2-B_Fixed Asset Cont 2011'!M42</f>
        <v>-26165.989999999998</v>
      </c>
      <c r="L42" s="24">
        <v>-8296</v>
      </c>
      <c r="M42" s="27"/>
      <c r="N42" s="25">
        <f t="shared" si="1"/>
        <v>-34461.99</v>
      </c>
      <c r="O42" s="28">
        <f t="shared" si="2"/>
        <v>50575.220000000008</v>
      </c>
    </row>
    <row r="43" spans="2:15" ht="15">
      <c r="B43" s="21">
        <v>8</v>
      </c>
      <c r="C43" s="21">
        <v>1940</v>
      </c>
      <c r="D43" s="31" t="s">
        <v>41</v>
      </c>
      <c r="E43" s="23">
        <v>0.1</v>
      </c>
      <c r="F43" s="24">
        <f>+'[3]App.2-B_Fixed Asset Cont 2011'!H43</f>
        <v>296780.97000000003</v>
      </c>
      <c r="G43" s="24">
        <v>72000</v>
      </c>
      <c r="H43" s="27"/>
      <c r="I43" s="25">
        <f t="shared" si="0"/>
        <v>368780.97000000003</v>
      </c>
      <c r="J43" s="26"/>
      <c r="K43" s="24">
        <f>+'[3]App.2-B_Fixed Asset Cont 2011'!M43</f>
        <v>-184379.91</v>
      </c>
      <c r="L43" s="24">
        <v>-22364</v>
      </c>
      <c r="M43" s="27"/>
      <c r="N43" s="25">
        <f t="shared" si="1"/>
        <v>-206743.91</v>
      </c>
      <c r="O43" s="28">
        <f t="shared" si="2"/>
        <v>162037.06000000003</v>
      </c>
    </row>
    <row r="44" spans="2:15" ht="15">
      <c r="B44" s="21">
        <v>8</v>
      </c>
      <c r="C44" s="21">
        <v>1945</v>
      </c>
      <c r="D44" s="31" t="s">
        <v>42</v>
      </c>
      <c r="E44" s="23">
        <v>0.1</v>
      </c>
      <c r="F44" s="24">
        <f>+'[3]App.2-B_Fixed Asset Cont 2011'!H44</f>
        <v>67543.58</v>
      </c>
      <c r="G44" s="24"/>
      <c r="H44" s="27"/>
      <c r="I44" s="25">
        <f t="shared" si="0"/>
        <v>67543.58</v>
      </c>
      <c r="J44" s="26"/>
      <c r="K44" s="24">
        <f>+'[3]App.2-B_Fixed Asset Cont 2011'!M44</f>
        <v>-34989.46</v>
      </c>
      <c r="L44" s="24">
        <v>-6645</v>
      </c>
      <c r="M44" s="27"/>
      <c r="N44" s="25">
        <f t="shared" si="1"/>
        <v>-41634.46</v>
      </c>
      <c r="O44" s="28">
        <f t="shared" si="2"/>
        <v>25909.120000000003</v>
      </c>
    </row>
    <row r="45" spans="2:15" ht="15">
      <c r="B45" s="21">
        <v>8</v>
      </c>
      <c r="C45" s="21">
        <v>1950</v>
      </c>
      <c r="D45" s="31" t="s">
        <v>43</v>
      </c>
      <c r="E45" s="23">
        <v>0.125</v>
      </c>
      <c r="F45" s="24">
        <f>+'[3]App.2-B_Fixed Asset Cont 2011'!H45</f>
        <v>89271.959999999992</v>
      </c>
      <c r="G45" s="24"/>
      <c r="H45" s="33"/>
      <c r="I45" s="25">
        <f t="shared" si="0"/>
        <v>89271.959999999992</v>
      </c>
      <c r="J45" s="26"/>
      <c r="K45" s="24">
        <f>+'[3]App.2-B_Fixed Asset Cont 2011'!M45</f>
        <v>-37367.120000000003</v>
      </c>
      <c r="L45" s="24">
        <v>-7997</v>
      </c>
      <c r="M45" s="33"/>
      <c r="N45" s="25">
        <f t="shared" si="1"/>
        <v>-45364.12</v>
      </c>
      <c r="O45" s="28">
        <f t="shared" si="2"/>
        <v>43907.839999999989</v>
      </c>
    </row>
    <row r="46" spans="2:15" ht="15">
      <c r="B46" s="21">
        <v>8</v>
      </c>
      <c r="C46" s="21">
        <v>1955</v>
      </c>
      <c r="D46" s="31" t="s">
        <v>44</v>
      </c>
      <c r="E46" s="23">
        <v>0.1</v>
      </c>
      <c r="F46" s="24">
        <f>+'[3]App.2-B_Fixed Asset Cont 2011'!H46</f>
        <v>176173.24</v>
      </c>
      <c r="G46" s="24"/>
      <c r="H46" s="27"/>
      <c r="I46" s="25">
        <f t="shared" si="0"/>
        <v>176173.24</v>
      </c>
      <c r="J46" s="26"/>
      <c r="K46" s="24">
        <f>+'[3]App.2-B_Fixed Asset Cont 2011'!M46</f>
        <v>-105990.53</v>
      </c>
      <c r="L46" s="24">
        <v>-20382</v>
      </c>
      <c r="M46" s="27"/>
      <c r="N46" s="25">
        <f t="shared" si="1"/>
        <v>-126372.53</v>
      </c>
      <c r="O46" s="28">
        <f t="shared" si="2"/>
        <v>49800.709999999992</v>
      </c>
    </row>
    <row r="47" spans="2:15" ht="15">
      <c r="B47" s="34">
        <v>8</v>
      </c>
      <c r="C47" s="34">
        <v>1955</v>
      </c>
      <c r="D47" s="35" t="s">
        <v>45</v>
      </c>
      <c r="E47" s="23"/>
      <c r="F47" s="24"/>
      <c r="G47" s="24"/>
      <c r="H47" s="27"/>
      <c r="I47" s="25">
        <f t="shared" si="0"/>
        <v>0</v>
      </c>
      <c r="J47" s="26"/>
      <c r="K47" s="24">
        <f>+'[3]App.2-B_Fixed Asset Cont 2011'!M47</f>
        <v>0</v>
      </c>
      <c r="L47" s="24"/>
      <c r="M47" s="27"/>
      <c r="N47" s="25">
        <f t="shared" si="1"/>
        <v>0</v>
      </c>
      <c r="O47" s="28">
        <f t="shared" si="2"/>
        <v>0</v>
      </c>
    </row>
    <row r="48" spans="2:15" ht="15">
      <c r="B48" s="32">
        <v>8</v>
      </c>
      <c r="C48" s="32">
        <v>1960</v>
      </c>
      <c r="D48" s="22" t="s">
        <v>46</v>
      </c>
      <c r="E48" s="23">
        <v>0.1</v>
      </c>
      <c r="F48" s="24">
        <f>+'[3]App.2-B_Fixed Asset Cont 2011'!H48</f>
        <v>43493.47</v>
      </c>
      <c r="G48" s="24">
        <v>40000</v>
      </c>
      <c r="H48" s="27"/>
      <c r="I48" s="25">
        <f t="shared" si="0"/>
        <v>83493.47</v>
      </c>
      <c r="J48" s="26"/>
      <c r="K48" s="24">
        <f>+'[3]App.2-B_Fixed Asset Cont 2011'!M48</f>
        <v>-29742.11</v>
      </c>
      <c r="L48" s="24">
        <v>-4342</v>
      </c>
      <c r="M48" s="27"/>
      <c r="N48" s="25">
        <f t="shared" si="1"/>
        <v>-34084.11</v>
      </c>
      <c r="O48" s="28">
        <f t="shared" si="2"/>
        <v>49409.36</v>
      </c>
    </row>
    <row r="49" spans="2:15" ht="25.5">
      <c r="B49" s="21">
        <v>47</v>
      </c>
      <c r="C49" s="21">
        <v>1975</v>
      </c>
      <c r="D49" s="31" t="s">
        <v>47</v>
      </c>
      <c r="E49" s="23">
        <v>0.1</v>
      </c>
      <c r="F49" s="24">
        <f>+'[3]App.2-B_Fixed Asset Cont 2011'!H49</f>
        <v>258630.5</v>
      </c>
      <c r="G49" s="24"/>
      <c r="H49" s="27"/>
      <c r="I49" s="25">
        <f t="shared" si="0"/>
        <v>258630.5</v>
      </c>
      <c r="J49" s="26"/>
      <c r="K49" s="24">
        <f>+'[3]App.2-B_Fixed Asset Cont 2011'!M49</f>
        <v>-258630.5</v>
      </c>
      <c r="L49" s="24"/>
      <c r="M49" s="27"/>
      <c r="N49" s="25">
        <f t="shared" si="1"/>
        <v>-258630.5</v>
      </c>
      <c r="O49" s="28">
        <f t="shared" si="2"/>
        <v>0</v>
      </c>
    </row>
    <row r="50" spans="2:15" ht="15">
      <c r="B50" s="21">
        <v>47</v>
      </c>
      <c r="C50" s="21">
        <v>1980</v>
      </c>
      <c r="D50" s="31" t="s">
        <v>48</v>
      </c>
      <c r="E50" s="23"/>
      <c r="F50" s="24"/>
      <c r="G50" s="24"/>
      <c r="H50" s="27"/>
      <c r="I50" s="25">
        <f t="shared" si="0"/>
        <v>0</v>
      </c>
      <c r="J50" s="26"/>
      <c r="K50" s="24">
        <f>+'[3]App.2-B_Fixed Asset Cont 2011'!M50</f>
        <v>0</v>
      </c>
      <c r="L50" s="24"/>
      <c r="M50" s="27"/>
      <c r="N50" s="25">
        <f t="shared" si="1"/>
        <v>0</v>
      </c>
      <c r="O50" s="28">
        <f t="shared" si="2"/>
        <v>0</v>
      </c>
    </row>
    <row r="51" spans="2:15" ht="15">
      <c r="B51" s="21">
        <v>47</v>
      </c>
      <c r="C51" s="21">
        <v>1985</v>
      </c>
      <c r="D51" s="31" t="s">
        <v>49</v>
      </c>
      <c r="E51" s="23">
        <v>0.1</v>
      </c>
      <c r="F51" s="24">
        <f>+'[3]App.2-B_Fixed Asset Cont 2011'!H51</f>
        <v>1427</v>
      </c>
      <c r="G51" s="24"/>
      <c r="H51" s="27"/>
      <c r="I51" s="25">
        <f t="shared" si="0"/>
        <v>1427</v>
      </c>
      <c r="J51" s="26"/>
      <c r="K51" s="24">
        <f>+'[3]App.2-B_Fixed Asset Cont 2011'!M51</f>
        <v>-1426.68</v>
      </c>
      <c r="L51" s="24"/>
      <c r="M51" s="27"/>
      <c r="N51" s="25">
        <f t="shared" si="1"/>
        <v>-1426.68</v>
      </c>
      <c r="O51" s="28">
        <f t="shared" si="2"/>
        <v>0.31999999999993634</v>
      </c>
    </row>
    <row r="52" spans="2:15" ht="15">
      <c r="B52" s="21">
        <v>47</v>
      </c>
      <c r="C52" s="21">
        <v>1995</v>
      </c>
      <c r="D52" s="31" t="s">
        <v>50</v>
      </c>
      <c r="E52" s="23">
        <v>0.04</v>
      </c>
      <c r="F52" s="24">
        <f>+'[3]App.2-B_Fixed Asset Cont 2011'!H52</f>
        <v>-8188457.3499999996</v>
      </c>
      <c r="G52" s="24">
        <v>-433861</v>
      </c>
      <c r="H52" s="27"/>
      <c r="I52" s="25">
        <f t="shared" si="0"/>
        <v>-8622318.3499999996</v>
      </c>
      <c r="J52" s="26"/>
      <c r="K52" s="24">
        <f>+'[3]App.2-B_Fixed Asset Cont 2011'!M52</f>
        <v>1719806.5499999998</v>
      </c>
      <c r="L52" s="24">
        <v>336986</v>
      </c>
      <c r="M52" s="27"/>
      <c r="N52" s="25">
        <f t="shared" si="1"/>
        <v>2056792.5499999998</v>
      </c>
      <c r="O52" s="28">
        <f t="shared" si="2"/>
        <v>-6565525.7999999998</v>
      </c>
    </row>
    <row r="53" spans="2:15" ht="15">
      <c r="B53" s="36"/>
      <c r="C53" s="36" t="s">
        <v>51</v>
      </c>
      <c r="D53" s="37"/>
      <c r="E53" s="23"/>
      <c r="F53" s="24"/>
      <c r="G53" s="24"/>
      <c r="H53" s="24"/>
      <c r="I53" s="25">
        <f t="shared" si="0"/>
        <v>0</v>
      </c>
      <c r="K53" s="24"/>
      <c r="L53" s="24"/>
      <c r="M53" s="24"/>
      <c r="N53" s="25">
        <f t="shared" si="1"/>
        <v>0</v>
      </c>
      <c r="O53" s="28">
        <f t="shared" si="2"/>
        <v>0</v>
      </c>
    </row>
    <row r="54" spans="2:15" ht="15">
      <c r="B54" s="36"/>
      <c r="C54" s="36"/>
      <c r="D54" s="37"/>
      <c r="E54" s="23"/>
      <c r="F54" s="38"/>
      <c r="G54" s="38"/>
      <c r="H54" s="38"/>
      <c r="I54" s="37"/>
      <c r="K54" s="38"/>
      <c r="L54" s="24"/>
      <c r="M54" s="38"/>
      <c r="N54" s="37"/>
      <c r="O54" s="37"/>
    </row>
    <row r="55" spans="2:15">
      <c r="B55" s="36"/>
      <c r="C55" s="36"/>
      <c r="D55" s="39" t="s">
        <v>52</v>
      </c>
      <c r="E55" s="39"/>
      <c r="F55" s="40">
        <f>SUM(F16:F54)</f>
        <v>46355641.400000013</v>
      </c>
      <c r="G55" s="40">
        <f t="shared" ref="G55:I55" si="3">SUM(G16:G54)</f>
        <v>3951756</v>
      </c>
      <c r="H55" s="40">
        <f t="shared" si="3"/>
        <v>-150000</v>
      </c>
      <c r="I55" s="40">
        <f t="shared" si="3"/>
        <v>50157397.400000013</v>
      </c>
      <c r="J55" s="40"/>
      <c r="K55" s="40">
        <f>SUM(K16:K54)</f>
        <v>-17079279.25</v>
      </c>
      <c r="L55" s="40">
        <f t="shared" ref="L55:O55" si="4">SUM(L16:L54)</f>
        <v>-2201348.6833333336</v>
      </c>
      <c r="M55" s="40">
        <f t="shared" si="4"/>
        <v>150000</v>
      </c>
      <c r="N55" s="40">
        <f t="shared" si="4"/>
        <v>-19130627.933333334</v>
      </c>
      <c r="O55" s="40">
        <f t="shared" si="4"/>
        <v>31026769.466666657</v>
      </c>
    </row>
    <row r="57" spans="2:15">
      <c r="E57" s="3"/>
      <c r="K57" s="41" t="s">
        <v>53</v>
      </c>
      <c r="L57" s="42"/>
    </row>
    <row r="58" spans="2:15" ht="15">
      <c r="B58" s="36">
        <v>10</v>
      </c>
      <c r="C58" s="36"/>
      <c r="D58" s="37" t="s">
        <v>54</v>
      </c>
      <c r="E58" s="3"/>
      <c r="K58" s="42" t="s">
        <v>54</v>
      </c>
      <c r="L58" s="42"/>
      <c r="M58" s="43"/>
    </row>
    <row r="59" spans="2:15" ht="15">
      <c r="B59" s="36">
        <v>8</v>
      </c>
      <c r="C59" s="36"/>
      <c r="D59" s="37" t="s">
        <v>40</v>
      </c>
      <c r="K59" s="42" t="s">
        <v>40</v>
      </c>
      <c r="L59" s="42"/>
      <c r="M59" s="44"/>
    </row>
    <row r="60" spans="2:15" ht="15">
      <c r="K60" s="45" t="s">
        <v>55</v>
      </c>
      <c r="M60" s="46">
        <f>M55-M58-M59</f>
        <v>150000</v>
      </c>
    </row>
    <row r="62" spans="2:15">
      <c r="B62" s="47" t="s">
        <v>56</v>
      </c>
    </row>
    <row r="64" spans="2:15">
      <c r="B64" s="1">
        <v>1</v>
      </c>
      <c r="C64" s="297" t="s">
        <v>57</v>
      </c>
      <c r="D64" s="297"/>
      <c r="E64" s="297"/>
      <c r="F64" s="297"/>
      <c r="G64" s="297"/>
      <c r="H64" s="297"/>
      <c r="I64" s="297"/>
      <c r="J64" s="297"/>
      <c r="K64" s="297"/>
      <c r="L64" s="297"/>
      <c r="M64" s="297"/>
      <c r="N64" s="297"/>
      <c r="O64" s="297"/>
    </row>
    <row r="65" spans="2:15">
      <c r="C65" s="297"/>
      <c r="D65" s="297"/>
      <c r="E65" s="297"/>
      <c r="F65" s="297"/>
      <c r="G65" s="297"/>
      <c r="H65" s="297"/>
      <c r="I65" s="297"/>
      <c r="J65" s="297"/>
      <c r="K65" s="297"/>
      <c r="L65" s="297"/>
      <c r="M65" s="297"/>
      <c r="N65" s="297"/>
      <c r="O65" s="297"/>
    </row>
    <row r="66" spans="2:15" ht="12.75" customHeight="1"/>
    <row r="67" spans="2:15">
      <c r="B67" s="1">
        <v>2</v>
      </c>
      <c r="C67" s="298" t="s">
        <v>58</v>
      </c>
      <c r="D67" s="298"/>
      <c r="E67" s="298"/>
      <c r="F67" s="298"/>
      <c r="G67" s="298"/>
      <c r="H67" s="298"/>
      <c r="I67" s="298"/>
      <c r="J67" s="298"/>
      <c r="K67" s="298"/>
      <c r="L67" s="298"/>
      <c r="M67" s="298"/>
      <c r="N67" s="298"/>
      <c r="O67" s="298"/>
    </row>
    <row r="68" spans="2:15">
      <c r="C68" s="298"/>
      <c r="D68" s="298"/>
      <c r="E68" s="298"/>
      <c r="F68" s="298"/>
      <c r="G68" s="298"/>
      <c r="H68" s="298"/>
      <c r="I68" s="298"/>
      <c r="J68" s="298"/>
      <c r="K68" s="298"/>
      <c r="L68" s="298"/>
      <c r="M68" s="298"/>
      <c r="N68" s="298"/>
      <c r="O68" s="298"/>
    </row>
    <row r="70" spans="2:15">
      <c r="B70" s="1">
        <v>3</v>
      </c>
      <c r="C70" s="292" t="s">
        <v>59</v>
      </c>
      <c r="D70" s="292"/>
      <c r="E70" s="292"/>
      <c r="F70" s="292"/>
      <c r="G70" s="292"/>
      <c r="H70" s="292"/>
      <c r="I70" s="292"/>
      <c r="J70" s="292"/>
      <c r="K70" s="292"/>
      <c r="L70" s="292"/>
      <c r="M70" s="292"/>
      <c r="N70" s="292"/>
      <c r="O70" s="292"/>
    </row>
    <row r="72" spans="2:15">
      <c r="B72" s="1">
        <v>4</v>
      </c>
      <c r="C72" s="48" t="s">
        <v>60</v>
      </c>
    </row>
  </sheetData>
  <mergeCells count="6">
    <mergeCell ref="C70:O70"/>
    <mergeCell ref="B9:O9"/>
    <mergeCell ref="B10:O10"/>
    <mergeCell ref="F14:I14"/>
    <mergeCell ref="C64:O65"/>
    <mergeCell ref="C67:O68"/>
  </mergeCells>
  <printOptions horizontalCentered="1"/>
  <pageMargins left="0.74803149606299213" right="0.74803149606299213" top="0.74803149606299213" bottom="0.70866141732283472" header="0.51181102362204722" footer="0.51181102362204722"/>
  <pageSetup scale="52" fitToHeight="0"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_01">
    <pageSetUpPr fitToPage="1"/>
  </sheetPr>
  <dimension ref="A1:AW44"/>
  <sheetViews>
    <sheetView zoomScale="75" workbookViewId="0">
      <pane xSplit="3" ySplit="7" topLeftCell="D8" activePane="bottomRight" state="frozen"/>
      <selection pane="topRight" activeCell="D1" sqref="D1"/>
      <selection pane="bottomLeft" activeCell="A8" sqref="A8"/>
      <selection pane="bottomRight" activeCell="K21" sqref="K21"/>
    </sheetView>
  </sheetViews>
  <sheetFormatPr defaultColWidth="9.140625" defaultRowHeight="12.75"/>
  <cols>
    <col min="1" max="1" width="5.85546875" style="50" customWidth="1"/>
    <col min="2" max="2" width="13.7109375" style="50" customWidth="1"/>
    <col min="3" max="3" width="10.42578125" style="50" customWidth="1"/>
    <col min="4" max="4" width="1.7109375" style="50" customWidth="1"/>
    <col min="5" max="5" width="12" style="50" customWidth="1"/>
    <col min="6" max="6" width="13.28515625" style="50" customWidth="1"/>
    <col min="7" max="7" width="12.7109375" style="50" customWidth="1"/>
    <col min="8" max="8" width="13.28515625" style="50" customWidth="1"/>
    <col min="9" max="9" width="12.7109375" style="50" customWidth="1"/>
    <col min="10" max="11" width="13.28515625" style="50" customWidth="1"/>
    <col min="12" max="14" width="12.7109375" style="50" customWidth="1"/>
    <col min="15" max="15" width="12.28515625" style="50" customWidth="1"/>
    <col min="16" max="18" width="13.28515625" style="50" customWidth="1"/>
    <col min="19" max="19" width="12.7109375" style="50" customWidth="1"/>
    <col min="20" max="20" width="13.28515625" style="50" customWidth="1"/>
    <col min="21" max="22" width="12.7109375" style="50" customWidth="1"/>
    <col min="23" max="26" width="12" style="50" customWidth="1"/>
    <col min="27" max="27" width="10.85546875" style="50" customWidth="1"/>
    <col min="28" max="34" width="10.42578125" style="50" customWidth="1"/>
    <col min="35" max="16384" width="9.140625" style="50"/>
  </cols>
  <sheetData>
    <row r="1" spans="1:49" ht="23.25">
      <c r="A1" s="49" t="s">
        <v>61</v>
      </c>
    </row>
    <row r="2" spans="1:49" ht="15.75">
      <c r="A2" s="51" t="s">
        <v>62</v>
      </c>
      <c r="F2" s="2"/>
      <c r="G2" s="2"/>
      <c r="H2" s="2"/>
      <c r="I2" s="2"/>
      <c r="J2" s="2"/>
      <c r="K2" s="2"/>
      <c r="L2" s="2"/>
      <c r="M2" s="2"/>
      <c r="N2" s="2"/>
      <c r="O2" s="2"/>
      <c r="P2" s="2"/>
      <c r="Q2" s="2"/>
      <c r="R2" s="2"/>
      <c r="S2" s="2"/>
      <c r="T2" s="2"/>
      <c r="U2" s="2"/>
      <c r="V2" s="2"/>
      <c r="W2" s="2"/>
      <c r="X2" s="2"/>
      <c r="Y2" s="2"/>
      <c r="Z2" s="2"/>
      <c r="AA2" s="2"/>
      <c r="AB2" s="2"/>
      <c r="AC2" s="2"/>
      <c r="AD2" s="2"/>
      <c r="AE2" s="2"/>
    </row>
    <row r="3" spans="1:49">
      <c r="F3" s="52"/>
      <c r="G3" s="52"/>
      <c r="H3" s="52"/>
      <c r="I3" s="52"/>
      <c r="J3" s="52"/>
      <c r="K3" s="52"/>
      <c r="L3" s="52"/>
      <c r="M3" s="52"/>
      <c r="N3" s="52"/>
      <c r="O3" s="52"/>
      <c r="P3" s="52"/>
      <c r="Q3" s="52"/>
      <c r="R3" s="52"/>
      <c r="S3" s="52"/>
      <c r="T3" s="52"/>
      <c r="U3" s="52"/>
      <c r="V3" s="52"/>
      <c r="W3" s="52"/>
      <c r="X3" s="52"/>
      <c r="Y3" s="52"/>
      <c r="Z3" s="52"/>
      <c r="AA3" s="52"/>
      <c r="AB3" s="52"/>
      <c r="AC3" s="52"/>
      <c r="AD3" s="52"/>
      <c r="AE3" s="52"/>
    </row>
    <row r="4" spans="1:49" ht="15.75">
      <c r="A4" s="51" t="s">
        <v>63</v>
      </c>
      <c r="B4" s="51" t="s">
        <v>64</v>
      </c>
    </row>
    <row r="6" spans="1:49" ht="15.75">
      <c r="A6" s="53" t="s">
        <v>65</v>
      </c>
    </row>
    <row r="7" spans="1:49" ht="25.5">
      <c r="A7" s="54" t="s">
        <v>66</v>
      </c>
      <c r="B7" s="54" t="s">
        <v>67</v>
      </c>
      <c r="C7" s="54" t="s">
        <v>68</v>
      </c>
      <c r="D7" s="55"/>
      <c r="E7" s="56">
        <v>2006</v>
      </c>
      <c r="F7" s="56">
        <f>E7+1</f>
        <v>2007</v>
      </c>
      <c r="G7" s="56">
        <f t="shared" ref="G7:AE7" si="0">F7+1</f>
        <v>2008</v>
      </c>
      <c r="H7" s="56">
        <f t="shared" si="0"/>
        <v>2009</v>
      </c>
      <c r="I7" s="56">
        <f t="shared" si="0"/>
        <v>2010</v>
      </c>
      <c r="J7" s="56">
        <f t="shared" si="0"/>
        <v>2011</v>
      </c>
      <c r="K7" s="56">
        <f t="shared" si="0"/>
        <v>2012</v>
      </c>
      <c r="L7" s="56">
        <f t="shared" si="0"/>
        <v>2013</v>
      </c>
      <c r="M7" s="56">
        <f t="shared" si="0"/>
        <v>2014</v>
      </c>
      <c r="N7" s="56">
        <f t="shared" si="0"/>
        <v>2015</v>
      </c>
      <c r="O7" s="56">
        <f t="shared" si="0"/>
        <v>2016</v>
      </c>
      <c r="P7" s="56">
        <f t="shared" si="0"/>
        <v>2017</v>
      </c>
      <c r="Q7" s="56">
        <f t="shared" si="0"/>
        <v>2018</v>
      </c>
      <c r="R7" s="56">
        <f t="shared" si="0"/>
        <v>2019</v>
      </c>
      <c r="S7" s="56">
        <f t="shared" si="0"/>
        <v>2020</v>
      </c>
      <c r="T7" s="56">
        <f t="shared" si="0"/>
        <v>2021</v>
      </c>
      <c r="U7" s="56">
        <f t="shared" si="0"/>
        <v>2022</v>
      </c>
      <c r="V7" s="56">
        <f t="shared" si="0"/>
        <v>2023</v>
      </c>
      <c r="W7" s="56">
        <f t="shared" si="0"/>
        <v>2024</v>
      </c>
      <c r="X7" s="56">
        <f t="shared" si="0"/>
        <v>2025</v>
      </c>
      <c r="Y7" s="56">
        <f t="shared" si="0"/>
        <v>2026</v>
      </c>
      <c r="Z7" s="56">
        <f t="shared" si="0"/>
        <v>2027</v>
      </c>
      <c r="AA7" s="56">
        <f t="shared" si="0"/>
        <v>2028</v>
      </c>
      <c r="AB7" s="56">
        <f t="shared" si="0"/>
        <v>2029</v>
      </c>
      <c r="AC7" s="56">
        <f t="shared" si="0"/>
        <v>2030</v>
      </c>
      <c r="AD7" s="56">
        <f t="shared" si="0"/>
        <v>2031</v>
      </c>
      <c r="AE7" s="56">
        <f t="shared" si="0"/>
        <v>2032</v>
      </c>
      <c r="AF7" s="56">
        <f>AE7+1</f>
        <v>2033</v>
      </c>
      <c r="AG7" s="56">
        <f>AF7+1</f>
        <v>2034</v>
      </c>
      <c r="AH7" s="56">
        <f>AG7+1</f>
        <v>2035</v>
      </c>
      <c r="AI7" s="56">
        <f t="shared" ref="AI7:AW7" si="1">AH7+1</f>
        <v>2036</v>
      </c>
      <c r="AJ7" s="56">
        <f t="shared" si="1"/>
        <v>2037</v>
      </c>
      <c r="AK7" s="56">
        <f t="shared" si="1"/>
        <v>2038</v>
      </c>
      <c r="AL7" s="56">
        <f t="shared" si="1"/>
        <v>2039</v>
      </c>
      <c r="AM7" s="56">
        <f t="shared" si="1"/>
        <v>2040</v>
      </c>
      <c r="AN7" s="56">
        <f t="shared" si="1"/>
        <v>2041</v>
      </c>
      <c r="AO7" s="56">
        <f t="shared" si="1"/>
        <v>2042</v>
      </c>
      <c r="AP7" s="56">
        <f t="shared" si="1"/>
        <v>2043</v>
      </c>
      <c r="AQ7" s="56">
        <f t="shared" si="1"/>
        <v>2044</v>
      </c>
      <c r="AR7" s="56">
        <f t="shared" si="1"/>
        <v>2045</v>
      </c>
      <c r="AS7" s="56">
        <f t="shared" si="1"/>
        <v>2046</v>
      </c>
      <c r="AT7" s="56">
        <f t="shared" si="1"/>
        <v>2047</v>
      </c>
      <c r="AU7" s="56">
        <f t="shared" si="1"/>
        <v>2048</v>
      </c>
      <c r="AV7" s="56">
        <f t="shared" si="1"/>
        <v>2049</v>
      </c>
      <c r="AW7" s="56">
        <f t="shared" si="1"/>
        <v>2050</v>
      </c>
    </row>
    <row r="8" spans="1:49" ht="5.0999999999999996" customHeight="1">
      <c r="A8" s="57"/>
      <c r="B8" s="57"/>
      <c r="C8" s="57"/>
      <c r="D8" s="57"/>
    </row>
    <row r="9" spans="1:49">
      <c r="A9" s="58">
        <v>1</v>
      </c>
      <c r="B9" s="59" t="s">
        <v>69</v>
      </c>
      <c r="C9" s="60" t="s">
        <v>70</v>
      </c>
      <c r="D9" s="57"/>
      <c r="E9" s="61">
        <f>'[5]Initiative Level - LDC'!G75</f>
        <v>0.96277871555935501</v>
      </c>
      <c r="F9" s="62">
        <f>'[5]Initiative Level - LDC'!H75</f>
        <v>9.4051384476906072E-2</v>
      </c>
      <c r="G9" s="62">
        <f>'[5]Initiative Level - LDC'!I75</f>
        <v>9.4051384476906072E-2</v>
      </c>
      <c r="H9" s="62">
        <f>'[5]Initiative Level - LDC'!J75</f>
        <v>9.4051384476906072E-2</v>
      </c>
      <c r="I9" s="62">
        <f>'[5]Initiative Level - LDC'!K75</f>
        <v>9.4051384476906072E-2</v>
      </c>
      <c r="J9" s="62">
        <f>'[5]Initiative Level - LDC'!L75</f>
        <v>9.4051384476906072E-2</v>
      </c>
      <c r="K9" s="62">
        <f>'[5]Initiative Level - LDC'!M75</f>
        <v>8.7531877809225916E-2</v>
      </c>
      <c r="L9" s="62">
        <f>'[5]Initiative Level - LDC'!N75</f>
        <v>8.7531877809225916E-2</v>
      </c>
      <c r="M9" s="62">
        <f>'[5]Initiative Level - LDC'!O75</f>
        <v>6.8460389136908786E-2</v>
      </c>
      <c r="N9" s="62">
        <f>'[5]Initiative Level - LDC'!P75</f>
        <v>6.8460389136908786E-2</v>
      </c>
      <c r="O9" s="62">
        <f>'[5]Initiative Level - LDC'!Q75</f>
        <v>6.8460389136908786E-2</v>
      </c>
      <c r="P9" s="62">
        <f>'[5]Initiative Level - LDC'!R75</f>
        <v>6.8460389136908786E-2</v>
      </c>
      <c r="Q9" s="62">
        <f>'[5]Initiative Level - LDC'!S75</f>
        <v>6.8460389136908786E-2</v>
      </c>
      <c r="R9" s="62">
        <f>'[5]Initiative Level - LDC'!T75</f>
        <v>6.8460389136908786E-2</v>
      </c>
      <c r="S9" s="62">
        <f>'[5]Initiative Level - LDC'!U75</f>
        <v>4.1899100196245015E-2</v>
      </c>
      <c r="T9" s="62">
        <f>'[5]Initiative Level - LDC'!V75</f>
        <v>2.860005082567689E-2</v>
      </c>
      <c r="U9" s="62">
        <f>'[5]Initiative Level - LDC'!W75</f>
        <v>2.860005082567689E-2</v>
      </c>
      <c r="V9" s="62">
        <f>'[5]Initiative Level - LDC'!X75</f>
        <v>2.860005082567689E-2</v>
      </c>
      <c r="W9" s="62">
        <f>'[5]Initiative Level - LDC'!Y75</f>
        <v>8.0413312709485055E-4</v>
      </c>
      <c r="X9" s="62">
        <f>'[5]Initiative Level - LDC'!Z75</f>
        <v>8.0413312709485055E-4</v>
      </c>
      <c r="Y9" s="62">
        <f>'[5]Initiative Level - LDC'!AA75</f>
        <v>0</v>
      </c>
      <c r="Z9" s="62">
        <f>'[5]Initiative Level - LDC'!AB75</f>
        <v>0</v>
      </c>
      <c r="AA9" s="62">
        <f>'[5]Initiative Level - LDC'!AC75</f>
        <v>0</v>
      </c>
      <c r="AB9" s="62">
        <f>'[5]Initiative Level - LDC'!AD75</f>
        <v>0</v>
      </c>
      <c r="AC9" s="62">
        <f>'[5]Initiative Level - LDC'!AE75</f>
        <v>0</v>
      </c>
      <c r="AD9" s="62">
        <f>'[5]Initiative Level - LDC'!AF75</f>
        <v>0</v>
      </c>
      <c r="AE9" s="62">
        <f>'[5]Initiative Level - LDC'!AG75</f>
        <v>0</v>
      </c>
      <c r="AF9" s="62">
        <f>'[5]Initiative Level - LDC'!AH75</f>
        <v>0</v>
      </c>
      <c r="AG9" s="62">
        <f>'[5]Initiative Level - LDC'!AI75</f>
        <v>0</v>
      </c>
      <c r="AH9" s="63">
        <f>'[5]Initiative Level - LDC'!BH75</f>
        <v>0</v>
      </c>
      <c r="AI9" s="62">
        <v>0</v>
      </c>
      <c r="AJ9" s="62">
        <v>0</v>
      </c>
      <c r="AK9" s="62">
        <v>0</v>
      </c>
      <c r="AL9" s="62">
        <v>0</v>
      </c>
      <c r="AM9" s="62">
        <v>0</v>
      </c>
      <c r="AN9" s="62">
        <v>0</v>
      </c>
      <c r="AO9" s="62">
        <v>0</v>
      </c>
      <c r="AP9" s="62">
        <v>0</v>
      </c>
      <c r="AQ9" s="62">
        <v>0</v>
      </c>
      <c r="AR9" s="62">
        <v>0</v>
      </c>
      <c r="AS9" s="62">
        <v>0</v>
      </c>
      <c r="AT9" s="62">
        <v>0</v>
      </c>
      <c r="AU9" s="62">
        <v>0</v>
      </c>
      <c r="AV9" s="62">
        <v>0</v>
      </c>
      <c r="AW9" s="64">
        <v>0</v>
      </c>
    </row>
    <row r="10" spans="1:49">
      <c r="A10" s="65">
        <f>A9+1</f>
        <v>2</v>
      </c>
      <c r="B10" s="66" t="s">
        <v>71</v>
      </c>
      <c r="C10" s="67" t="s">
        <v>70</v>
      </c>
      <c r="D10" s="57"/>
      <c r="E10" s="68">
        <f>'[5]Initiative Level - LDC'!G77</f>
        <v>0</v>
      </c>
      <c r="F10" s="69">
        <f>'[5]Initiative Level - LDC'!H77</f>
        <v>1.3607379582745522</v>
      </c>
      <c r="G10" s="69">
        <f>'[5]Initiative Level - LDC'!I77</f>
        <v>0.18935301783920722</v>
      </c>
      <c r="H10" s="69">
        <f>'[5]Initiative Level - LDC'!J77</f>
        <v>0.15833080838005315</v>
      </c>
      <c r="I10" s="69">
        <f>'[5]Initiative Level - LDC'!K77</f>
        <v>0.15833080838005315</v>
      </c>
      <c r="J10" s="69">
        <f>'[5]Initiative Level - LDC'!L77</f>
        <v>0.15639450766217958</v>
      </c>
      <c r="K10" s="69">
        <f>'[5]Initiative Level - LDC'!M77</f>
        <v>0.15052918287796588</v>
      </c>
      <c r="L10" s="69">
        <f>'[5]Initiative Level - LDC'!N77</f>
        <v>0.15052918287796588</v>
      </c>
      <c r="M10" s="69">
        <f>'[5]Initiative Level - LDC'!O77</f>
        <v>0.15052918287796588</v>
      </c>
      <c r="N10" s="69">
        <f>'[5]Initiative Level - LDC'!P77</f>
        <v>0.13073768122011745</v>
      </c>
      <c r="O10" s="69">
        <f>'[5]Initiative Level - LDC'!Q77</f>
        <v>0.1244005994911945</v>
      </c>
      <c r="P10" s="69">
        <f>'[5]Initiative Level - LDC'!R77</f>
        <v>0.11159382135527508</v>
      </c>
      <c r="Q10" s="69">
        <f>'[5]Initiative Level - LDC'!S77</f>
        <v>0.11159382135527508</v>
      </c>
      <c r="R10" s="69">
        <f>'[5]Initiative Level - LDC'!T77</f>
        <v>0.11159382135527508</v>
      </c>
      <c r="S10" s="69">
        <f>'[5]Initiative Level - LDC'!U77</f>
        <v>0.11159382135527508</v>
      </c>
      <c r="T10" s="69">
        <f>'[5]Initiative Level - LDC'!V77</f>
        <v>8.3047019230653371E-2</v>
      </c>
      <c r="U10" s="69">
        <f>'[5]Initiative Level - LDC'!W77</f>
        <v>2.6350488891420498E-2</v>
      </c>
      <c r="V10" s="69">
        <f>'[5]Initiative Level - LDC'!X77</f>
        <v>2.6203252093553706E-2</v>
      </c>
      <c r="W10" s="69">
        <f>'[5]Initiative Level - LDC'!Y77</f>
        <v>2.6203252093553706E-2</v>
      </c>
      <c r="X10" s="69">
        <f>'[5]Initiative Level - LDC'!Z77</f>
        <v>1.3193333333333335E-2</v>
      </c>
      <c r="Y10" s="69">
        <f>'[5]Initiative Level - LDC'!AA77</f>
        <v>0</v>
      </c>
      <c r="Z10" s="69">
        <f>'[5]Initiative Level - LDC'!AB77</f>
        <v>0</v>
      </c>
      <c r="AA10" s="69">
        <f>'[5]Initiative Level - LDC'!AC77</f>
        <v>0</v>
      </c>
      <c r="AB10" s="69">
        <f>'[5]Initiative Level - LDC'!AD77</f>
        <v>0</v>
      </c>
      <c r="AC10" s="69">
        <f>'[5]Initiative Level - LDC'!AE77</f>
        <v>0</v>
      </c>
      <c r="AD10" s="69">
        <f>'[5]Initiative Level - LDC'!AF77</f>
        <v>0</v>
      </c>
      <c r="AE10" s="69">
        <f>'[5]Initiative Level - LDC'!AG77</f>
        <v>0</v>
      </c>
      <c r="AF10" s="69">
        <f>'[5]Initiative Level - LDC'!AH77</f>
        <v>0</v>
      </c>
      <c r="AG10" s="69">
        <f>'[5]Initiative Level - LDC'!AI77</f>
        <v>0</v>
      </c>
      <c r="AH10" s="70">
        <f>'[5]Initiative Level - LDC'!BH77</f>
        <v>0</v>
      </c>
      <c r="AI10" s="69">
        <v>0</v>
      </c>
      <c r="AJ10" s="69">
        <v>0</v>
      </c>
      <c r="AK10" s="69">
        <v>0</v>
      </c>
      <c r="AL10" s="69">
        <v>0</v>
      </c>
      <c r="AM10" s="69">
        <v>0</v>
      </c>
      <c r="AN10" s="69">
        <v>0</v>
      </c>
      <c r="AO10" s="69">
        <v>0</v>
      </c>
      <c r="AP10" s="69">
        <v>0</v>
      </c>
      <c r="AQ10" s="69">
        <v>0</v>
      </c>
      <c r="AR10" s="69">
        <v>0</v>
      </c>
      <c r="AS10" s="69">
        <v>0</v>
      </c>
      <c r="AT10" s="69">
        <v>0</v>
      </c>
      <c r="AU10" s="69">
        <v>0</v>
      </c>
      <c r="AV10" s="69">
        <v>0</v>
      </c>
      <c r="AW10" s="71">
        <v>0</v>
      </c>
    </row>
    <row r="11" spans="1:49">
      <c r="A11" s="72">
        <f>A10+1</f>
        <v>3</v>
      </c>
      <c r="B11" s="73" t="s">
        <v>72</v>
      </c>
      <c r="C11" s="74" t="s">
        <v>70</v>
      </c>
      <c r="D11" s="57"/>
      <c r="E11" s="75">
        <f>'[5]Initiative Level - LDC'!G79</f>
        <v>0</v>
      </c>
      <c r="F11" s="76">
        <f>'[5]Initiative Level - LDC'!H79</f>
        <v>0</v>
      </c>
      <c r="G11" s="76">
        <f>'[5]Initiative Level - LDC'!I79</f>
        <v>1.8759687530518767</v>
      </c>
      <c r="H11" s="76">
        <f>'[5]Initiative Level - LDC'!J79</f>
        <v>0.13511822456668166</v>
      </c>
      <c r="I11" s="76">
        <f>'[5]Initiative Level - LDC'!K79</f>
        <v>0.13511822456668166</v>
      </c>
      <c r="J11" s="76">
        <f>'[5]Initiative Level - LDC'!L79</f>
        <v>0.13511822456668166</v>
      </c>
      <c r="K11" s="76">
        <f>'[5]Initiative Level - LDC'!M79</f>
        <v>0.13166038609968755</v>
      </c>
      <c r="L11" s="76">
        <f>'[5]Initiative Level - LDC'!N79</f>
        <v>0.13166038609968755</v>
      </c>
      <c r="M11" s="76">
        <f>'[5]Initiative Level - LDC'!O79</f>
        <v>0.12485091710691069</v>
      </c>
      <c r="N11" s="76">
        <f>'[5]Initiative Level - LDC'!P79</f>
        <v>0.12255099246883355</v>
      </c>
      <c r="O11" s="76">
        <f>'[5]Initiative Level - LDC'!Q79</f>
        <v>0.11274561593006628</v>
      </c>
      <c r="P11" s="76">
        <f>'[5]Initiative Level - LDC'!R79</f>
        <v>9.5185227734474312E-2</v>
      </c>
      <c r="Q11" s="76">
        <f>'[5]Initiative Level - LDC'!S79</f>
        <v>9.3755513841150995E-2</v>
      </c>
      <c r="R11" s="76">
        <f>'[5]Initiative Level - LDC'!T79</f>
        <v>9.3755513841150995E-2</v>
      </c>
      <c r="S11" s="76">
        <f>'[5]Initiative Level - LDC'!U79</f>
        <v>8.832955807230447E-2</v>
      </c>
      <c r="T11" s="76">
        <f>'[5]Initiative Level - LDC'!V79</f>
        <v>8.832955807230447E-2</v>
      </c>
      <c r="U11" s="76">
        <f>'[5]Initiative Level - LDC'!W79</f>
        <v>8.7261629826727638E-2</v>
      </c>
      <c r="V11" s="76">
        <f>'[5]Initiative Level - LDC'!X79</f>
        <v>7.2564301779759158E-2</v>
      </c>
      <c r="W11" s="76">
        <f>'[5]Initiative Level - LDC'!Y79</f>
        <v>6.7360548853918539E-2</v>
      </c>
      <c r="X11" s="76">
        <f>'[5]Initiative Level - LDC'!Z79</f>
        <v>6.7360548853918539E-2</v>
      </c>
      <c r="Y11" s="76">
        <f>'[5]Initiative Level - LDC'!AA79</f>
        <v>4.3200000000000001E-3</v>
      </c>
      <c r="Z11" s="76">
        <f>'[5]Initiative Level - LDC'!AB79</f>
        <v>4.3200000000000001E-3</v>
      </c>
      <c r="AA11" s="76">
        <f>'[5]Initiative Level - LDC'!AC79</f>
        <v>0</v>
      </c>
      <c r="AB11" s="76">
        <f>'[5]Initiative Level - LDC'!AD79</f>
        <v>0</v>
      </c>
      <c r="AC11" s="76">
        <f>'[5]Initiative Level - LDC'!AE79</f>
        <v>0</v>
      </c>
      <c r="AD11" s="76">
        <f>'[5]Initiative Level - LDC'!AF79</f>
        <v>0</v>
      </c>
      <c r="AE11" s="76">
        <f>'[5]Initiative Level - LDC'!AG79</f>
        <v>0</v>
      </c>
      <c r="AF11" s="76">
        <f>'[5]Initiative Level - LDC'!AH79</f>
        <v>0</v>
      </c>
      <c r="AG11" s="76">
        <f>'[5]Initiative Level - LDC'!AI79</f>
        <v>0</v>
      </c>
      <c r="AH11" s="77">
        <f>'[5]Initiative Level - LDC'!BH79</f>
        <v>0</v>
      </c>
      <c r="AI11" s="76">
        <v>0</v>
      </c>
      <c r="AJ11" s="76">
        <v>0</v>
      </c>
      <c r="AK11" s="76">
        <v>0</v>
      </c>
      <c r="AL11" s="76">
        <v>0</v>
      </c>
      <c r="AM11" s="76">
        <v>0</v>
      </c>
      <c r="AN11" s="76">
        <v>0</v>
      </c>
      <c r="AO11" s="76">
        <v>0</v>
      </c>
      <c r="AP11" s="76">
        <v>0</v>
      </c>
      <c r="AQ11" s="76">
        <v>0</v>
      </c>
      <c r="AR11" s="76">
        <v>0</v>
      </c>
      <c r="AS11" s="76">
        <v>0</v>
      </c>
      <c r="AT11" s="76">
        <v>0</v>
      </c>
      <c r="AU11" s="76">
        <v>0</v>
      </c>
      <c r="AV11" s="76">
        <v>0</v>
      </c>
      <c r="AW11" s="78">
        <v>0</v>
      </c>
    </row>
    <row r="12" spans="1:49">
      <c r="A12" s="65">
        <f>A11+1</f>
        <v>4</v>
      </c>
      <c r="B12" s="66" t="s">
        <v>73</v>
      </c>
      <c r="C12" s="67" t="s">
        <v>70</v>
      </c>
      <c r="D12" s="57"/>
      <c r="E12" s="68">
        <f>'[5]Initiative Level - LDC'!G81</f>
        <v>0</v>
      </c>
      <c r="F12" s="69">
        <f>'[5]Initiative Level - LDC'!H81</f>
        <v>0</v>
      </c>
      <c r="G12" s="69">
        <f>'[5]Initiative Level - LDC'!I81</f>
        <v>0</v>
      </c>
      <c r="H12" s="69">
        <f>'[5]Initiative Level - LDC'!J81</f>
        <v>1.7619351986106757</v>
      </c>
      <c r="I12" s="69">
        <f>'[5]Initiative Level - LDC'!K81</f>
        <v>0.17852716185297182</v>
      </c>
      <c r="J12" s="69">
        <f>'[5]Initiative Level - LDC'!L81</f>
        <v>0.17852716185297182</v>
      </c>
      <c r="K12" s="69">
        <f>'[5]Initiative Level - LDC'!M81</f>
        <v>0.1772118732658588</v>
      </c>
      <c r="L12" s="69">
        <f>'[5]Initiative Level - LDC'!N81</f>
        <v>0.16704132873468716</v>
      </c>
      <c r="M12" s="69">
        <f>'[5]Initiative Level - LDC'!O81</f>
        <v>0.14518090522476162</v>
      </c>
      <c r="N12" s="69">
        <f>'[5]Initiative Level - LDC'!P81</f>
        <v>0.14315564858043589</v>
      </c>
      <c r="O12" s="69">
        <f>'[5]Initiative Level - LDC'!Q81</f>
        <v>0.14315564858043589</v>
      </c>
      <c r="P12" s="69">
        <f>'[5]Initiative Level - LDC'!R81</f>
        <v>0.13712173783952225</v>
      </c>
      <c r="Q12" s="69">
        <f>'[5]Initiative Level - LDC'!S81</f>
        <v>0.13712173783952225</v>
      </c>
      <c r="R12" s="69">
        <f>'[5]Initiative Level - LDC'!T81</f>
        <v>0.13331560252463315</v>
      </c>
      <c r="S12" s="69">
        <f>'[5]Initiative Level - LDC'!U81</f>
        <v>0.13330835914773623</v>
      </c>
      <c r="T12" s="69">
        <f>'[5]Initiative Level - LDC'!V81</f>
        <v>0.12475616723189384</v>
      </c>
      <c r="U12" s="69">
        <f>'[5]Initiative Level - LDC'!W81</f>
        <v>0.12475616723189384</v>
      </c>
      <c r="V12" s="69">
        <f>'[5]Initiative Level - LDC'!X81</f>
        <v>0.12434472522790056</v>
      </c>
      <c r="W12" s="69">
        <f>'[5]Initiative Level - LDC'!Y81</f>
        <v>0.11485182841327438</v>
      </c>
      <c r="X12" s="69">
        <f>'[5]Initiative Level - LDC'!Z81</f>
        <v>0.11404900965389668</v>
      </c>
      <c r="Y12" s="69">
        <f>'[5]Initiative Level - LDC'!AA81</f>
        <v>0.11404900965389668</v>
      </c>
      <c r="Z12" s="69">
        <f>'[5]Initiative Level - LDC'!AB81</f>
        <v>8.7074482782031198E-2</v>
      </c>
      <c r="AA12" s="69">
        <f>'[5]Initiative Level - LDC'!AC81</f>
        <v>1.2858666812659241E-2</v>
      </c>
      <c r="AB12" s="69">
        <f>'[5]Initiative Level - LDC'!AD81</f>
        <v>0</v>
      </c>
      <c r="AC12" s="69">
        <f>'[5]Initiative Level - LDC'!AE81</f>
        <v>0</v>
      </c>
      <c r="AD12" s="69">
        <f>'[5]Initiative Level - LDC'!AF81</f>
        <v>0</v>
      </c>
      <c r="AE12" s="69">
        <f>'[5]Initiative Level - LDC'!AG81</f>
        <v>0</v>
      </c>
      <c r="AF12" s="69">
        <f>'[5]Initiative Level - LDC'!AH81</f>
        <v>0</v>
      </c>
      <c r="AG12" s="69">
        <f>'[5]Initiative Level - LDC'!AI81</f>
        <v>0</v>
      </c>
      <c r="AH12" s="70">
        <f>'[5]Initiative Level - LDC'!BH81</f>
        <v>0</v>
      </c>
      <c r="AI12" s="69">
        <v>0</v>
      </c>
      <c r="AJ12" s="69">
        <v>0</v>
      </c>
      <c r="AK12" s="69">
        <v>0</v>
      </c>
      <c r="AL12" s="69">
        <v>0</v>
      </c>
      <c r="AM12" s="69">
        <v>0</v>
      </c>
      <c r="AN12" s="69">
        <v>0</v>
      </c>
      <c r="AO12" s="69">
        <v>0</v>
      </c>
      <c r="AP12" s="69">
        <v>0</v>
      </c>
      <c r="AQ12" s="69">
        <v>0</v>
      </c>
      <c r="AR12" s="69">
        <v>0</v>
      </c>
      <c r="AS12" s="69">
        <v>0</v>
      </c>
      <c r="AT12" s="69">
        <v>0</v>
      </c>
      <c r="AU12" s="69">
        <v>0</v>
      </c>
      <c r="AV12" s="69">
        <v>0</v>
      </c>
      <c r="AW12" s="71">
        <v>0</v>
      </c>
    </row>
    <row r="13" spans="1:49">
      <c r="A13" s="72">
        <f>A12+1</f>
        <v>5</v>
      </c>
      <c r="B13" s="73" t="s">
        <v>74</v>
      </c>
      <c r="C13" s="74" t="s">
        <v>70</v>
      </c>
      <c r="D13" s="57"/>
      <c r="E13" s="75">
        <f>'[5]Initiative Level - LDC'!G83</f>
        <v>0</v>
      </c>
      <c r="F13" s="76">
        <f>'[5]Initiative Level - LDC'!H83</f>
        <v>0</v>
      </c>
      <c r="G13" s="76">
        <f>'[5]Initiative Level - LDC'!I83</f>
        <v>0</v>
      </c>
      <c r="H13" s="76">
        <f>'[5]Initiative Level - LDC'!J83</f>
        <v>0</v>
      </c>
      <c r="I13" s="76">
        <f>'[5]Initiative Level - LDC'!K83</f>
        <v>1.7465898247440372</v>
      </c>
      <c r="J13" s="76">
        <f>'[5]Initiative Level - LDC'!L83</f>
        <v>0.41721002355472725</v>
      </c>
      <c r="K13" s="76">
        <f>'[5]Initiative Level - LDC'!M83</f>
        <v>0.41700354388931155</v>
      </c>
      <c r="L13" s="76">
        <f>'[5]Initiative Level - LDC'!N83</f>
        <v>0.41402096465104049</v>
      </c>
      <c r="M13" s="76">
        <f>'[5]Initiative Level - LDC'!O83</f>
        <v>0.39766588485358195</v>
      </c>
      <c r="N13" s="76">
        <f>'[5]Initiative Level - LDC'!P83</f>
        <v>0.36953825617828079</v>
      </c>
      <c r="O13" s="76">
        <f>'[5]Initiative Level - LDC'!Q83</f>
        <v>0.36920455351300524</v>
      </c>
      <c r="P13" s="76">
        <f>'[5]Initiative Level - LDC'!R83</f>
        <v>0.36920455351300524</v>
      </c>
      <c r="Q13" s="76">
        <f>'[5]Initiative Level - LDC'!S83</f>
        <v>0.23882025822489589</v>
      </c>
      <c r="R13" s="76">
        <f>'[5]Initiative Level - LDC'!T83</f>
        <v>0.2362768268521378</v>
      </c>
      <c r="S13" s="76">
        <f>'[5]Initiative Level - LDC'!U83</f>
        <v>9.7009806640529411E-2</v>
      </c>
      <c r="T13" s="76">
        <f>'[5]Initiative Level - LDC'!V83</f>
        <v>9.7009806640529411E-2</v>
      </c>
      <c r="U13" s="76">
        <f>'[5]Initiative Level - LDC'!W83</f>
        <v>9.676728863886086E-2</v>
      </c>
      <c r="V13" s="76">
        <f>'[5]Initiative Level - LDC'!X83</f>
        <v>9.676728863886086E-2</v>
      </c>
      <c r="W13" s="76">
        <f>'[5]Initiative Level - LDC'!Y83</f>
        <v>9.676728863886086E-2</v>
      </c>
      <c r="X13" s="76">
        <f>'[5]Initiative Level - LDC'!Z83</f>
        <v>9.2899681266859796E-2</v>
      </c>
      <c r="Y13" s="76">
        <f>'[5]Initiative Level - LDC'!AA83</f>
        <v>9.2481453705237276E-2</v>
      </c>
      <c r="Z13" s="76">
        <f>'[5]Initiative Level - LDC'!AB83</f>
        <v>9.2481453705237276E-2</v>
      </c>
      <c r="AA13" s="76">
        <f>'[5]Initiative Level - LDC'!AC83</f>
        <v>8.6731164967140228E-2</v>
      </c>
      <c r="AB13" s="76">
        <f>'[5]Initiative Level - LDC'!AD83</f>
        <v>4.2905982982965774E-2</v>
      </c>
      <c r="AC13" s="76">
        <f>'[5]Initiative Level - LDC'!AE83</f>
        <v>0</v>
      </c>
      <c r="AD13" s="76">
        <f>'[5]Initiative Level - LDC'!AF83</f>
        <v>0</v>
      </c>
      <c r="AE13" s="76">
        <f>'[5]Initiative Level - LDC'!AG83</f>
        <v>0</v>
      </c>
      <c r="AF13" s="76">
        <f>'[5]Initiative Level - LDC'!AH83</f>
        <v>0</v>
      </c>
      <c r="AG13" s="76">
        <f>'[5]Initiative Level - LDC'!AI83</f>
        <v>0</v>
      </c>
      <c r="AH13" s="77">
        <f>'[5]Initiative Level - LDC'!AJ83</f>
        <v>0</v>
      </c>
      <c r="AI13" s="76">
        <f>'[5]Initiative Level - LDC'!AK83</f>
        <v>0</v>
      </c>
      <c r="AJ13" s="76">
        <f>'[5]Initiative Level - LDC'!AL83</f>
        <v>0</v>
      </c>
      <c r="AK13" s="76">
        <f>'[5]Initiative Level - LDC'!AM83</f>
        <v>0</v>
      </c>
      <c r="AL13" s="76">
        <f>'[5]Initiative Level - LDC'!AN83</f>
        <v>0</v>
      </c>
      <c r="AM13" s="76">
        <f>'[5]Initiative Level - LDC'!AO83</f>
        <v>0</v>
      </c>
      <c r="AN13" s="76">
        <f>'[5]Initiative Level - LDC'!AP83</f>
        <v>0</v>
      </c>
      <c r="AO13" s="76">
        <f>'[5]Initiative Level - LDC'!AQ83</f>
        <v>0</v>
      </c>
      <c r="AP13" s="76">
        <f>'[5]Initiative Level - LDC'!AR83</f>
        <v>0</v>
      </c>
      <c r="AQ13" s="76">
        <f>'[5]Initiative Level - LDC'!AS83</f>
        <v>0</v>
      </c>
      <c r="AR13" s="76">
        <f>'[5]Initiative Level - LDC'!AT83</f>
        <v>0</v>
      </c>
      <c r="AS13" s="76">
        <f>'[5]Initiative Level - LDC'!AU83</f>
        <v>0</v>
      </c>
      <c r="AT13" s="76">
        <f>'[5]Initiative Level - LDC'!AV83</f>
        <v>0</v>
      </c>
      <c r="AU13" s="76">
        <f>'[5]Initiative Level - LDC'!AW83</f>
        <v>0</v>
      </c>
      <c r="AV13" s="76">
        <f>'[5]Initiative Level - LDC'!AX83</f>
        <v>0</v>
      </c>
      <c r="AW13" s="78">
        <f>'[5]Initiative Level - LDC'!AY83</f>
        <v>0</v>
      </c>
    </row>
    <row r="14" spans="1:49">
      <c r="A14" s="79" t="s">
        <v>52</v>
      </c>
      <c r="B14" s="80"/>
      <c r="C14" s="81"/>
      <c r="D14" s="55"/>
      <c r="E14" s="82">
        <f>SUM(E9:E13)</f>
        <v>0.96277871555935501</v>
      </c>
      <c r="F14" s="82">
        <f t="shared" ref="F14:AW14" si="2">SUM(F9:F13)</f>
        <v>1.4547893427514582</v>
      </c>
      <c r="G14" s="82">
        <f t="shared" si="2"/>
        <v>2.15937315536799</v>
      </c>
      <c r="H14" s="82">
        <f t="shared" si="2"/>
        <v>2.1494356160343164</v>
      </c>
      <c r="I14" s="82">
        <f t="shared" si="2"/>
        <v>2.3126174040206502</v>
      </c>
      <c r="J14" s="82">
        <f t="shared" si="2"/>
        <v>0.98130130211346633</v>
      </c>
      <c r="K14" s="82">
        <f t="shared" si="2"/>
        <v>0.9639368639420498</v>
      </c>
      <c r="L14" s="82">
        <f t="shared" si="2"/>
        <v>0.95078374017260692</v>
      </c>
      <c r="M14" s="82">
        <f t="shared" si="2"/>
        <v>0.88668727920012902</v>
      </c>
      <c r="N14" s="82">
        <f t="shared" si="2"/>
        <v>0.83444296758457648</v>
      </c>
      <c r="O14" s="82">
        <f t="shared" si="2"/>
        <v>0.8179668066516107</v>
      </c>
      <c r="P14" s="82">
        <f t="shared" si="2"/>
        <v>0.78156572957918569</v>
      </c>
      <c r="Q14" s="82">
        <f t="shared" si="2"/>
        <v>0.64975172039775297</v>
      </c>
      <c r="R14" s="82">
        <f t="shared" si="2"/>
        <v>0.64340215371010578</v>
      </c>
      <c r="S14" s="82">
        <f t="shared" si="2"/>
        <v>0.47214064541209022</v>
      </c>
      <c r="T14" s="82">
        <f t="shared" si="2"/>
        <v>0.42174260200105795</v>
      </c>
      <c r="U14" s="82">
        <f t="shared" si="2"/>
        <v>0.36373562541457971</v>
      </c>
      <c r="V14" s="82">
        <f t="shared" si="2"/>
        <v>0.34847961856575116</v>
      </c>
      <c r="W14" s="82">
        <f t="shared" si="2"/>
        <v>0.30598705112670233</v>
      </c>
      <c r="X14" s="82">
        <f t="shared" si="2"/>
        <v>0.28830670623510324</v>
      </c>
      <c r="Y14" s="82">
        <f t="shared" si="2"/>
        <v>0.21085046335913396</v>
      </c>
      <c r="Z14" s="82">
        <f t="shared" si="2"/>
        <v>0.18387593648726847</v>
      </c>
      <c r="AA14" s="82">
        <f t="shared" si="2"/>
        <v>9.9589831779799465E-2</v>
      </c>
      <c r="AB14" s="82">
        <f t="shared" si="2"/>
        <v>4.2905982982965774E-2</v>
      </c>
      <c r="AC14" s="82">
        <f t="shared" si="2"/>
        <v>0</v>
      </c>
      <c r="AD14" s="82">
        <f t="shared" si="2"/>
        <v>0</v>
      </c>
      <c r="AE14" s="82">
        <f t="shared" si="2"/>
        <v>0</v>
      </c>
      <c r="AF14" s="82">
        <f t="shared" si="2"/>
        <v>0</v>
      </c>
      <c r="AG14" s="82">
        <f t="shared" si="2"/>
        <v>0</v>
      </c>
      <c r="AH14" s="82">
        <f t="shared" si="2"/>
        <v>0</v>
      </c>
      <c r="AI14" s="82">
        <f t="shared" si="2"/>
        <v>0</v>
      </c>
      <c r="AJ14" s="82">
        <f t="shared" si="2"/>
        <v>0</v>
      </c>
      <c r="AK14" s="82">
        <f t="shared" si="2"/>
        <v>0</v>
      </c>
      <c r="AL14" s="82">
        <f t="shared" si="2"/>
        <v>0</v>
      </c>
      <c r="AM14" s="82">
        <f t="shared" si="2"/>
        <v>0</v>
      </c>
      <c r="AN14" s="82">
        <f t="shared" si="2"/>
        <v>0</v>
      </c>
      <c r="AO14" s="82">
        <f t="shared" si="2"/>
        <v>0</v>
      </c>
      <c r="AP14" s="82">
        <f t="shared" si="2"/>
        <v>0</v>
      </c>
      <c r="AQ14" s="82">
        <f t="shared" si="2"/>
        <v>0</v>
      </c>
      <c r="AR14" s="82">
        <f t="shared" si="2"/>
        <v>0</v>
      </c>
      <c r="AS14" s="82">
        <f t="shared" si="2"/>
        <v>0</v>
      </c>
      <c r="AT14" s="82">
        <f t="shared" si="2"/>
        <v>0</v>
      </c>
      <c r="AU14" s="82">
        <f t="shared" si="2"/>
        <v>0</v>
      </c>
      <c r="AV14" s="82">
        <f t="shared" si="2"/>
        <v>0</v>
      </c>
      <c r="AW14" s="82">
        <f t="shared" si="2"/>
        <v>0</v>
      </c>
    </row>
    <row r="16" spans="1:49" ht="15.75">
      <c r="A16" s="53" t="s">
        <v>75</v>
      </c>
    </row>
    <row r="17" spans="1:49" ht="25.5">
      <c r="A17" s="54" t="s">
        <v>66</v>
      </c>
      <c r="B17" s="54" t="s">
        <v>67</v>
      </c>
      <c r="C17" s="54" t="s">
        <v>68</v>
      </c>
      <c r="D17" s="55"/>
      <c r="E17" s="56">
        <v>2006</v>
      </c>
      <c r="F17" s="56">
        <f>E17+1</f>
        <v>2007</v>
      </c>
      <c r="G17" s="56">
        <f t="shared" ref="G17:AW17" si="3">F17+1</f>
        <v>2008</v>
      </c>
      <c r="H17" s="56">
        <f t="shared" si="3"/>
        <v>2009</v>
      </c>
      <c r="I17" s="56">
        <f t="shared" si="3"/>
        <v>2010</v>
      </c>
      <c r="J17" s="56">
        <f t="shared" si="3"/>
        <v>2011</v>
      </c>
      <c r="K17" s="56">
        <f t="shared" si="3"/>
        <v>2012</v>
      </c>
      <c r="L17" s="56">
        <f t="shared" si="3"/>
        <v>2013</v>
      </c>
      <c r="M17" s="56">
        <f t="shared" si="3"/>
        <v>2014</v>
      </c>
      <c r="N17" s="56">
        <f t="shared" si="3"/>
        <v>2015</v>
      </c>
      <c r="O17" s="56">
        <f t="shared" si="3"/>
        <v>2016</v>
      </c>
      <c r="P17" s="56">
        <f t="shared" si="3"/>
        <v>2017</v>
      </c>
      <c r="Q17" s="56">
        <f t="shared" si="3"/>
        <v>2018</v>
      </c>
      <c r="R17" s="56">
        <f t="shared" si="3"/>
        <v>2019</v>
      </c>
      <c r="S17" s="56">
        <f t="shared" si="3"/>
        <v>2020</v>
      </c>
      <c r="T17" s="56">
        <f t="shared" si="3"/>
        <v>2021</v>
      </c>
      <c r="U17" s="56">
        <f t="shared" si="3"/>
        <v>2022</v>
      </c>
      <c r="V17" s="56">
        <f t="shared" si="3"/>
        <v>2023</v>
      </c>
      <c r="W17" s="56">
        <f t="shared" si="3"/>
        <v>2024</v>
      </c>
      <c r="X17" s="56">
        <f t="shared" si="3"/>
        <v>2025</v>
      </c>
      <c r="Y17" s="56">
        <f t="shared" si="3"/>
        <v>2026</v>
      </c>
      <c r="Z17" s="56">
        <f t="shared" si="3"/>
        <v>2027</v>
      </c>
      <c r="AA17" s="56">
        <f t="shared" si="3"/>
        <v>2028</v>
      </c>
      <c r="AB17" s="56">
        <f t="shared" si="3"/>
        <v>2029</v>
      </c>
      <c r="AC17" s="56">
        <f t="shared" si="3"/>
        <v>2030</v>
      </c>
      <c r="AD17" s="56">
        <f t="shared" si="3"/>
        <v>2031</v>
      </c>
      <c r="AE17" s="56">
        <f t="shared" si="3"/>
        <v>2032</v>
      </c>
      <c r="AF17" s="56">
        <f t="shared" si="3"/>
        <v>2033</v>
      </c>
      <c r="AG17" s="56">
        <f t="shared" si="3"/>
        <v>2034</v>
      </c>
      <c r="AH17" s="56">
        <f t="shared" si="3"/>
        <v>2035</v>
      </c>
      <c r="AI17" s="56">
        <f t="shared" si="3"/>
        <v>2036</v>
      </c>
      <c r="AJ17" s="56">
        <f t="shared" si="3"/>
        <v>2037</v>
      </c>
      <c r="AK17" s="56">
        <f t="shared" si="3"/>
        <v>2038</v>
      </c>
      <c r="AL17" s="56">
        <f t="shared" si="3"/>
        <v>2039</v>
      </c>
      <c r="AM17" s="56">
        <f t="shared" si="3"/>
        <v>2040</v>
      </c>
      <c r="AN17" s="56">
        <f t="shared" si="3"/>
        <v>2041</v>
      </c>
      <c r="AO17" s="56">
        <f t="shared" si="3"/>
        <v>2042</v>
      </c>
      <c r="AP17" s="56">
        <f t="shared" si="3"/>
        <v>2043</v>
      </c>
      <c r="AQ17" s="56">
        <f t="shared" si="3"/>
        <v>2044</v>
      </c>
      <c r="AR17" s="56">
        <f t="shared" si="3"/>
        <v>2045</v>
      </c>
      <c r="AS17" s="56">
        <f t="shared" si="3"/>
        <v>2046</v>
      </c>
      <c r="AT17" s="56">
        <f t="shared" si="3"/>
        <v>2047</v>
      </c>
      <c r="AU17" s="56">
        <f t="shared" si="3"/>
        <v>2048</v>
      </c>
      <c r="AV17" s="56">
        <f t="shared" si="3"/>
        <v>2049</v>
      </c>
      <c r="AW17" s="56">
        <f t="shared" si="3"/>
        <v>2050</v>
      </c>
    </row>
    <row r="18" spans="1:49" ht="5.0999999999999996" customHeight="1">
      <c r="A18" s="57"/>
      <c r="B18" s="57"/>
      <c r="C18" s="57"/>
      <c r="D18" s="57"/>
    </row>
    <row r="19" spans="1:49">
      <c r="A19" s="58">
        <v>1</v>
      </c>
      <c r="B19" s="59" t="s">
        <v>69</v>
      </c>
      <c r="C19" s="60" t="s">
        <v>70</v>
      </c>
      <c r="D19" s="57"/>
      <c r="E19" s="83">
        <f>'[5]Initiative Level - LDC'!G157</f>
        <v>1942.1146787457706</v>
      </c>
      <c r="F19" s="84">
        <f>'[5]Initiative Level - LDC'!H157</f>
        <v>1942.1146787457706</v>
      </c>
      <c r="G19" s="84">
        <f>'[5]Initiative Level - LDC'!I157</f>
        <v>1942.1146787457706</v>
      </c>
      <c r="H19" s="84">
        <f>'[5]Initiative Level - LDC'!J157</f>
        <v>1942.1146787457706</v>
      </c>
      <c r="I19" s="84">
        <f>'[5]Initiative Level - LDC'!K157</f>
        <v>337.30231632578102</v>
      </c>
      <c r="J19" s="84">
        <f>'[5]Initiative Level - LDC'!L157</f>
        <v>337.30231632578102</v>
      </c>
      <c r="K19" s="84">
        <f>'[5]Initiative Level - LDC'!M157</f>
        <v>308.53978690954506</v>
      </c>
      <c r="L19" s="84">
        <f>'[5]Initiative Level - LDC'!N157</f>
        <v>308.53978690954506</v>
      </c>
      <c r="M19" s="84">
        <f>'[5]Initiative Level - LDC'!O157</f>
        <v>289.92066777985974</v>
      </c>
      <c r="N19" s="84">
        <f>'[5]Initiative Level - LDC'!P157</f>
        <v>289.92066777985974</v>
      </c>
      <c r="O19" s="84">
        <f>'[5]Initiative Level - LDC'!Q157</f>
        <v>273.91108091106821</v>
      </c>
      <c r="P19" s="84">
        <f>'[5]Initiative Level - LDC'!R157</f>
        <v>273.91108091106821</v>
      </c>
      <c r="Q19" s="84">
        <f>'[5]Initiative Level - LDC'!S157</f>
        <v>273.91108091106821</v>
      </c>
      <c r="R19" s="84">
        <f>'[5]Initiative Level - LDC'!T157</f>
        <v>273.91108091106821</v>
      </c>
      <c r="S19" s="84">
        <f>'[5]Initiative Level - LDC'!U157</f>
        <v>247.9409567136164</v>
      </c>
      <c r="T19" s="84">
        <f>'[5]Initiative Level - LDC'!V157</f>
        <v>215.51405990830185</v>
      </c>
      <c r="U19" s="84">
        <f>'[5]Initiative Level - LDC'!W157</f>
        <v>215.51405990830185</v>
      </c>
      <c r="V19" s="84">
        <f>'[5]Initiative Level - LDC'!X157</f>
        <v>215.51405990830185</v>
      </c>
      <c r="W19" s="84">
        <f>'[5]Initiative Level - LDC'!Y157</f>
        <v>116.44859497345665</v>
      </c>
      <c r="X19" s="84">
        <f>'[5]Initiative Level - LDC'!Z157</f>
        <v>116.44859497345665</v>
      </c>
      <c r="Y19" s="84">
        <f>'[5]Initiative Level - LDC'!AA157</f>
        <v>67.947509673000923</v>
      </c>
      <c r="Z19" s="84">
        <f>'[5]Initiative Level - LDC'!AB157</f>
        <v>67.947509673000923</v>
      </c>
      <c r="AA19" s="84">
        <f>'[5]Initiative Level - LDC'!AC157</f>
        <v>67.947509673000923</v>
      </c>
      <c r="AB19" s="84">
        <f>'[5]Initiative Level - LDC'!AD157</f>
        <v>67.947509673000923</v>
      </c>
      <c r="AC19" s="84">
        <f>'[5]Initiative Level - LDC'!AE157</f>
        <v>67.947509673000923</v>
      </c>
      <c r="AD19" s="84">
        <f>'[5]Initiative Level - LDC'!AF157</f>
        <v>10.651235022659334</v>
      </c>
      <c r="AE19" s="84">
        <f>'[5]Initiative Level - LDC'!AG157</f>
        <v>10.651235022659334</v>
      </c>
      <c r="AF19" s="84">
        <f>'[5]Initiative Level - LDC'!AH157</f>
        <v>10.651235022659334</v>
      </c>
      <c r="AG19" s="84">
        <f>'[5]Initiative Level - LDC'!AI157</f>
        <v>10.651235022659334</v>
      </c>
      <c r="AH19" s="85">
        <f>'[5]Initiative Level - LDC'!AJ157</f>
        <v>10.651235022659334</v>
      </c>
      <c r="AI19" s="84">
        <v>0</v>
      </c>
      <c r="AJ19" s="84">
        <v>0</v>
      </c>
      <c r="AK19" s="84">
        <v>0</v>
      </c>
      <c r="AL19" s="84">
        <v>0</v>
      </c>
      <c r="AM19" s="84">
        <v>0</v>
      </c>
      <c r="AN19" s="84">
        <v>0</v>
      </c>
      <c r="AO19" s="84">
        <v>0</v>
      </c>
      <c r="AP19" s="84">
        <v>0</v>
      </c>
      <c r="AQ19" s="84">
        <v>0</v>
      </c>
      <c r="AR19" s="84">
        <v>0</v>
      </c>
      <c r="AS19" s="84">
        <v>0</v>
      </c>
      <c r="AT19" s="84">
        <v>0</v>
      </c>
      <c r="AU19" s="84">
        <v>0</v>
      </c>
      <c r="AV19" s="84">
        <v>0</v>
      </c>
      <c r="AW19" s="86">
        <v>0</v>
      </c>
    </row>
    <row r="20" spans="1:49">
      <c r="A20" s="65">
        <f>A19+1</f>
        <v>2</v>
      </c>
      <c r="B20" s="66" t="s">
        <v>71</v>
      </c>
      <c r="C20" s="67" t="s">
        <v>70</v>
      </c>
      <c r="D20" s="57"/>
      <c r="E20" s="87">
        <f>'[5]Initiative Level - LDC'!G159</f>
        <v>0</v>
      </c>
      <c r="F20" s="88">
        <f>'[5]Initiative Level - LDC'!H159</f>
        <v>1322.9927195123794</v>
      </c>
      <c r="G20" s="88">
        <f>'[5]Initiative Level - LDC'!I159</f>
        <v>1016.754175314763</v>
      </c>
      <c r="H20" s="88">
        <f>'[5]Initiative Level - LDC'!J159</f>
        <v>979.21669971409665</v>
      </c>
      <c r="I20" s="88">
        <f>'[5]Initiative Level - LDC'!K159</f>
        <v>979.21669971409665</v>
      </c>
      <c r="J20" s="88">
        <f>'[5]Initiative Level - LDC'!L159</f>
        <v>978.80264289359604</v>
      </c>
      <c r="K20" s="88">
        <f>'[5]Initiative Level - LDC'!M159</f>
        <v>950.14795473264701</v>
      </c>
      <c r="L20" s="88">
        <f>'[5]Initiative Level - LDC'!N159</f>
        <v>950.14795473264701</v>
      </c>
      <c r="M20" s="88">
        <f>'[5]Initiative Level - LDC'!O159</f>
        <v>950.14795473264701</v>
      </c>
      <c r="N20" s="88">
        <f>'[5]Initiative Level - LDC'!P159</f>
        <v>336.67341542428494</v>
      </c>
      <c r="O20" s="88">
        <f>'[5]Initiative Level - LDC'!Q159</f>
        <v>277.90099079969633</v>
      </c>
      <c r="P20" s="88">
        <f>'[5]Initiative Level - LDC'!R159</f>
        <v>173.61464875283869</v>
      </c>
      <c r="Q20" s="88">
        <f>'[5]Initiative Level - LDC'!S159</f>
        <v>173.61464875283869</v>
      </c>
      <c r="R20" s="88">
        <f>'[5]Initiative Level - LDC'!T159</f>
        <v>173.61464875283869</v>
      </c>
      <c r="S20" s="88">
        <f>'[5]Initiative Level - LDC'!U159</f>
        <v>173.61464875283869</v>
      </c>
      <c r="T20" s="88">
        <f>'[5]Initiative Level - LDC'!V159</f>
        <v>159.09470924453331</v>
      </c>
      <c r="U20" s="88">
        <f>'[5]Initiative Level - LDC'!W159</f>
        <v>59.1527365772492</v>
      </c>
      <c r="V20" s="88">
        <f>'[5]Initiative Level - LDC'!X159</f>
        <v>55.921414709779761</v>
      </c>
      <c r="W20" s="88">
        <f>'[5]Initiative Level - LDC'!Y159</f>
        <v>55.921414709779761</v>
      </c>
      <c r="X20" s="88">
        <f>'[5]Initiative Level - LDC'!Z159</f>
        <v>41.419382695829547</v>
      </c>
      <c r="Y20" s="88">
        <f>'[5]Initiative Level - LDC'!AA159</f>
        <v>0</v>
      </c>
      <c r="Z20" s="88">
        <f>'[5]Initiative Level - LDC'!AB159</f>
        <v>0</v>
      </c>
      <c r="AA20" s="88">
        <f>'[5]Initiative Level - LDC'!AC159</f>
        <v>0</v>
      </c>
      <c r="AB20" s="88">
        <f>'[5]Initiative Level - LDC'!AD159</f>
        <v>0</v>
      </c>
      <c r="AC20" s="88">
        <f>'[5]Initiative Level - LDC'!AE159</f>
        <v>0</v>
      </c>
      <c r="AD20" s="88">
        <f>'[5]Initiative Level - LDC'!AF159</f>
        <v>0</v>
      </c>
      <c r="AE20" s="88">
        <f>'[5]Initiative Level - LDC'!AG159</f>
        <v>0</v>
      </c>
      <c r="AF20" s="88">
        <f>'[5]Initiative Level - LDC'!AH159</f>
        <v>0</v>
      </c>
      <c r="AG20" s="88">
        <f>'[5]Initiative Level - LDC'!AI159</f>
        <v>0</v>
      </c>
      <c r="AH20" s="89">
        <f>'[5]Initiative Level - LDC'!AJ159</f>
        <v>0</v>
      </c>
      <c r="AI20" s="88">
        <v>0</v>
      </c>
      <c r="AJ20" s="88">
        <v>0</v>
      </c>
      <c r="AK20" s="88">
        <v>0</v>
      </c>
      <c r="AL20" s="88">
        <v>0</v>
      </c>
      <c r="AM20" s="88">
        <v>0</v>
      </c>
      <c r="AN20" s="88">
        <v>0</v>
      </c>
      <c r="AO20" s="88">
        <v>0</v>
      </c>
      <c r="AP20" s="88">
        <v>0</v>
      </c>
      <c r="AQ20" s="88">
        <v>0</v>
      </c>
      <c r="AR20" s="88">
        <v>0</v>
      </c>
      <c r="AS20" s="88">
        <v>0</v>
      </c>
      <c r="AT20" s="88">
        <v>0</v>
      </c>
      <c r="AU20" s="88">
        <v>0</v>
      </c>
      <c r="AV20" s="88">
        <v>0</v>
      </c>
      <c r="AW20" s="90">
        <v>0</v>
      </c>
    </row>
    <row r="21" spans="1:49">
      <c r="A21" s="72">
        <f>A20+1</f>
        <v>3</v>
      </c>
      <c r="B21" s="73" t="s">
        <v>72</v>
      </c>
      <c r="C21" s="74" t="s">
        <v>70</v>
      </c>
      <c r="D21" s="57"/>
      <c r="E21" s="91">
        <f>'[5]Initiative Level - LDC'!G161</f>
        <v>0</v>
      </c>
      <c r="F21" s="92">
        <f>'[5]Initiative Level - LDC'!H161</f>
        <v>0</v>
      </c>
      <c r="G21" s="92">
        <f>'[5]Initiative Level - LDC'!I161</f>
        <v>933.3047687970269</v>
      </c>
      <c r="H21" s="92">
        <f>'[5]Initiative Level - LDC'!J161</f>
        <v>930.59483358404179</v>
      </c>
      <c r="I21" s="92">
        <f>'[5]Initiative Level - LDC'!K161</f>
        <v>930.59483358404179</v>
      </c>
      <c r="J21" s="92">
        <f>'[5]Initiative Level - LDC'!L161</f>
        <v>930.59483358404179</v>
      </c>
      <c r="K21" s="92">
        <f>'[5]Initiative Level - LDC'!M161</f>
        <v>836.5453055503117</v>
      </c>
      <c r="L21" s="92">
        <f>'[5]Initiative Level - LDC'!N161</f>
        <v>836.29708555031175</v>
      </c>
      <c r="M21" s="92">
        <f>'[5]Initiative Level - LDC'!O161</f>
        <v>738.61935127815298</v>
      </c>
      <c r="N21" s="92">
        <f>'[5]Initiative Level - LDC'!P161</f>
        <v>665.64581243325438</v>
      </c>
      <c r="O21" s="92">
        <f>'[5]Initiative Level - LDC'!Q161</f>
        <v>496.39467251186329</v>
      </c>
      <c r="P21" s="92">
        <f>'[5]Initiative Level - LDC'!R161</f>
        <v>350.31144749166759</v>
      </c>
      <c r="Q21" s="92">
        <f>'[5]Initiative Level - LDC'!S161</f>
        <v>310.39503227779778</v>
      </c>
      <c r="R21" s="92">
        <f>'[5]Initiative Level - LDC'!T161</f>
        <v>310.39503227779778</v>
      </c>
      <c r="S21" s="92">
        <f>'[5]Initiative Level - LDC'!U161</f>
        <v>301.04367816307536</v>
      </c>
      <c r="T21" s="92">
        <f>'[5]Initiative Level - LDC'!V161</f>
        <v>301.04367816307536</v>
      </c>
      <c r="U21" s="92">
        <f>'[5]Initiative Level - LDC'!W161</f>
        <v>300.14222108519141</v>
      </c>
      <c r="V21" s="92">
        <f>'[5]Initiative Level - LDC'!X161</f>
        <v>268.8381699898033</v>
      </c>
      <c r="W21" s="92">
        <f>'[5]Initiative Level - LDC'!Y161</f>
        <v>102.7796208070239</v>
      </c>
      <c r="X21" s="92">
        <f>'[5]Initiative Level - LDC'!Z161</f>
        <v>102.7796208070239</v>
      </c>
      <c r="Y21" s="92">
        <f>'[5]Initiative Level - LDC'!AA161</f>
        <v>4.9196159999999995</v>
      </c>
      <c r="Z21" s="92">
        <f>'[5]Initiative Level - LDC'!AB161</f>
        <v>4.9196159999999995</v>
      </c>
      <c r="AA21" s="92">
        <f>'[5]Initiative Level - LDC'!AC161</f>
        <v>0</v>
      </c>
      <c r="AB21" s="92">
        <f>'[5]Initiative Level - LDC'!AD161</f>
        <v>0</v>
      </c>
      <c r="AC21" s="92">
        <f>'[5]Initiative Level - LDC'!AE161</f>
        <v>0</v>
      </c>
      <c r="AD21" s="92">
        <f>'[5]Initiative Level - LDC'!AF161</f>
        <v>0</v>
      </c>
      <c r="AE21" s="92">
        <f>'[5]Initiative Level - LDC'!AG161</f>
        <v>0</v>
      </c>
      <c r="AF21" s="92">
        <f>'[5]Initiative Level - LDC'!AH161</f>
        <v>0</v>
      </c>
      <c r="AG21" s="92">
        <f>'[5]Initiative Level - LDC'!AI161</f>
        <v>0</v>
      </c>
      <c r="AH21" s="93">
        <f>'[5]Initiative Level - LDC'!AJ161</f>
        <v>0</v>
      </c>
      <c r="AI21" s="92">
        <v>0</v>
      </c>
      <c r="AJ21" s="92">
        <v>0</v>
      </c>
      <c r="AK21" s="92">
        <v>0</v>
      </c>
      <c r="AL21" s="92">
        <v>0</v>
      </c>
      <c r="AM21" s="92">
        <v>0</v>
      </c>
      <c r="AN21" s="92">
        <v>0</v>
      </c>
      <c r="AO21" s="92">
        <v>0</v>
      </c>
      <c r="AP21" s="92">
        <v>0</v>
      </c>
      <c r="AQ21" s="92">
        <v>0</v>
      </c>
      <c r="AR21" s="92">
        <v>0</v>
      </c>
      <c r="AS21" s="92">
        <v>0</v>
      </c>
      <c r="AT21" s="92">
        <v>0</v>
      </c>
      <c r="AU21" s="92">
        <v>0</v>
      </c>
      <c r="AV21" s="92">
        <v>0</v>
      </c>
      <c r="AW21" s="94">
        <v>0</v>
      </c>
    </row>
    <row r="22" spans="1:49">
      <c r="A22" s="65">
        <f>A21+1</f>
        <v>4</v>
      </c>
      <c r="B22" s="66" t="s">
        <v>73</v>
      </c>
      <c r="C22" s="67" t="s">
        <v>70</v>
      </c>
      <c r="D22" s="57"/>
      <c r="E22" s="87">
        <f>'[5]Initiative Level - LDC'!G163</f>
        <v>0</v>
      </c>
      <c r="F22" s="88">
        <f>'[5]Initiative Level - LDC'!H163</f>
        <v>0</v>
      </c>
      <c r="G22" s="88">
        <f>'[5]Initiative Level - LDC'!I163</f>
        <v>0</v>
      </c>
      <c r="H22" s="88">
        <f>'[5]Initiative Level - LDC'!J163</f>
        <v>948.24599121950689</v>
      </c>
      <c r="I22" s="88">
        <f>'[5]Initiative Level - LDC'!K163</f>
        <v>672.34319987820936</v>
      </c>
      <c r="J22" s="88">
        <f>'[5]Initiative Level - LDC'!L163</f>
        <v>672.34319987820936</v>
      </c>
      <c r="K22" s="88">
        <f>'[5]Initiative Level - LDC'!M163</f>
        <v>670.94496431255766</v>
      </c>
      <c r="L22" s="88">
        <f>'[5]Initiative Level - LDC'!N163</f>
        <v>609.61609188761622</v>
      </c>
      <c r="M22" s="88">
        <f>'[5]Initiative Level - LDC'!O163</f>
        <v>441.67900838953119</v>
      </c>
      <c r="N22" s="88">
        <f>'[5]Initiative Level - LDC'!P163</f>
        <v>389.66300706340496</v>
      </c>
      <c r="O22" s="88">
        <f>'[5]Initiative Level - LDC'!Q163</f>
        <v>388.52805524389436</v>
      </c>
      <c r="P22" s="88">
        <f>'[5]Initiative Level - LDC'!R163</f>
        <v>315.71438391569455</v>
      </c>
      <c r="Q22" s="88">
        <f>'[5]Initiative Level - LDC'!S163</f>
        <v>315.71438391569455</v>
      </c>
      <c r="R22" s="88">
        <f>'[5]Initiative Level - LDC'!T163</f>
        <v>276.56757210514127</v>
      </c>
      <c r="S22" s="88">
        <f>'[5]Initiative Level - LDC'!U163</f>
        <v>276.49760322557677</v>
      </c>
      <c r="T22" s="88">
        <f>'[5]Initiative Level - LDC'!V163</f>
        <v>248.51718116424499</v>
      </c>
      <c r="U22" s="88">
        <f>'[5]Initiative Level - LDC'!W163</f>
        <v>248.51718116424499</v>
      </c>
      <c r="V22" s="88">
        <f>'[5]Initiative Level - LDC'!X163</f>
        <v>244.52991930096334</v>
      </c>
      <c r="W22" s="88">
        <f>'[5]Initiative Level - LDC'!Y163</f>
        <v>211.47521737496265</v>
      </c>
      <c r="X22" s="88">
        <f>'[5]Initiative Level - LDC'!Z163</f>
        <v>190.96353679072809</v>
      </c>
      <c r="Y22" s="88">
        <f>'[5]Initiative Level - LDC'!AA163</f>
        <v>186.88766476793418</v>
      </c>
      <c r="Z22" s="88">
        <f>'[5]Initiative Level - LDC'!AB163</f>
        <v>162.23053065708652</v>
      </c>
      <c r="AA22" s="88">
        <f>'[5]Initiative Level - LDC'!AC163</f>
        <v>35.394511249126793</v>
      </c>
      <c r="AB22" s="88">
        <f>'[5]Initiative Level - LDC'!AD163</f>
        <v>0</v>
      </c>
      <c r="AC22" s="88">
        <f>'[5]Initiative Level - LDC'!AE163</f>
        <v>0</v>
      </c>
      <c r="AD22" s="88">
        <f>'[5]Initiative Level - LDC'!AF163</f>
        <v>0</v>
      </c>
      <c r="AE22" s="88">
        <f>'[5]Initiative Level - LDC'!AG163</f>
        <v>0</v>
      </c>
      <c r="AF22" s="88">
        <f>'[5]Initiative Level - LDC'!AH163</f>
        <v>0</v>
      </c>
      <c r="AG22" s="88">
        <f>'[5]Initiative Level - LDC'!AI163</f>
        <v>0</v>
      </c>
      <c r="AH22" s="89">
        <f>'[5]Initiative Level - LDC'!AJ163</f>
        <v>0</v>
      </c>
      <c r="AI22" s="88">
        <v>0</v>
      </c>
      <c r="AJ22" s="88">
        <v>0</v>
      </c>
      <c r="AK22" s="88">
        <v>0</v>
      </c>
      <c r="AL22" s="88">
        <v>0</v>
      </c>
      <c r="AM22" s="88">
        <v>0</v>
      </c>
      <c r="AN22" s="88">
        <v>0</v>
      </c>
      <c r="AO22" s="88">
        <v>0</v>
      </c>
      <c r="AP22" s="88">
        <v>0</v>
      </c>
      <c r="AQ22" s="88">
        <v>0</v>
      </c>
      <c r="AR22" s="88">
        <v>0</v>
      </c>
      <c r="AS22" s="88">
        <v>0</v>
      </c>
      <c r="AT22" s="88">
        <v>0</v>
      </c>
      <c r="AU22" s="88">
        <v>0</v>
      </c>
      <c r="AV22" s="88">
        <v>0</v>
      </c>
      <c r="AW22" s="90">
        <v>0</v>
      </c>
    </row>
    <row r="23" spans="1:49">
      <c r="A23" s="72">
        <f>A22+1</f>
        <v>5</v>
      </c>
      <c r="B23" s="73" t="s">
        <v>74</v>
      </c>
      <c r="C23" s="74" t="s">
        <v>70</v>
      </c>
      <c r="D23" s="57"/>
      <c r="E23" s="91">
        <f>'[5]Initiative Level - LDC'!G165</f>
        <v>0</v>
      </c>
      <c r="F23" s="92">
        <f>'[5]Initiative Level - LDC'!H165</f>
        <v>0</v>
      </c>
      <c r="G23" s="92">
        <f>'[5]Initiative Level - LDC'!I165</f>
        <v>0</v>
      </c>
      <c r="H23" s="92">
        <f>'[5]Initiative Level - LDC'!J165</f>
        <v>0</v>
      </c>
      <c r="I23" s="92">
        <f>'[5]Initiative Level - LDC'!K165</f>
        <v>2713.8073410250568</v>
      </c>
      <c r="J23" s="92">
        <f>'[5]Initiative Level - LDC'!L165</f>
        <v>2222.8593206258302</v>
      </c>
      <c r="K23" s="92">
        <f>'[5]Initiative Level - LDC'!M165</f>
        <v>2220.015095178971</v>
      </c>
      <c r="L23" s="92">
        <f>'[5]Initiative Level - LDC'!N165</f>
        <v>2217.0685741331154</v>
      </c>
      <c r="M23" s="92">
        <f>'[5]Initiative Level - LDC'!O165</f>
        <v>2146.1039072636049</v>
      </c>
      <c r="N23" s="92">
        <f>'[5]Initiative Level - LDC'!P165</f>
        <v>1904.276776347107</v>
      </c>
      <c r="O23" s="92">
        <f>'[5]Initiative Level - LDC'!Q165</f>
        <v>1893.7456411119445</v>
      </c>
      <c r="P23" s="92">
        <f>'[5]Initiative Level - LDC'!R165</f>
        <v>1763.6971744921364</v>
      </c>
      <c r="Q23" s="92">
        <f>'[5]Initiative Level - LDC'!S165</f>
        <v>1489.4856346920328</v>
      </c>
      <c r="R23" s="92">
        <f>'[5]Initiative Level - LDC'!T165</f>
        <v>367.47673777631849</v>
      </c>
      <c r="S23" s="92">
        <f>'[5]Initiative Level - LDC'!U165</f>
        <v>203.79964358947007</v>
      </c>
      <c r="T23" s="92">
        <f>'[5]Initiative Level - LDC'!V165</f>
        <v>203.79964358947007</v>
      </c>
      <c r="U23" s="92">
        <f>'[5]Initiative Level - LDC'!W165</f>
        <v>201.00209902854917</v>
      </c>
      <c r="V23" s="92">
        <f>'[5]Initiative Level - LDC'!X165</f>
        <v>201.00209902854917</v>
      </c>
      <c r="W23" s="92">
        <f>'[5]Initiative Level - LDC'!Y165</f>
        <v>201.00209902854917</v>
      </c>
      <c r="X23" s="92">
        <f>'[5]Initiative Level - LDC'!Z165</f>
        <v>190.51389813196874</v>
      </c>
      <c r="Y23" s="92">
        <f>'[5]Initiative Level - LDC'!AA165</f>
        <v>178.74835808261639</v>
      </c>
      <c r="Z23" s="92">
        <f>'[5]Initiative Level - LDC'!AB165</f>
        <v>178.74835808261639</v>
      </c>
      <c r="AA23" s="92">
        <f>'[5]Initiative Level - LDC'!AC165</f>
        <v>173.42850491139978</v>
      </c>
      <c r="AB23" s="92">
        <f>'[5]Initiative Level - LDC'!AD165</f>
        <v>98.106667051669973</v>
      </c>
      <c r="AC23" s="92">
        <f>'[5]Initiative Level - LDC'!AE165</f>
        <v>0</v>
      </c>
      <c r="AD23" s="92">
        <f>'[5]Initiative Level - LDC'!AF165</f>
        <v>0</v>
      </c>
      <c r="AE23" s="92">
        <f>'[5]Initiative Level - LDC'!AG165</f>
        <v>0</v>
      </c>
      <c r="AF23" s="92">
        <f>'[5]Initiative Level - LDC'!AH165</f>
        <v>0</v>
      </c>
      <c r="AG23" s="92">
        <f>'[5]Initiative Level - LDC'!AI165</f>
        <v>0</v>
      </c>
      <c r="AH23" s="93">
        <f>'[5]Initiative Level - LDC'!AJ165</f>
        <v>0</v>
      </c>
      <c r="AI23" s="92">
        <f>'[5]Initiative Level - LDC'!AK165</f>
        <v>0</v>
      </c>
      <c r="AJ23" s="92">
        <f>'[5]Initiative Level - LDC'!AL165</f>
        <v>0</v>
      </c>
      <c r="AK23" s="92">
        <f>'[5]Initiative Level - LDC'!AM165</f>
        <v>0</v>
      </c>
      <c r="AL23" s="92">
        <f>'[5]Initiative Level - LDC'!AN165</f>
        <v>0</v>
      </c>
      <c r="AM23" s="92">
        <f>'[5]Initiative Level - LDC'!AO165</f>
        <v>0</v>
      </c>
      <c r="AN23" s="92">
        <f>'[5]Initiative Level - LDC'!AP165</f>
        <v>0</v>
      </c>
      <c r="AO23" s="92">
        <f>'[5]Initiative Level - LDC'!AQ165</f>
        <v>0</v>
      </c>
      <c r="AP23" s="92">
        <f>'[5]Initiative Level - LDC'!AR165</f>
        <v>0</v>
      </c>
      <c r="AQ23" s="92">
        <f>'[5]Initiative Level - LDC'!AS165</f>
        <v>0</v>
      </c>
      <c r="AR23" s="92">
        <f>'[5]Initiative Level - LDC'!AT165</f>
        <v>0</v>
      </c>
      <c r="AS23" s="92">
        <f>'[5]Initiative Level - LDC'!AU165</f>
        <v>0</v>
      </c>
      <c r="AT23" s="92">
        <f>'[5]Initiative Level - LDC'!AV165</f>
        <v>0</v>
      </c>
      <c r="AU23" s="92">
        <f>'[5]Initiative Level - LDC'!AW165</f>
        <v>0</v>
      </c>
      <c r="AV23" s="92">
        <f>'[5]Initiative Level - LDC'!AX165</f>
        <v>0</v>
      </c>
      <c r="AW23" s="94">
        <f>'[5]Initiative Level - LDC'!AY165</f>
        <v>0</v>
      </c>
    </row>
    <row r="24" spans="1:49">
      <c r="A24" s="79" t="s">
        <v>52</v>
      </c>
      <c r="B24" s="80"/>
      <c r="C24" s="81"/>
      <c r="D24" s="55"/>
      <c r="E24" s="95">
        <f>SUM(E19:E23)</f>
        <v>1942.1146787457706</v>
      </c>
      <c r="F24" s="95">
        <f t="shared" ref="F24:AW24" si="4">SUM(F19:F23)</f>
        <v>3265.1073982581502</v>
      </c>
      <c r="G24" s="95">
        <f t="shared" si="4"/>
        <v>3892.1736228575605</v>
      </c>
      <c r="H24" s="95">
        <f t="shared" si="4"/>
        <v>4800.1722032634161</v>
      </c>
      <c r="I24" s="95">
        <f t="shared" si="4"/>
        <v>5633.2643905271852</v>
      </c>
      <c r="J24" s="95">
        <f t="shared" si="4"/>
        <v>5141.9023133074588</v>
      </c>
      <c r="K24" s="95">
        <f t="shared" si="4"/>
        <v>4986.1931066840325</v>
      </c>
      <c r="L24" s="95">
        <f t="shared" si="4"/>
        <v>4921.6694932132359</v>
      </c>
      <c r="M24" s="95">
        <f t="shared" si="4"/>
        <v>4566.4708894437954</v>
      </c>
      <c r="N24" s="95">
        <f t="shared" si="4"/>
        <v>3586.1796790479111</v>
      </c>
      <c r="O24" s="95">
        <f t="shared" si="4"/>
        <v>3330.4804405784666</v>
      </c>
      <c r="P24" s="95">
        <f t="shared" si="4"/>
        <v>2877.2487355634053</v>
      </c>
      <c r="Q24" s="95">
        <f t="shared" si="4"/>
        <v>2563.1207805494323</v>
      </c>
      <c r="R24" s="95">
        <f t="shared" si="4"/>
        <v>1401.9650718231644</v>
      </c>
      <c r="S24" s="95">
        <f t="shared" si="4"/>
        <v>1202.8965304445774</v>
      </c>
      <c r="T24" s="95">
        <f t="shared" si="4"/>
        <v>1127.9692720696257</v>
      </c>
      <c r="U24" s="95">
        <f t="shared" si="4"/>
        <v>1024.3282977635367</v>
      </c>
      <c r="V24" s="95">
        <f t="shared" si="4"/>
        <v>985.80566293739753</v>
      </c>
      <c r="W24" s="95">
        <f t="shared" si="4"/>
        <v>687.62694689377213</v>
      </c>
      <c r="X24" s="95">
        <f t="shared" si="4"/>
        <v>642.12503339900695</v>
      </c>
      <c r="Y24" s="95">
        <f t="shared" si="4"/>
        <v>438.50314852355149</v>
      </c>
      <c r="Z24" s="95">
        <f t="shared" si="4"/>
        <v>413.84601441270382</v>
      </c>
      <c r="AA24" s="95">
        <f t="shared" si="4"/>
        <v>276.77052583352747</v>
      </c>
      <c r="AB24" s="95">
        <f t="shared" si="4"/>
        <v>166.0541767246709</v>
      </c>
      <c r="AC24" s="95">
        <f t="shared" si="4"/>
        <v>67.947509673000923</v>
      </c>
      <c r="AD24" s="95">
        <f t="shared" si="4"/>
        <v>10.651235022659334</v>
      </c>
      <c r="AE24" s="95">
        <f t="shared" si="4"/>
        <v>10.651235022659334</v>
      </c>
      <c r="AF24" s="95">
        <f t="shared" si="4"/>
        <v>10.651235022659334</v>
      </c>
      <c r="AG24" s="95">
        <f t="shared" si="4"/>
        <v>10.651235022659334</v>
      </c>
      <c r="AH24" s="95">
        <f t="shared" si="4"/>
        <v>10.651235022659334</v>
      </c>
      <c r="AI24" s="95">
        <f t="shared" si="4"/>
        <v>0</v>
      </c>
      <c r="AJ24" s="95">
        <f t="shared" si="4"/>
        <v>0</v>
      </c>
      <c r="AK24" s="95">
        <f t="shared" si="4"/>
        <v>0</v>
      </c>
      <c r="AL24" s="95">
        <f t="shared" si="4"/>
        <v>0</v>
      </c>
      <c r="AM24" s="95">
        <f t="shared" si="4"/>
        <v>0</v>
      </c>
      <c r="AN24" s="95">
        <f t="shared" si="4"/>
        <v>0</v>
      </c>
      <c r="AO24" s="95">
        <f t="shared" si="4"/>
        <v>0</v>
      </c>
      <c r="AP24" s="95">
        <f t="shared" si="4"/>
        <v>0</v>
      </c>
      <c r="AQ24" s="95">
        <f t="shared" si="4"/>
        <v>0</v>
      </c>
      <c r="AR24" s="95">
        <f t="shared" si="4"/>
        <v>0</v>
      </c>
      <c r="AS24" s="95">
        <f t="shared" si="4"/>
        <v>0</v>
      </c>
      <c r="AT24" s="95">
        <f t="shared" si="4"/>
        <v>0</v>
      </c>
      <c r="AU24" s="95">
        <f t="shared" si="4"/>
        <v>0</v>
      </c>
      <c r="AV24" s="95">
        <f t="shared" si="4"/>
        <v>0</v>
      </c>
      <c r="AW24" s="95">
        <f t="shared" si="4"/>
        <v>0</v>
      </c>
    </row>
    <row r="26" spans="1:49" ht="15.75">
      <c r="A26" s="53" t="s">
        <v>76</v>
      </c>
    </row>
    <row r="27" spans="1:49" ht="25.5">
      <c r="A27" s="54" t="s">
        <v>66</v>
      </c>
      <c r="B27" s="54" t="s">
        <v>67</v>
      </c>
      <c r="C27" s="54" t="s">
        <v>68</v>
      </c>
      <c r="D27" s="55"/>
      <c r="E27" s="56">
        <v>2006</v>
      </c>
      <c r="F27" s="56">
        <f>E27+1</f>
        <v>2007</v>
      </c>
      <c r="G27" s="56">
        <f t="shared" ref="G27:AW27" si="5">F27+1</f>
        <v>2008</v>
      </c>
      <c r="H27" s="56">
        <f t="shared" si="5"/>
        <v>2009</v>
      </c>
      <c r="I27" s="56">
        <f t="shared" si="5"/>
        <v>2010</v>
      </c>
      <c r="J27" s="56">
        <f t="shared" si="5"/>
        <v>2011</v>
      </c>
      <c r="K27" s="56">
        <f t="shared" si="5"/>
        <v>2012</v>
      </c>
      <c r="L27" s="56">
        <f t="shared" si="5"/>
        <v>2013</v>
      </c>
      <c r="M27" s="56">
        <f t="shared" si="5"/>
        <v>2014</v>
      </c>
      <c r="N27" s="56">
        <f t="shared" si="5"/>
        <v>2015</v>
      </c>
      <c r="O27" s="56">
        <f t="shared" si="5"/>
        <v>2016</v>
      </c>
      <c r="P27" s="56">
        <f t="shared" si="5"/>
        <v>2017</v>
      </c>
      <c r="Q27" s="56">
        <f t="shared" si="5"/>
        <v>2018</v>
      </c>
      <c r="R27" s="56">
        <f t="shared" si="5"/>
        <v>2019</v>
      </c>
      <c r="S27" s="56">
        <f t="shared" si="5"/>
        <v>2020</v>
      </c>
      <c r="T27" s="56">
        <f t="shared" si="5"/>
        <v>2021</v>
      </c>
      <c r="U27" s="56">
        <f t="shared" si="5"/>
        <v>2022</v>
      </c>
      <c r="V27" s="56">
        <f t="shared" si="5"/>
        <v>2023</v>
      </c>
      <c r="W27" s="56">
        <f t="shared" si="5"/>
        <v>2024</v>
      </c>
      <c r="X27" s="56">
        <f t="shared" si="5"/>
        <v>2025</v>
      </c>
      <c r="Y27" s="56">
        <f t="shared" si="5"/>
        <v>2026</v>
      </c>
      <c r="Z27" s="56">
        <f t="shared" si="5"/>
        <v>2027</v>
      </c>
      <c r="AA27" s="56">
        <f t="shared" si="5"/>
        <v>2028</v>
      </c>
      <c r="AB27" s="56">
        <f t="shared" si="5"/>
        <v>2029</v>
      </c>
      <c r="AC27" s="56">
        <f t="shared" si="5"/>
        <v>2030</v>
      </c>
      <c r="AD27" s="56">
        <f t="shared" si="5"/>
        <v>2031</v>
      </c>
      <c r="AE27" s="56">
        <f t="shared" si="5"/>
        <v>2032</v>
      </c>
      <c r="AF27" s="56">
        <f t="shared" si="5"/>
        <v>2033</v>
      </c>
      <c r="AG27" s="56">
        <f t="shared" si="5"/>
        <v>2034</v>
      </c>
      <c r="AH27" s="56">
        <f t="shared" si="5"/>
        <v>2035</v>
      </c>
      <c r="AI27" s="56">
        <f t="shared" si="5"/>
        <v>2036</v>
      </c>
      <c r="AJ27" s="56">
        <f t="shared" si="5"/>
        <v>2037</v>
      </c>
      <c r="AK27" s="56">
        <f t="shared" si="5"/>
        <v>2038</v>
      </c>
      <c r="AL27" s="56">
        <f t="shared" si="5"/>
        <v>2039</v>
      </c>
      <c r="AM27" s="56">
        <f t="shared" si="5"/>
        <v>2040</v>
      </c>
      <c r="AN27" s="56">
        <f t="shared" si="5"/>
        <v>2041</v>
      </c>
      <c r="AO27" s="56">
        <f t="shared" si="5"/>
        <v>2042</v>
      </c>
      <c r="AP27" s="56">
        <f t="shared" si="5"/>
        <v>2043</v>
      </c>
      <c r="AQ27" s="56">
        <f t="shared" si="5"/>
        <v>2044</v>
      </c>
      <c r="AR27" s="56">
        <f t="shared" si="5"/>
        <v>2045</v>
      </c>
      <c r="AS27" s="56">
        <f t="shared" si="5"/>
        <v>2046</v>
      </c>
      <c r="AT27" s="56">
        <f t="shared" si="5"/>
        <v>2047</v>
      </c>
      <c r="AU27" s="56">
        <f t="shared" si="5"/>
        <v>2048</v>
      </c>
      <c r="AV27" s="56">
        <f t="shared" si="5"/>
        <v>2049</v>
      </c>
      <c r="AW27" s="56">
        <f t="shared" si="5"/>
        <v>2050</v>
      </c>
    </row>
    <row r="28" spans="1:49" ht="5.0999999999999996" customHeight="1">
      <c r="A28" s="57"/>
      <c r="B28" s="57"/>
      <c r="C28" s="57"/>
      <c r="D28" s="57"/>
    </row>
    <row r="29" spans="1:49">
      <c r="A29" s="58">
        <v>1</v>
      </c>
      <c r="B29" s="59" t="s">
        <v>69</v>
      </c>
      <c r="C29" s="60" t="s">
        <v>70</v>
      </c>
      <c r="D29" s="57"/>
      <c r="E29" s="61">
        <f>'[5]Initiative Level - LDC'!G239</f>
        <v>0.98012511111797729</v>
      </c>
      <c r="F29" s="62">
        <f>'[5]Initiative Level - LDC'!H239</f>
        <v>0.11139778003552842</v>
      </c>
      <c r="G29" s="62">
        <f>'[5]Initiative Level - LDC'!I239</f>
        <v>0.11139778003552842</v>
      </c>
      <c r="H29" s="62">
        <f>'[5]Initiative Level - LDC'!J239</f>
        <v>0.11139778003552842</v>
      </c>
      <c r="I29" s="62">
        <f>'[5]Initiative Level - LDC'!K239</f>
        <v>0.11139778003552842</v>
      </c>
      <c r="J29" s="62">
        <f>'[5]Initiative Level - LDC'!L239</f>
        <v>0.11139778003552842</v>
      </c>
      <c r="K29" s="62">
        <f>'[5]Initiative Level - LDC'!M239</f>
        <v>0.10415388373810602</v>
      </c>
      <c r="L29" s="62">
        <f>'[5]Initiative Level - LDC'!N239</f>
        <v>0.10415388373810602</v>
      </c>
      <c r="M29" s="62">
        <f>'[5]Initiative Level - LDC'!O239</f>
        <v>8.2963340768864788E-2</v>
      </c>
      <c r="N29" s="62">
        <f>'[5]Initiative Level - LDC'!P239</f>
        <v>8.2963340768864788E-2</v>
      </c>
      <c r="O29" s="62">
        <f>'[5]Initiative Level - LDC'!Q239</f>
        <v>8.2963340768864788E-2</v>
      </c>
      <c r="P29" s="62">
        <f>'[5]Initiative Level - LDC'!R239</f>
        <v>8.2963340768864788E-2</v>
      </c>
      <c r="Q29" s="62">
        <f>'[5]Initiative Level - LDC'!S239</f>
        <v>8.2963340768864788E-2</v>
      </c>
      <c r="R29" s="62">
        <f>'[5]Initiative Level - LDC'!T239</f>
        <v>8.2963340768864788E-2</v>
      </c>
      <c r="S29" s="62">
        <f>'[5]Initiative Level - LDC'!U239</f>
        <v>5.345079750146059E-2</v>
      </c>
      <c r="T29" s="62">
        <f>'[5]Initiative Level - LDC'!V239</f>
        <v>3.2708259981438538E-2</v>
      </c>
      <c r="U29" s="62">
        <f>'[5]Initiative Level - LDC'!W239</f>
        <v>3.2708259981438538E-2</v>
      </c>
      <c r="V29" s="62">
        <f>'[5]Initiative Level - LDC'!X239</f>
        <v>3.2708259981438538E-2</v>
      </c>
      <c r="W29" s="62">
        <f>'[5]Initiative Level - LDC'!Y239</f>
        <v>8.9348125232761161E-4</v>
      </c>
      <c r="X29" s="62">
        <f>'[5]Initiative Level - LDC'!Z239</f>
        <v>8.9348125232761161E-4</v>
      </c>
      <c r="Y29" s="62">
        <f>'[5]Initiative Level - LDC'!AA239</f>
        <v>0</v>
      </c>
      <c r="Z29" s="62">
        <f>'[5]Initiative Level - LDC'!AB239</f>
        <v>0</v>
      </c>
      <c r="AA29" s="62">
        <f>'[5]Initiative Level - LDC'!AC239</f>
        <v>0</v>
      </c>
      <c r="AB29" s="62">
        <f>'[5]Initiative Level - LDC'!AD239</f>
        <v>0</v>
      </c>
      <c r="AC29" s="62">
        <f>'[5]Initiative Level - LDC'!AE239</f>
        <v>0</v>
      </c>
      <c r="AD29" s="62">
        <f>'[5]Initiative Level - LDC'!AF239</f>
        <v>0</v>
      </c>
      <c r="AE29" s="62">
        <f>'[5]Initiative Level - LDC'!AG239</f>
        <v>0</v>
      </c>
      <c r="AF29" s="62">
        <f>'[5]Initiative Level - LDC'!AH239</f>
        <v>0</v>
      </c>
      <c r="AG29" s="62">
        <f>'[5]Initiative Level - LDC'!AI239</f>
        <v>0</v>
      </c>
      <c r="AH29" s="63">
        <f>'[5]Initiative Level - LDC'!AJ239</f>
        <v>0</v>
      </c>
      <c r="AI29" s="62">
        <v>0</v>
      </c>
      <c r="AJ29" s="62">
        <v>0</v>
      </c>
      <c r="AK29" s="62">
        <v>0</v>
      </c>
      <c r="AL29" s="62">
        <v>0</v>
      </c>
      <c r="AM29" s="62">
        <v>0</v>
      </c>
      <c r="AN29" s="62">
        <v>0</v>
      </c>
      <c r="AO29" s="62">
        <v>0</v>
      </c>
      <c r="AP29" s="62">
        <v>0</v>
      </c>
      <c r="AQ29" s="62">
        <v>0</v>
      </c>
      <c r="AR29" s="62">
        <v>0</v>
      </c>
      <c r="AS29" s="62">
        <v>0</v>
      </c>
      <c r="AT29" s="62">
        <v>0</v>
      </c>
      <c r="AU29" s="62">
        <v>0</v>
      </c>
      <c r="AV29" s="62">
        <v>0</v>
      </c>
      <c r="AW29" s="64">
        <v>0</v>
      </c>
    </row>
    <row r="30" spans="1:49">
      <c r="A30" s="65">
        <f>A29+1</f>
        <v>2</v>
      </c>
      <c r="B30" s="66" t="s">
        <v>71</v>
      </c>
      <c r="C30" s="67" t="s">
        <v>70</v>
      </c>
      <c r="D30" s="57"/>
      <c r="E30" s="68">
        <f>'[5]Initiative Level - LDC'!G241</f>
        <v>0</v>
      </c>
      <c r="F30" s="69">
        <f>'[5]Initiative Level - LDC'!H241</f>
        <v>2.9407447936511648</v>
      </c>
      <c r="G30" s="69">
        <f>'[5]Initiative Level - LDC'!I241</f>
        <v>0.73491519275279371</v>
      </c>
      <c r="H30" s="69">
        <f>'[5]Initiative Level - LDC'!J241</f>
        <v>0.47639678059317664</v>
      </c>
      <c r="I30" s="69">
        <f>'[5]Initiative Level - LDC'!K241</f>
        <v>0.47639678059317664</v>
      </c>
      <c r="J30" s="69">
        <f>'[5]Initiative Level - LDC'!L241</f>
        <v>0.47190420352154422</v>
      </c>
      <c r="K30" s="69">
        <f>'[5]Initiative Level - LDC'!M241</f>
        <v>0.43457516750427327</v>
      </c>
      <c r="L30" s="69">
        <f>'[5]Initiative Level - LDC'!N241</f>
        <v>0.43457516750427327</v>
      </c>
      <c r="M30" s="69">
        <f>'[5]Initiative Level - LDC'!O241</f>
        <v>0.43457516750427327</v>
      </c>
      <c r="N30" s="69">
        <f>'[5]Initiative Level - LDC'!P241</f>
        <v>0.40588471151833466</v>
      </c>
      <c r="O30" s="69">
        <f>'[5]Initiative Level - LDC'!Q241</f>
        <v>0.38983246458584514</v>
      </c>
      <c r="P30" s="69">
        <f>'[5]Initiative Level - LDC'!R241</f>
        <v>0.37259080542854378</v>
      </c>
      <c r="Q30" s="69">
        <f>'[5]Initiative Level - LDC'!S241</f>
        <v>0.37259080542854378</v>
      </c>
      <c r="R30" s="69">
        <f>'[5]Initiative Level - LDC'!T241</f>
        <v>0.37259080542854378</v>
      </c>
      <c r="S30" s="69">
        <f>'[5]Initiative Level - LDC'!U241</f>
        <v>0.37259080542854378</v>
      </c>
      <c r="T30" s="69">
        <f>'[5]Initiative Level - LDC'!V241</f>
        <v>0.13470078772336286</v>
      </c>
      <c r="U30" s="69">
        <f>'[5]Initiative Level - LDC'!W241</f>
        <v>3.616673168991523E-2</v>
      </c>
      <c r="V30" s="69">
        <f>'[5]Initiative Level - LDC'!X241</f>
        <v>3.5899028421066514E-2</v>
      </c>
      <c r="W30" s="69">
        <f>'[5]Initiative Level - LDC'!Y241</f>
        <v>3.5899028421066514E-2</v>
      </c>
      <c r="X30" s="69">
        <f>'[5]Initiative Level - LDC'!Z241</f>
        <v>1.3193333333333335E-2</v>
      </c>
      <c r="Y30" s="69">
        <f>'[5]Initiative Level - LDC'!AA241</f>
        <v>0</v>
      </c>
      <c r="Z30" s="69">
        <f>'[5]Initiative Level - LDC'!AB241</f>
        <v>0</v>
      </c>
      <c r="AA30" s="69">
        <f>'[5]Initiative Level - LDC'!AC241</f>
        <v>0</v>
      </c>
      <c r="AB30" s="69">
        <f>'[5]Initiative Level - LDC'!AD241</f>
        <v>0</v>
      </c>
      <c r="AC30" s="69">
        <f>'[5]Initiative Level - LDC'!AE241</f>
        <v>0</v>
      </c>
      <c r="AD30" s="69">
        <f>'[5]Initiative Level - LDC'!AF241</f>
        <v>0</v>
      </c>
      <c r="AE30" s="69">
        <f>'[5]Initiative Level - LDC'!AG241</f>
        <v>0</v>
      </c>
      <c r="AF30" s="69">
        <f>'[5]Initiative Level - LDC'!AH241</f>
        <v>0</v>
      </c>
      <c r="AG30" s="69">
        <f>'[5]Initiative Level - LDC'!AI241</f>
        <v>0</v>
      </c>
      <c r="AH30" s="70">
        <f>'[5]Initiative Level - LDC'!AJ241</f>
        <v>0</v>
      </c>
      <c r="AI30" s="69">
        <v>0</v>
      </c>
      <c r="AJ30" s="69">
        <v>0</v>
      </c>
      <c r="AK30" s="69">
        <v>0</v>
      </c>
      <c r="AL30" s="69">
        <v>0</v>
      </c>
      <c r="AM30" s="69">
        <v>0</v>
      </c>
      <c r="AN30" s="69">
        <v>0</v>
      </c>
      <c r="AO30" s="69">
        <v>0</v>
      </c>
      <c r="AP30" s="69">
        <v>0</v>
      </c>
      <c r="AQ30" s="69">
        <v>0</v>
      </c>
      <c r="AR30" s="69">
        <v>0</v>
      </c>
      <c r="AS30" s="69">
        <v>0</v>
      </c>
      <c r="AT30" s="69">
        <v>0</v>
      </c>
      <c r="AU30" s="69">
        <v>0</v>
      </c>
      <c r="AV30" s="69">
        <v>0</v>
      </c>
      <c r="AW30" s="71">
        <v>0</v>
      </c>
    </row>
    <row r="31" spans="1:49">
      <c r="A31" s="72">
        <f>A30+1</f>
        <v>3</v>
      </c>
      <c r="B31" s="73" t="s">
        <v>72</v>
      </c>
      <c r="C31" s="74" t="s">
        <v>70</v>
      </c>
      <c r="D31" s="57"/>
      <c r="E31" s="75">
        <f>'[5]Initiative Level - LDC'!G243</f>
        <v>0</v>
      </c>
      <c r="F31" s="76">
        <f>'[5]Initiative Level - LDC'!H243</f>
        <v>0</v>
      </c>
      <c r="G31" s="76">
        <f>'[5]Initiative Level - LDC'!I243</f>
        <v>1.9979608101268962</v>
      </c>
      <c r="H31" s="76">
        <f>'[5]Initiative Level - LDC'!J243</f>
        <v>0.25431768262248478</v>
      </c>
      <c r="I31" s="76">
        <f>'[5]Initiative Level - LDC'!K243</f>
        <v>0.25431768262248478</v>
      </c>
      <c r="J31" s="76">
        <f>'[5]Initiative Level - LDC'!L243</f>
        <v>0.25431768262248478</v>
      </c>
      <c r="K31" s="76">
        <f>'[5]Initiative Level - LDC'!M243</f>
        <v>0.24525926745449286</v>
      </c>
      <c r="L31" s="76">
        <f>'[5]Initiative Level - LDC'!N243</f>
        <v>0.24525926745449286</v>
      </c>
      <c r="M31" s="76">
        <f>'[5]Initiative Level - LDC'!O243</f>
        <v>0.23040538118680171</v>
      </c>
      <c r="N31" s="76">
        <f>'[5]Initiative Level - LDC'!P243</f>
        <v>0.22426697586537866</v>
      </c>
      <c r="O31" s="76">
        <f>'[5]Initiative Level - LDC'!Q243</f>
        <v>0.20546173322160538</v>
      </c>
      <c r="P31" s="76">
        <f>'[5]Initiative Level - LDC'!R243</f>
        <v>0.1722102754550916</v>
      </c>
      <c r="Q31" s="76">
        <f>'[5]Initiative Level - LDC'!S243</f>
        <v>0.16868320078024099</v>
      </c>
      <c r="R31" s="76">
        <f>'[5]Initiative Level - LDC'!T243</f>
        <v>0.16868320078024099</v>
      </c>
      <c r="S31" s="76">
        <f>'[5]Initiative Level - LDC'!U243</f>
        <v>0.15626964576660449</v>
      </c>
      <c r="T31" s="76">
        <f>'[5]Initiative Level - LDC'!V243</f>
        <v>0.15626964576660449</v>
      </c>
      <c r="U31" s="76">
        <f>'[5]Initiative Level - LDC'!W243</f>
        <v>0.15474403398720901</v>
      </c>
      <c r="V31" s="76">
        <f>'[5]Initiative Level - LDC'!X243</f>
        <v>0.1293083730395522</v>
      </c>
      <c r="W31" s="76">
        <f>'[5]Initiative Level - LDC'!Y243</f>
        <v>0.11384723403720759</v>
      </c>
      <c r="X31" s="76">
        <f>'[5]Initiative Level - LDC'!Z243</f>
        <v>0.11384723403720759</v>
      </c>
      <c r="Y31" s="76">
        <f>'[5]Initiative Level - LDC'!AA243</f>
        <v>4.3200000000000001E-3</v>
      </c>
      <c r="Z31" s="76">
        <f>'[5]Initiative Level - LDC'!AB243</f>
        <v>4.3200000000000001E-3</v>
      </c>
      <c r="AA31" s="76">
        <f>'[5]Initiative Level - LDC'!AC243</f>
        <v>0</v>
      </c>
      <c r="AB31" s="76">
        <f>'[5]Initiative Level - LDC'!AD243</f>
        <v>0</v>
      </c>
      <c r="AC31" s="76">
        <f>'[5]Initiative Level - LDC'!AE243</f>
        <v>0</v>
      </c>
      <c r="AD31" s="76">
        <f>'[5]Initiative Level - LDC'!AF243</f>
        <v>0</v>
      </c>
      <c r="AE31" s="76">
        <f>'[5]Initiative Level - LDC'!AG243</f>
        <v>0</v>
      </c>
      <c r="AF31" s="76">
        <f>'[5]Initiative Level - LDC'!AH243</f>
        <v>0</v>
      </c>
      <c r="AG31" s="76">
        <f>'[5]Initiative Level - LDC'!AI243</f>
        <v>0</v>
      </c>
      <c r="AH31" s="77">
        <f>'[5]Initiative Level - LDC'!AJ243</f>
        <v>0</v>
      </c>
      <c r="AI31" s="76">
        <v>0</v>
      </c>
      <c r="AJ31" s="76">
        <v>0</v>
      </c>
      <c r="AK31" s="76">
        <v>0</v>
      </c>
      <c r="AL31" s="76">
        <v>0</v>
      </c>
      <c r="AM31" s="76">
        <v>0</v>
      </c>
      <c r="AN31" s="76">
        <v>0</v>
      </c>
      <c r="AO31" s="76">
        <v>0</v>
      </c>
      <c r="AP31" s="76">
        <v>0</v>
      </c>
      <c r="AQ31" s="76">
        <v>0</v>
      </c>
      <c r="AR31" s="76">
        <v>0</v>
      </c>
      <c r="AS31" s="76">
        <v>0</v>
      </c>
      <c r="AT31" s="76">
        <v>0</v>
      </c>
      <c r="AU31" s="76">
        <v>0</v>
      </c>
      <c r="AV31" s="76">
        <v>0</v>
      </c>
      <c r="AW31" s="78">
        <v>0</v>
      </c>
    </row>
    <row r="32" spans="1:49">
      <c r="A32" s="65">
        <f>A31+1</f>
        <v>4</v>
      </c>
      <c r="B32" s="66" t="s">
        <v>73</v>
      </c>
      <c r="C32" s="67" t="s">
        <v>70</v>
      </c>
      <c r="D32" s="57"/>
      <c r="E32" s="68">
        <f>'[5]Initiative Level - LDC'!G245</f>
        <v>0</v>
      </c>
      <c r="F32" s="69">
        <f>'[5]Initiative Level - LDC'!H245</f>
        <v>0</v>
      </c>
      <c r="G32" s="69">
        <f>'[5]Initiative Level - LDC'!I245</f>
        <v>0</v>
      </c>
      <c r="H32" s="69">
        <f>'[5]Initiative Level - LDC'!J245</f>
        <v>1.9832134453929493</v>
      </c>
      <c r="I32" s="69">
        <f>'[5]Initiative Level - LDC'!K245</f>
        <v>0.39714911212983151</v>
      </c>
      <c r="J32" s="69">
        <f>'[5]Initiative Level - LDC'!L245</f>
        <v>0.39714911212983151</v>
      </c>
      <c r="K32" s="69">
        <f>'[5]Initiative Level - LDC'!M245</f>
        <v>0.3943460874968715</v>
      </c>
      <c r="L32" s="69">
        <f>'[5]Initiative Level - LDC'!N245</f>
        <v>0.37299189136086264</v>
      </c>
      <c r="M32" s="69">
        <f>'[5]Initiative Level - LDC'!O245</f>
        <v>0.3327037784320146</v>
      </c>
      <c r="N32" s="69">
        <f>'[5]Initiative Level - LDC'!P245</f>
        <v>0.32842351822374477</v>
      </c>
      <c r="O32" s="69">
        <f>'[5]Initiative Level - LDC'!Q245</f>
        <v>0.32842351822374477</v>
      </c>
      <c r="P32" s="69">
        <f>'[5]Initiative Level - LDC'!R245</f>
        <v>0.31491159684663766</v>
      </c>
      <c r="Q32" s="69">
        <f>'[5]Initiative Level - LDC'!S245</f>
        <v>0.31491159684663766</v>
      </c>
      <c r="R32" s="69">
        <f>'[5]Initiative Level - LDC'!T245</f>
        <v>0.30633921895161664</v>
      </c>
      <c r="S32" s="69">
        <f>'[5]Initiative Level - LDC'!U245</f>
        <v>0.30632494792267884</v>
      </c>
      <c r="T32" s="69">
        <f>'[5]Initiative Level - LDC'!V245</f>
        <v>0.28990663565796104</v>
      </c>
      <c r="U32" s="69">
        <f>'[5]Initiative Level - LDC'!W245</f>
        <v>0.28990663565796104</v>
      </c>
      <c r="V32" s="69">
        <f>'[5]Initiative Level - LDC'!X245</f>
        <v>0.28826854935492752</v>
      </c>
      <c r="W32" s="69">
        <f>'[5]Initiative Level - LDC'!Y245</f>
        <v>0.25683327469870743</v>
      </c>
      <c r="X32" s="69">
        <f>'[5]Initiative Level - LDC'!Z245</f>
        <v>0.25523485069880231</v>
      </c>
      <c r="Y32" s="69">
        <f>'[5]Initiative Level - LDC'!AA245</f>
        <v>0.25523485069880231</v>
      </c>
      <c r="Z32" s="69">
        <f>'[5]Initiative Level - LDC'!AB245</f>
        <v>0.20780656472408748</v>
      </c>
      <c r="AA32" s="69">
        <f>'[5]Initiative Level - LDC'!AC245</f>
        <v>2.0901219769355415E-2</v>
      </c>
      <c r="AB32" s="69">
        <f>'[5]Initiative Level - LDC'!AD245</f>
        <v>0</v>
      </c>
      <c r="AC32" s="69">
        <f>'[5]Initiative Level - LDC'!AE245</f>
        <v>0</v>
      </c>
      <c r="AD32" s="69">
        <f>'[5]Initiative Level - LDC'!AF245</f>
        <v>0</v>
      </c>
      <c r="AE32" s="69">
        <f>'[5]Initiative Level - LDC'!AG245</f>
        <v>0</v>
      </c>
      <c r="AF32" s="69">
        <f>'[5]Initiative Level - LDC'!AH245</f>
        <v>0</v>
      </c>
      <c r="AG32" s="69">
        <f>'[5]Initiative Level - LDC'!AI245</f>
        <v>0</v>
      </c>
      <c r="AH32" s="70">
        <f>'[5]Initiative Level - LDC'!AJ245</f>
        <v>0</v>
      </c>
      <c r="AI32" s="69">
        <v>0</v>
      </c>
      <c r="AJ32" s="69">
        <v>0</v>
      </c>
      <c r="AK32" s="69">
        <v>0</v>
      </c>
      <c r="AL32" s="69">
        <v>0</v>
      </c>
      <c r="AM32" s="69">
        <v>0</v>
      </c>
      <c r="AN32" s="69">
        <v>0</v>
      </c>
      <c r="AO32" s="69">
        <v>0</v>
      </c>
      <c r="AP32" s="69">
        <v>0</v>
      </c>
      <c r="AQ32" s="69">
        <v>0</v>
      </c>
      <c r="AR32" s="69">
        <v>0</v>
      </c>
      <c r="AS32" s="69">
        <v>0</v>
      </c>
      <c r="AT32" s="69">
        <v>0</v>
      </c>
      <c r="AU32" s="69">
        <v>0</v>
      </c>
      <c r="AV32" s="69">
        <v>0</v>
      </c>
      <c r="AW32" s="71">
        <v>0</v>
      </c>
    </row>
    <row r="33" spans="1:49">
      <c r="A33" s="72">
        <f>A32+1</f>
        <v>5</v>
      </c>
      <c r="B33" s="73" t="s">
        <v>74</v>
      </c>
      <c r="C33" s="74" t="s">
        <v>70</v>
      </c>
      <c r="D33" s="57"/>
      <c r="E33" s="75">
        <f>'[5]Initiative Level - LDC'!G247</f>
        <v>0</v>
      </c>
      <c r="F33" s="76">
        <f>'[5]Initiative Level - LDC'!H247</f>
        <v>0</v>
      </c>
      <c r="G33" s="76">
        <f>'[5]Initiative Level - LDC'!I247</f>
        <v>0</v>
      </c>
      <c r="H33" s="76">
        <f>'[5]Initiative Level - LDC'!J247</f>
        <v>0</v>
      </c>
      <c r="I33" s="76">
        <f>'[5]Initiative Level - LDC'!K247</f>
        <v>1.9732032265124528</v>
      </c>
      <c r="J33" s="76">
        <f>'[5]Initiative Level - LDC'!L247</f>
        <v>0.64423118941256274</v>
      </c>
      <c r="K33" s="76">
        <f>'[5]Initiative Level - LDC'!M247</f>
        <v>0.64422078120030224</v>
      </c>
      <c r="L33" s="76">
        <f>'[5]Initiative Level - LDC'!N247</f>
        <v>0.63593583887177163</v>
      </c>
      <c r="M33" s="76">
        <f>'[5]Initiative Level - LDC'!O247</f>
        <v>0.5980663199359959</v>
      </c>
      <c r="N33" s="76">
        <f>'[5]Initiative Level - LDC'!P247</f>
        <v>0.54567543078873371</v>
      </c>
      <c r="O33" s="76">
        <f>'[5]Initiative Level - LDC'!Q247</f>
        <v>0.545100059237974</v>
      </c>
      <c r="P33" s="76">
        <f>'[5]Initiative Level - LDC'!R247</f>
        <v>0.545100059237974</v>
      </c>
      <c r="Q33" s="76">
        <f>'[5]Initiative Level - LDC'!S247</f>
        <v>0.41342594778244113</v>
      </c>
      <c r="R33" s="76">
        <f>'[5]Initiative Level - LDC'!T247</f>
        <v>0.40867406933734984</v>
      </c>
      <c r="S33" s="76">
        <f>'[5]Initiative Level - LDC'!U247</f>
        <v>0.18843497676349483</v>
      </c>
      <c r="T33" s="76">
        <f>'[5]Initiative Level - LDC'!V247</f>
        <v>0.18843497676349483</v>
      </c>
      <c r="U33" s="76">
        <f>'[5]Initiative Level - LDC'!W247</f>
        <v>0.18782566536626788</v>
      </c>
      <c r="V33" s="76">
        <f>'[5]Initiative Level - LDC'!X247</f>
        <v>0.18782566536626788</v>
      </c>
      <c r="W33" s="76">
        <f>'[5]Initiative Level - LDC'!Y247</f>
        <v>0.18782566536626788</v>
      </c>
      <c r="X33" s="76">
        <f>'[5]Initiative Level - LDC'!Z247</f>
        <v>0.17868207978678596</v>
      </c>
      <c r="Y33" s="76">
        <f>'[5]Initiative Level - LDC'!AA247</f>
        <v>0.17775838362359514</v>
      </c>
      <c r="Z33" s="76">
        <f>'[5]Initiative Level - LDC'!AB247</f>
        <v>0.17775838362359514</v>
      </c>
      <c r="AA33" s="76">
        <f>'[5]Initiative Level - LDC'!AC247</f>
        <v>0.16811478064100352</v>
      </c>
      <c r="AB33" s="76">
        <f>'[5]Initiative Level - LDC'!AD247</f>
        <v>6.1293272595502622E-2</v>
      </c>
      <c r="AC33" s="76">
        <f>'[5]Initiative Level - LDC'!AE247</f>
        <v>0</v>
      </c>
      <c r="AD33" s="76">
        <f>'[5]Initiative Level - LDC'!AF247</f>
        <v>0</v>
      </c>
      <c r="AE33" s="76">
        <f>'[5]Initiative Level - LDC'!AG247</f>
        <v>0</v>
      </c>
      <c r="AF33" s="76">
        <f>'[5]Initiative Level - LDC'!AH247</f>
        <v>0</v>
      </c>
      <c r="AG33" s="76">
        <f>'[5]Initiative Level - LDC'!AI247</f>
        <v>0</v>
      </c>
      <c r="AH33" s="77">
        <f>'[5]Initiative Level - LDC'!AJ247</f>
        <v>0</v>
      </c>
      <c r="AI33" s="76">
        <f>'[5]Initiative Level - LDC'!AK247</f>
        <v>0</v>
      </c>
      <c r="AJ33" s="76">
        <f>'[5]Initiative Level - LDC'!AL247</f>
        <v>0</v>
      </c>
      <c r="AK33" s="76">
        <f>'[5]Initiative Level - LDC'!AM247</f>
        <v>0</v>
      </c>
      <c r="AL33" s="76">
        <f>'[5]Initiative Level - LDC'!AN247</f>
        <v>0</v>
      </c>
      <c r="AM33" s="76">
        <f>'[5]Initiative Level - LDC'!AO247</f>
        <v>0</v>
      </c>
      <c r="AN33" s="76">
        <f>'[5]Initiative Level - LDC'!AP247</f>
        <v>0</v>
      </c>
      <c r="AO33" s="76">
        <f>'[5]Initiative Level - LDC'!AQ247</f>
        <v>0</v>
      </c>
      <c r="AP33" s="76">
        <f>'[5]Initiative Level - LDC'!AR247</f>
        <v>0</v>
      </c>
      <c r="AQ33" s="76">
        <f>'[5]Initiative Level - LDC'!AS247</f>
        <v>0</v>
      </c>
      <c r="AR33" s="76">
        <f>'[5]Initiative Level - LDC'!AT247</f>
        <v>0</v>
      </c>
      <c r="AS33" s="76">
        <f>'[5]Initiative Level - LDC'!AU247</f>
        <v>0</v>
      </c>
      <c r="AT33" s="76">
        <f>'[5]Initiative Level - LDC'!AV247</f>
        <v>0</v>
      </c>
      <c r="AU33" s="76">
        <f>'[5]Initiative Level - LDC'!AW247</f>
        <v>0</v>
      </c>
      <c r="AV33" s="76">
        <f>'[5]Initiative Level - LDC'!AX247</f>
        <v>0</v>
      </c>
      <c r="AW33" s="78">
        <f>'[5]Initiative Level - LDC'!AY247</f>
        <v>0</v>
      </c>
    </row>
    <row r="34" spans="1:49">
      <c r="A34" s="79" t="s">
        <v>52</v>
      </c>
      <c r="B34" s="80"/>
      <c r="C34" s="81"/>
      <c r="D34" s="55"/>
      <c r="E34" s="82">
        <f>SUM(E29:E33)</f>
        <v>0.98012511111797729</v>
      </c>
      <c r="F34" s="82">
        <f t="shared" ref="F34:AW34" si="6">SUM(F29:F33)</f>
        <v>3.0521425736866932</v>
      </c>
      <c r="G34" s="82">
        <f t="shared" si="6"/>
        <v>2.8442737829152183</v>
      </c>
      <c r="H34" s="82">
        <f t="shared" si="6"/>
        <v>2.8253256886441394</v>
      </c>
      <c r="I34" s="82">
        <f t="shared" si="6"/>
        <v>3.2124645818934745</v>
      </c>
      <c r="J34" s="82">
        <f t="shared" si="6"/>
        <v>1.8789999677219515</v>
      </c>
      <c r="K34" s="82">
        <f t="shared" si="6"/>
        <v>1.8225551873940458</v>
      </c>
      <c r="L34" s="82">
        <f t="shared" si="6"/>
        <v>1.7929160489295062</v>
      </c>
      <c r="M34" s="82">
        <f t="shared" si="6"/>
        <v>1.6787139878279502</v>
      </c>
      <c r="N34" s="82">
        <f t="shared" si="6"/>
        <v>1.5872139771650566</v>
      </c>
      <c r="O34" s="82">
        <f t="shared" si="6"/>
        <v>1.5517811160380341</v>
      </c>
      <c r="P34" s="82">
        <f t="shared" si="6"/>
        <v>1.4877760777371118</v>
      </c>
      <c r="Q34" s="82">
        <f t="shared" si="6"/>
        <v>1.3525748916067284</v>
      </c>
      <c r="R34" s="82">
        <f t="shared" si="6"/>
        <v>1.339250635266616</v>
      </c>
      <c r="S34" s="82">
        <f t="shared" si="6"/>
        <v>1.0770711733827825</v>
      </c>
      <c r="T34" s="82">
        <f t="shared" si="6"/>
        <v>0.80202030589286177</v>
      </c>
      <c r="U34" s="82">
        <f t="shared" si="6"/>
        <v>0.70135132668279165</v>
      </c>
      <c r="V34" s="82">
        <f t="shared" si="6"/>
        <v>0.6740098761632527</v>
      </c>
      <c r="W34" s="82">
        <f t="shared" si="6"/>
        <v>0.59529868377557704</v>
      </c>
      <c r="X34" s="82">
        <f t="shared" si="6"/>
        <v>0.56185097910845683</v>
      </c>
      <c r="Y34" s="82">
        <f t="shared" si="6"/>
        <v>0.43731323432239744</v>
      </c>
      <c r="Z34" s="82">
        <f t="shared" si="6"/>
        <v>0.38988494834768261</v>
      </c>
      <c r="AA34" s="82">
        <f t="shared" si="6"/>
        <v>0.18901600041035893</v>
      </c>
      <c r="AB34" s="82">
        <f t="shared" si="6"/>
        <v>6.1293272595502622E-2</v>
      </c>
      <c r="AC34" s="82">
        <f t="shared" si="6"/>
        <v>0</v>
      </c>
      <c r="AD34" s="82">
        <f t="shared" si="6"/>
        <v>0</v>
      </c>
      <c r="AE34" s="82">
        <f t="shared" si="6"/>
        <v>0</v>
      </c>
      <c r="AF34" s="82">
        <f t="shared" si="6"/>
        <v>0</v>
      </c>
      <c r="AG34" s="82">
        <f t="shared" si="6"/>
        <v>0</v>
      </c>
      <c r="AH34" s="82">
        <f t="shared" si="6"/>
        <v>0</v>
      </c>
      <c r="AI34" s="82">
        <f t="shared" si="6"/>
        <v>0</v>
      </c>
      <c r="AJ34" s="82">
        <f t="shared" si="6"/>
        <v>0</v>
      </c>
      <c r="AK34" s="82">
        <f t="shared" si="6"/>
        <v>0</v>
      </c>
      <c r="AL34" s="82">
        <f t="shared" si="6"/>
        <v>0</v>
      </c>
      <c r="AM34" s="82">
        <f t="shared" si="6"/>
        <v>0</v>
      </c>
      <c r="AN34" s="82">
        <f t="shared" si="6"/>
        <v>0</v>
      </c>
      <c r="AO34" s="82">
        <f t="shared" si="6"/>
        <v>0</v>
      </c>
      <c r="AP34" s="82">
        <f t="shared" si="6"/>
        <v>0</v>
      </c>
      <c r="AQ34" s="82">
        <f t="shared" si="6"/>
        <v>0</v>
      </c>
      <c r="AR34" s="82">
        <f t="shared" si="6"/>
        <v>0</v>
      </c>
      <c r="AS34" s="82">
        <f t="shared" si="6"/>
        <v>0</v>
      </c>
      <c r="AT34" s="82">
        <f t="shared" si="6"/>
        <v>0</v>
      </c>
      <c r="AU34" s="82">
        <f t="shared" si="6"/>
        <v>0</v>
      </c>
      <c r="AV34" s="82">
        <f t="shared" si="6"/>
        <v>0</v>
      </c>
      <c r="AW34" s="82">
        <f t="shared" si="6"/>
        <v>0</v>
      </c>
    </row>
    <row r="36" spans="1:49" ht="15.75">
      <c r="A36" s="53" t="s">
        <v>77</v>
      </c>
    </row>
    <row r="37" spans="1:49" ht="25.5">
      <c r="A37" s="54" t="s">
        <v>66</v>
      </c>
      <c r="B37" s="54" t="s">
        <v>67</v>
      </c>
      <c r="C37" s="54" t="s">
        <v>68</v>
      </c>
      <c r="D37" s="55"/>
      <c r="E37" s="56">
        <v>2006</v>
      </c>
      <c r="F37" s="56">
        <f>E37+1</f>
        <v>2007</v>
      </c>
      <c r="G37" s="56">
        <f t="shared" ref="G37:AW37" si="7">F37+1</f>
        <v>2008</v>
      </c>
      <c r="H37" s="56">
        <f t="shared" si="7"/>
        <v>2009</v>
      </c>
      <c r="I37" s="56">
        <f t="shared" si="7"/>
        <v>2010</v>
      </c>
      <c r="J37" s="56">
        <f t="shared" si="7"/>
        <v>2011</v>
      </c>
      <c r="K37" s="56">
        <f t="shared" si="7"/>
        <v>2012</v>
      </c>
      <c r="L37" s="56">
        <f t="shared" si="7"/>
        <v>2013</v>
      </c>
      <c r="M37" s="56">
        <f t="shared" si="7"/>
        <v>2014</v>
      </c>
      <c r="N37" s="56">
        <f t="shared" si="7"/>
        <v>2015</v>
      </c>
      <c r="O37" s="56">
        <f t="shared" si="7"/>
        <v>2016</v>
      </c>
      <c r="P37" s="56">
        <f t="shared" si="7"/>
        <v>2017</v>
      </c>
      <c r="Q37" s="56">
        <f t="shared" si="7"/>
        <v>2018</v>
      </c>
      <c r="R37" s="56">
        <f t="shared" si="7"/>
        <v>2019</v>
      </c>
      <c r="S37" s="56">
        <f t="shared" si="7"/>
        <v>2020</v>
      </c>
      <c r="T37" s="56">
        <f t="shared" si="7"/>
        <v>2021</v>
      </c>
      <c r="U37" s="56">
        <f t="shared" si="7"/>
        <v>2022</v>
      </c>
      <c r="V37" s="56">
        <f t="shared" si="7"/>
        <v>2023</v>
      </c>
      <c r="W37" s="56">
        <f t="shared" si="7"/>
        <v>2024</v>
      </c>
      <c r="X37" s="56">
        <f t="shared" si="7"/>
        <v>2025</v>
      </c>
      <c r="Y37" s="56">
        <f t="shared" si="7"/>
        <v>2026</v>
      </c>
      <c r="Z37" s="56">
        <f t="shared" si="7"/>
        <v>2027</v>
      </c>
      <c r="AA37" s="56">
        <f t="shared" si="7"/>
        <v>2028</v>
      </c>
      <c r="AB37" s="56">
        <f t="shared" si="7"/>
        <v>2029</v>
      </c>
      <c r="AC37" s="56">
        <f t="shared" si="7"/>
        <v>2030</v>
      </c>
      <c r="AD37" s="56">
        <f t="shared" si="7"/>
        <v>2031</v>
      </c>
      <c r="AE37" s="56">
        <f t="shared" si="7"/>
        <v>2032</v>
      </c>
      <c r="AF37" s="56">
        <f t="shared" si="7"/>
        <v>2033</v>
      </c>
      <c r="AG37" s="56">
        <f t="shared" si="7"/>
        <v>2034</v>
      </c>
      <c r="AH37" s="56">
        <f t="shared" si="7"/>
        <v>2035</v>
      </c>
      <c r="AI37" s="56">
        <f t="shared" si="7"/>
        <v>2036</v>
      </c>
      <c r="AJ37" s="56">
        <f t="shared" si="7"/>
        <v>2037</v>
      </c>
      <c r="AK37" s="56">
        <f t="shared" si="7"/>
        <v>2038</v>
      </c>
      <c r="AL37" s="56">
        <f t="shared" si="7"/>
        <v>2039</v>
      </c>
      <c r="AM37" s="56">
        <f t="shared" si="7"/>
        <v>2040</v>
      </c>
      <c r="AN37" s="56">
        <f t="shared" si="7"/>
        <v>2041</v>
      </c>
      <c r="AO37" s="56">
        <f t="shared" si="7"/>
        <v>2042</v>
      </c>
      <c r="AP37" s="56">
        <f t="shared" si="7"/>
        <v>2043</v>
      </c>
      <c r="AQ37" s="56">
        <f t="shared" si="7"/>
        <v>2044</v>
      </c>
      <c r="AR37" s="56">
        <f t="shared" si="7"/>
        <v>2045</v>
      </c>
      <c r="AS37" s="56">
        <f t="shared" si="7"/>
        <v>2046</v>
      </c>
      <c r="AT37" s="56">
        <f t="shared" si="7"/>
        <v>2047</v>
      </c>
      <c r="AU37" s="56">
        <f t="shared" si="7"/>
        <v>2048</v>
      </c>
      <c r="AV37" s="56">
        <f t="shared" si="7"/>
        <v>2049</v>
      </c>
      <c r="AW37" s="56">
        <f t="shared" si="7"/>
        <v>2050</v>
      </c>
    </row>
    <row r="38" spans="1:49" ht="5.0999999999999996" customHeight="1">
      <c r="A38" s="57"/>
      <c r="B38" s="57"/>
      <c r="C38" s="57"/>
      <c r="D38" s="57"/>
    </row>
    <row r="39" spans="1:49">
      <c r="A39" s="58">
        <v>1</v>
      </c>
      <c r="B39" s="59" t="s">
        <v>69</v>
      </c>
      <c r="C39" s="60" t="s">
        <v>70</v>
      </c>
      <c r="D39" s="57"/>
      <c r="E39" s="83">
        <f>'[5]Initiative Level - LDC'!G321</f>
        <v>2168.9608191896109</v>
      </c>
      <c r="F39" s="84">
        <f>'[5]Initiative Level - LDC'!H321</f>
        <v>2168.9608191896109</v>
      </c>
      <c r="G39" s="84">
        <f>'[5]Initiative Level - LDC'!I321</f>
        <v>2168.9608191896109</v>
      </c>
      <c r="H39" s="84">
        <f>'[5]Initiative Level - LDC'!J321</f>
        <v>2168.9608191896109</v>
      </c>
      <c r="I39" s="84">
        <f>'[5]Initiative Level - LDC'!K321</f>
        <v>385.83597205628951</v>
      </c>
      <c r="J39" s="84">
        <f>'[5]Initiative Level - LDC'!L321</f>
        <v>385.83597205628951</v>
      </c>
      <c r="K39" s="84">
        <f>'[5]Initiative Level - LDC'!M321</f>
        <v>353.8776060382495</v>
      </c>
      <c r="L39" s="84">
        <f>'[5]Initiative Level - LDC'!N321</f>
        <v>353.8776060382495</v>
      </c>
      <c r="M39" s="84">
        <f>'[5]Initiative Level - LDC'!O321</f>
        <v>333.18969589415468</v>
      </c>
      <c r="N39" s="84">
        <f>'[5]Initiative Level - LDC'!P321</f>
        <v>333.18969589415468</v>
      </c>
      <c r="O39" s="84">
        <f>'[5]Initiative Level - LDC'!Q321</f>
        <v>315.40126603994185</v>
      </c>
      <c r="P39" s="84">
        <f>'[5]Initiative Level - LDC'!R321</f>
        <v>315.40126603994185</v>
      </c>
      <c r="Q39" s="84">
        <f>'[5]Initiative Level - LDC'!S321</f>
        <v>315.40126603994185</v>
      </c>
      <c r="R39" s="84">
        <f>'[5]Initiative Level - LDC'!T321</f>
        <v>315.40126603994185</v>
      </c>
      <c r="S39" s="84">
        <f>'[5]Initiative Level - LDC'!U321</f>
        <v>286.54557248721767</v>
      </c>
      <c r="T39" s="84">
        <f>'[5]Initiative Level - LDC'!V321</f>
        <v>240.31093534925722</v>
      </c>
      <c r="U39" s="84">
        <f>'[5]Initiative Level - LDC'!W321</f>
        <v>240.31093534925722</v>
      </c>
      <c r="V39" s="84">
        <f>'[5]Initiative Level - LDC'!X321</f>
        <v>240.31093534925722</v>
      </c>
      <c r="W39" s="84">
        <f>'[5]Initiative Level - LDC'!Y321</f>
        <v>129.38732774828517</v>
      </c>
      <c r="X39" s="84">
        <f>'[5]Initiative Level - LDC'!Z321</f>
        <v>129.38732774828517</v>
      </c>
      <c r="Y39" s="84">
        <f>'[5]Initiative Level - LDC'!AA321</f>
        <v>75.497232970001036</v>
      </c>
      <c r="Z39" s="84">
        <f>'[5]Initiative Level - LDC'!AB321</f>
        <v>75.497232970001036</v>
      </c>
      <c r="AA39" s="84">
        <f>'[5]Initiative Level - LDC'!AC321</f>
        <v>75.497232970001036</v>
      </c>
      <c r="AB39" s="84">
        <f>'[5]Initiative Level - LDC'!AD321</f>
        <v>75.497232970001036</v>
      </c>
      <c r="AC39" s="84">
        <f>'[5]Initiative Level - LDC'!AE321</f>
        <v>75.497232970001036</v>
      </c>
      <c r="AD39" s="84">
        <f>'[5]Initiative Level - LDC'!AF321</f>
        <v>11.834705580732592</v>
      </c>
      <c r="AE39" s="84">
        <f>'[5]Initiative Level - LDC'!AG321</f>
        <v>11.834705580732592</v>
      </c>
      <c r="AF39" s="84">
        <f>'[5]Initiative Level - LDC'!AH321</f>
        <v>11.834705580732592</v>
      </c>
      <c r="AG39" s="84">
        <f>'[5]Initiative Level - LDC'!AI321</f>
        <v>11.834705580732592</v>
      </c>
      <c r="AH39" s="85">
        <f>'[5]Initiative Level - LDC'!AJ321</f>
        <v>11.834705580732592</v>
      </c>
      <c r="AI39" s="84">
        <v>0</v>
      </c>
      <c r="AJ39" s="84">
        <v>0</v>
      </c>
      <c r="AK39" s="84">
        <v>0</v>
      </c>
      <c r="AL39" s="84">
        <v>0</v>
      </c>
      <c r="AM39" s="84">
        <v>0</v>
      </c>
      <c r="AN39" s="84">
        <v>0</v>
      </c>
      <c r="AO39" s="84">
        <v>0</v>
      </c>
      <c r="AP39" s="84">
        <v>0</v>
      </c>
      <c r="AQ39" s="84">
        <v>0</v>
      </c>
      <c r="AR39" s="84">
        <v>0</v>
      </c>
      <c r="AS39" s="84">
        <v>0</v>
      </c>
      <c r="AT39" s="84">
        <v>0</v>
      </c>
      <c r="AU39" s="84">
        <v>0</v>
      </c>
      <c r="AV39" s="84">
        <v>0</v>
      </c>
      <c r="AW39" s="86">
        <v>0</v>
      </c>
    </row>
    <row r="40" spans="1:49">
      <c r="A40" s="65">
        <f>A39+1</f>
        <v>2</v>
      </c>
      <c r="B40" s="66" t="s">
        <v>71</v>
      </c>
      <c r="C40" s="67" t="s">
        <v>70</v>
      </c>
      <c r="D40" s="57"/>
      <c r="E40" s="87">
        <f>'[5]Initiative Level - LDC'!G323</f>
        <v>0</v>
      </c>
      <c r="F40" s="88">
        <f>'[5]Initiative Level - LDC'!H323</f>
        <v>4410.9919921905503</v>
      </c>
      <c r="G40" s="88">
        <f>'[5]Initiative Level - LDC'!I323</f>
        <v>1913.0426010228837</v>
      </c>
      <c r="H40" s="88">
        <f>'[5]Initiative Level - LDC'!J323</f>
        <v>1600.2303043506645</v>
      </c>
      <c r="I40" s="88">
        <f>'[5]Initiative Level - LDC'!K323</f>
        <v>1600.2303043506645</v>
      </c>
      <c r="J40" s="88">
        <f>'[5]Initiative Level - LDC'!L323</f>
        <v>1599.2696156720085</v>
      </c>
      <c r="K40" s="88">
        <f>'[5]Initiative Level - LDC'!M323</f>
        <v>1511.9005338443535</v>
      </c>
      <c r="L40" s="88">
        <f>'[5]Initiative Level - LDC'!N323</f>
        <v>1511.9005338443535</v>
      </c>
      <c r="M40" s="88">
        <f>'[5]Initiative Level - LDC'!O323</f>
        <v>1511.9005338443535</v>
      </c>
      <c r="N40" s="88">
        <f>'[5]Initiative Level - LDC'!P323</f>
        <v>653.90897384127891</v>
      </c>
      <c r="O40" s="88">
        <f>'[5]Initiative Level - LDC'!Q323</f>
        <v>505.01627325121933</v>
      </c>
      <c r="P40" s="88">
        <f>'[5]Initiative Level - LDC'!R323</f>
        <v>367.10328088879737</v>
      </c>
      <c r="Q40" s="88">
        <f>'[5]Initiative Level - LDC'!S323</f>
        <v>367.10328088879737</v>
      </c>
      <c r="R40" s="88">
        <f>'[5]Initiative Level - LDC'!T323</f>
        <v>367.10328088879737</v>
      </c>
      <c r="S40" s="88">
        <f>'[5]Initiative Level - LDC'!U323</f>
        <v>367.10328088879737</v>
      </c>
      <c r="T40" s="88">
        <f>'[5]Initiative Level - LDC'!V323</f>
        <v>246.10378498625235</v>
      </c>
      <c r="U40" s="88">
        <f>'[5]Initiative Level - LDC'!W323</f>
        <v>71.441254173052698</v>
      </c>
      <c r="V40" s="88">
        <f>'[5]Initiative Level - LDC'!X323</f>
        <v>65.566123504926452</v>
      </c>
      <c r="W40" s="88">
        <f>'[5]Initiative Level - LDC'!Y323</f>
        <v>65.566123504926452</v>
      </c>
      <c r="X40" s="88">
        <f>'[5]Initiative Level - LDC'!Z323</f>
        <v>41.419382695829547</v>
      </c>
      <c r="Y40" s="88">
        <f>'[5]Initiative Level - LDC'!AA323</f>
        <v>0</v>
      </c>
      <c r="Z40" s="88">
        <f>'[5]Initiative Level - LDC'!AB323</f>
        <v>0</v>
      </c>
      <c r="AA40" s="88">
        <f>'[5]Initiative Level - LDC'!AC323</f>
        <v>0</v>
      </c>
      <c r="AB40" s="88">
        <f>'[5]Initiative Level - LDC'!AD323</f>
        <v>0</v>
      </c>
      <c r="AC40" s="88">
        <f>'[5]Initiative Level - LDC'!AE323</f>
        <v>0</v>
      </c>
      <c r="AD40" s="88">
        <f>'[5]Initiative Level - LDC'!AF323</f>
        <v>0</v>
      </c>
      <c r="AE40" s="88">
        <f>'[5]Initiative Level - LDC'!AG323</f>
        <v>0</v>
      </c>
      <c r="AF40" s="88">
        <f>'[5]Initiative Level - LDC'!AH323</f>
        <v>0</v>
      </c>
      <c r="AG40" s="88">
        <f>'[5]Initiative Level - LDC'!AI323</f>
        <v>0</v>
      </c>
      <c r="AH40" s="89">
        <f>'[5]Initiative Level - LDC'!AJ323</f>
        <v>0</v>
      </c>
      <c r="AI40" s="88">
        <v>0</v>
      </c>
      <c r="AJ40" s="88">
        <v>0</v>
      </c>
      <c r="AK40" s="88">
        <v>0</v>
      </c>
      <c r="AL40" s="88">
        <v>0</v>
      </c>
      <c r="AM40" s="88">
        <v>0</v>
      </c>
      <c r="AN40" s="88">
        <v>0</v>
      </c>
      <c r="AO40" s="88">
        <v>0</v>
      </c>
      <c r="AP40" s="88">
        <v>0</v>
      </c>
      <c r="AQ40" s="88">
        <v>0</v>
      </c>
      <c r="AR40" s="88">
        <v>0</v>
      </c>
      <c r="AS40" s="88">
        <v>0</v>
      </c>
      <c r="AT40" s="88">
        <v>0</v>
      </c>
      <c r="AU40" s="88">
        <v>0</v>
      </c>
      <c r="AV40" s="88">
        <v>0</v>
      </c>
      <c r="AW40" s="90">
        <v>0</v>
      </c>
    </row>
    <row r="41" spans="1:49">
      <c r="A41" s="72">
        <f>A40+1</f>
        <v>3</v>
      </c>
      <c r="B41" s="73" t="s">
        <v>72</v>
      </c>
      <c r="C41" s="74" t="s">
        <v>70</v>
      </c>
      <c r="D41" s="57"/>
      <c r="E41" s="91">
        <f>'[5]Initiative Level - LDC'!G325</f>
        <v>0</v>
      </c>
      <c r="F41" s="92">
        <f>'[5]Initiative Level - LDC'!H325</f>
        <v>0</v>
      </c>
      <c r="G41" s="92">
        <f>'[5]Initiative Level - LDC'!I325</f>
        <v>2099.9002591917988</v>
      </c>
      <c r="H41" s="92">
        <f>'[5]Initiative Level - LDC'!J325</f>
        <v>2092.1769438347915</v>
      </c>
      <c r="I41" s="92">
        <f>'[5]Initiative Level - LDC'!K325</f>
        <v>2092.1769438347915</v>
      </c>
      <c r="J41" s="92">
        <f>'[5]Initiative Level - LDC'!L325</f>
        <v>2092.1769438347915</v>
      </c>
      <c r="K41" s="92">
        <f>'[5]Initiative Level - LDC'!M325</f>
        <v>1848.2740522901909</v>
      </c>
      <c r="L41" s="92">
        <f>'[5]Initiative Level - LDC'!N325</f>
        <v>1847.5845522901909</v>
      </c>
      <c r="M41" s="92">
        <f>'[5]Initiative Level - LDC'!O325</f>
        <v>1629.1085769038027</v>
      </c>
      <c r="N41" s="92">
        <f>'[5]Initiative Level - LDC'!P325</f>
        <v>1434.3451695501183</v>
      </c>
      <c r="O41" s="92">
        <f>'[5]Initiative Level - LDC'!Q325</f>
        <v>1110.0959522867031</v>
      </c>
      <c r="P41" s="92">
        <f>'[5]Initiative Level - LDC'!R325</f>
        <v>843.1787257436855</v>
      </c>
      <c r="Q41" s="92">
        <f>'[5]Initiative Level - LDC'!S325</f>
        <v>748.71646564251989</v>
      </c>
      <c r="R41" s="92">
        <f>'[5]Initiative Level - LDC'!T325</f>
        <v>748.71646564251989</v>
      </c>
      <c r="S41" s="92">
        <f>'[5]Initiative Level - LDC'!U325</f>
        <v>727.3223456569491</v>
      </c>
      <c r="T41" s="92">
        <f>'[5]Initiative Level - LDC'!V325</f>
        <v>727.3223456569491</v>
      </c>
      <c r="U41" s="92">
        <f>'[5]Initiative Level - LDC'!W325</f>
        <v>726.03454983140057</v>
      </c>
      <c r="V41" s="92">
        <f>'[5]Initiative Level - LDC'!X325</f>
        <v>669.01551282875653</v>
      </c>
      <c r="W41" s="92">
        <f>'[5]Initiative Level - LDC'!Y325</f>
        <v>175.39013647896257</v>
      </c>
      <c r="X41" s="92">
        <f>'[5]Initiative Level - LDC'!Z325</f>
        <v>175.39013647896257</v>
      </c>
      <c r="Y41" s="92">
        <f>'[5]Initiative Level - LDC'!AA325</f>
        <v>4.9196159999999995</v>
      </c>
      <c r="Z41" s="92">
        <f>'[5]Initiative Level - LDC'!AB325</f>
        <v>4.9196159999999995</v>
      </c>
      <c r="AA41" s="92">
        <f>'[5]Initiative Level - LDC'!AC325</f>
        <v>0</v>
      </c>
      <c r="AB41" s="92">
        <f>'[5]Initiative Level - LDC'!AD325</f>
        <v>0</v>
      </c>
      <c r="AC41" s="92">
        <f>'[5]Initiative Level - LDC'!AE325</f>
        <v>0</v>
      </c>
      <c r="AD41" s="92">
        <f>'[5]Initiative Level - LDC'!AF325</f>
        <v>0</v>
      </c>
      <c r="AE41" s="92">
        <f>'[5]Initiative Level - LDC'!AG325</f>
        <v>0</v>
      </c>
      <c r="AF41" s="92">
        <f>'[5]Initiative Level - LDC'!AH325</f>
        <v>0</v>
      </c>
      <c r="AG41" s="92">
        <f>'[5]Initiative Level - LDC'!AI325</f>
        <v>0</v>
      </c>
      <c r="AH41" s="93">
        <f>'[5]Initiative Level - LDC'!AJ325</f>
        <v>0</v>
      </c>
      <c r="AI41" s="92">
        <v>0</v>
      </c>
      <c r="AJ41" s="92">
        <v>0</v>
      </c>
      <c r="AK41" s="92">
        <v>0</v>
      </c>
      <c r="AL41" s="92">
        <v>0</v>
      </c>
      <c r="AM41" s="92">
        <v>0</v>
      </c>
      <c r="AN41" s="92">
        <v>0</v>
      </c>
      <c r="AO41" s="92">
        <v>0</v>
      </c>
      <c r="AP41" s="92">
        <v>0</v>
      </c>
      <c r="AQ41" s="92">
        <v>0</v>
      </c>
      <c r="AR41" s="92">
        <v>0</v>
      </c>
      <c r="AS41" s="92">
        <v>0</v>
      </c>
      <c r="AT41" s="92">
        <v>0</v>
      </c>
      <c r="AU41" s="92">
        <v>0</v>
      </c>
      <c r="AV41" s="92">
        <v>0</v>
      </c>
      <c r="AW41" s="94">
        <v>0</v>
      </c>
    </row>
    <row r="42" spans="1:49">
      <c r="A42" s="65">
        <f>A41+1</f>
        <v>4</v>
      </c>
      <c r="B42" s="66" t="s">
        <v>73</v>
      </c>
      <c r="C42" s="67" t="s">
        <v>70</v>
      </c>
      <c r="D42" s="57"/>
      <c r="E42" s="68">
        <f>'[5]Initiative Level - LDC'!G327</f>
        <v>0</v>
      </c>
      <c r="F42" s="69">
        <f>'[5]Initiative Level - LDC'!H327</f>
        <v>0</v>
      </c>
      <c r="G42" s="69">
        <f>'[5]Initiative Level - LDC'!I327</f>
        <v>0</v>
      </c>
      <c r="H42" s="69">
        <f>'[5]Initiative Level - LDC'!J327</f>
        <v>1847.0610258725033</v>
      </c>
      <c r="I42" s="69">
        <f>'[5]Initiative Level - LDC'!K327</f>
        <v>1510.0445992005825</v>
      </c>
      <c r="J42" s="69">
        <f>'[5]Initiative Level - LDC'!L327</f>
        <v>1510.0445992005825</v>
      </c>
      <c r="K42" s="69">
        <f>'[5]Initiative Level - LDC'!M327</f>
        <v>1507.1571427418007</v>
      </c>
      <c r="L42" s="69">
        <f>'[5]Initiative Level - LDC'!N327</f>
        <v>1387.2924210380631</v>
      </c>
      <c r="M42" s="69">
        <f>'[5]Initiative Level - LDC'!O327</f>
        <v>1072.2872777864952</v>
      </c>
      <c r="N42" s="69">
        <f>'[5]Initiative Level - LDC'!P327</f>
        <v>975.35805360208951</v>
      </c>
      <c r="O42" s="69">
        <f>'[5]Initiative Level - LDC'!Q327</f>
        <v>972.83511411364248</v>
      </c>
      <c r="P42" s="69">
        <f>'[5]Initiative Level - LDC'!R327</f>
        <v>808.22716615753166</v>
      </c>
      <c r="Q42" s="69">
        <f>'[5]Initiative Level - LDC'!S327</f>
        <v>808.22716615753166</v>
      </c>
      <c r="R42" s="69">
        <f>'[5]Initiative Level - LDC'!T327</f>
        <v>701.75508692156882</v>
      </c>
      <c r="S42" s="69">
        <f>'[5]Initiative Level - LDC'!U327</f>
        <v>701.61723300077733</v>
      </c>
      <c r="T42" s="69">
        <f>'[5]Initiative Level - LDC'!V327</f>
        <v>647.63933352092886</v>
      </c>
      <c r="U42" s="69">
        <f>'[5]Initiative Level - LDC'!W327</f>
        <v>647.63933352092886</v>
      </c>
      <c r="V42" s="69">
        <f>'[5]Initiative Level - LDC'!X327</f>
        <v>631.90722537750867</v>
      </c>
      <c r="W42" s="69">
        <f>'[5]Initiative Level - LDC'!Y327</f>
        <v>511.65345391929765</v>
      </c>
      <c r="X42" s="69">
        <f>'[5]Initiative Level - LDC'!Z327</f>
        <v>469.98451829031563</v>
      </c>
      <c r="Y42" s="69">
        <f>'[5]Initiative Level - LDC'!AA327</f>
        <v>441.33763128059633</v>
      </c>
      <c r="Z42" s="69">
        <f>'[5]Initiative Level - LDC'!AB327</f>
        <v>398.0133713784486</v>
      </c>
      <c r="AA42" s="69">
        <f>'[5]Initiative Level - LDC'!AC327</f>
        <v>78.58914016184174</v>
      </c>
      <c r="AB42" s="69">
        <f>'[5]Initiative Level - LDC'!AD327</f>
        <v>0</v>
      </c>
      <c r="AC42" s="69">
        <f>'[5]Initiative Level - LDC'!AE327</f>
        <v>0</v>
      </c>
      <c r="AD42" s="69">
        <f>'[5]Initiative Level - LDC'!AF327</f>
        <v>0</v>
      </c>
      <c r="AE42" s="69">
        <f>'[5]Initiative Level - LDC'!AG327</f>
        <v>0</v>
      </c>
      <c r="AF42" s="69">
        <f>'[5]Initiative Level - LDC'!AH327</f>
        <v>0</v>
      </c>
      <c r="AG42" s="69">
        <f>'[5]Initiative Level - LDC'!AI327</f>
        <v>0</v>
      </c>
      <c r="AH42" s="70">
        <f>'[5]Initiative Level - LDC'!AJ327</f>
        <v>0</v>
      </c>
      <c r="AI42" s="69">
        <v>0</v>
      </c>
      <c r="AJ42" s="69">
        <v>0</v>
      </c>
      <c r="AK42" s="69">
        <v>0</v>
      </c>
      <c r="AL42" s="69">
        <v>0</v>
      </c>
      <c r="AM42" s="69">
        <v>0</v>
      </c>
      <c r="AN42" s="69">
        <v>0</v>
      </c>
      <c r="AO42" s="69">
        <v>0</v>
      </c>
      <c r="AP42" s="69">
        <v>0</v>
      </c>
      <c r="AQ42" s="69">
        <v>0</v>
      </c>
      <c r="AR42" s="69">
        <v>0</v>
      </c>
      <c r="AS42" s="69">
        <v>0</v>
      </c>
      <c r="AT42" s="69">
        <v>0</v>
      </c>
      <c r="AU42" s="69">
        <v>0</v>
      </c>
      <c r="AV42" s="69">
        <v>0</v>
      </c>
      <c r="AW42" s="71">
        <v>0</v>
      </c>
    </row>
    <row r="43" spans="1:49">
      <c r="A43" s="72">
        <f>A42+1</f>
        <v>5</v>
      </c>
      <c r="B43" s="73" t="s">
        <v>74</v>
      </c>
      <c r="C43" s="74" t="s">
        <v>70</v>
      </c>
      <c r="D43" s="57"/>
      <c r="E43" s="91">
        <f>'[5]Initiative Level - LDC'!G329</f>
        <v>0</v>
      </c>
      <c r="F43" s="92">
        <f>'[5]Initiative Level - LDC'!H329</f>
        <v>0</v>
      </c>
      <c r="G43" s="92">
        <f>'[5]Initiative Level - LDC'!I329</f>
        <v>0</v>
      </c>
      <c r="H43" s="92">
        <f>'[5]Initiative Level - LDC'!J329</f>
        <v>0</v>
      </c>
      <c r="I43" s="92">
        <f>'[5]Initiative Level - LDC'!K329</f>
        <v>3888.7476455252399</v>
      </c>
      <c r="J43" s="92">
        <f>'[5]Initiative Level - LDC'!L329</f>
        <v>3409.519875162553</v>
      </c>
      <c r="K43" s="92">
        <f>'[5]Initiative Level - LDC'!M329</f>
        <v>3409.1950461664583</v>
      </c>
      <c r="L43" s="92">
        <f>'[5]Initiative Level - LDC'!N329</f>
        <v>3401.0102654835264</v>
      </c>
      <c r="M43" s="92">
        <f>'[5]Initiative Level - LDC'!O329</f>
        <v>3258.1998941876791</v>
      </c>
      <c r="N43" s="92">
        <f>'[5]Initiative Level - LDC'!P329</f>
        <v>2764.1863576716828</v>
      </c>
      <c r="O43" s="92">
        <f>'[5]Initiative Level - LDC'!Q329</f>
        <v>2746.2355653959021</v>
      </c>
      <c r="P43" s="92">
        <f>'[5]Initiative Level - LDC'!R329</f>
        <v>2614.8734779011461</v>
      </c>
      <c r="Q43" s="92">
        <f>'[5]Initiative Level - LDC'!S329</f>
        <v>2336.6400499892807</v>
      </c>
      <c r="R43" s="92">
        <f>'[5]Initiative Level - LDC'!T329</f>
        <v>664.3836947276875</v>
      </c>
      <c r="S43" s="92">
        <f>'[5]Initiative Level - LDC'!U329</f>
        <v>388.70814073763154</v>
      </c>
      <c r="T43" s="92">
        <f>'[5]Initiative Level - LDC'!V329</f>
        <v>388.70814073763154</v>
      </c>
      <c r="U43" s="92">
        <f>'[5]Initiative Level - LDC'!W329</f>
        <v>381.67948400496948</v>
      </c>
      <c r="V43" s="92">
        <f>'[5]Initiative Level - LDC'!X329</f>
        <v>381.67948400496948</v>
      </c>
      <c r="W43" s="92">
        <f>'[5]Initiative Level - LDC'!Y329</f>
        <v>381.67948400496948</v>
      </c>
      <c r="X43" s="92">
        <f>'[5]Initiative Level - LDC'!Z329</f>
        <v>360.35368177800592</v>
      </c>
      <c r="Y43" s="92">
        <f>'[5]Initiative Level - LDC'!AA329</f>
        <v>332.61740553163315</v>
      </c>
      <c r="Z43" s="92">
        <f>'[5]Initiative Level - LDC'!AB329</f>
        <v>332.61740553163315</v>
      </c>
      <c r="AA43" s="92">
        <f>'[5]Initiative Level - LDC'!AC329</f>
        <v>323.69567059874146</v>
      </c>
      <c r="AB43" s="92">
        <f>'[5]Initiative Level - LDC'!AD329</f>
        <v>140.10276933388198</v>
      </c>
      <c r="AC43" s="92">
        <f>'[5]Initiative Level - LDC'!AE329</f>
        <v>0</v>
      </c>
      <c r="AD43" s="92">
        <f>'[5]Initiative Level - LDC'!AF329</f>
        <v>0</v>
      </c>
      <c r="AE43" s="92">
        <f>'[5]Initiative Level - LDC'!AG329</f>
        <v>0</v>
      </c>
      <c r="AF43" s="92">
        <f>'[5]Initiative Level - LDC'!AH329</f>
        <v>0</v>
      </c>
      <c r="AG43" s="92">
        <f>'[5]Initiative Level - LDC'!AI329</f>
        <v>0</v>
      </c>
      <c r="AH43" s="93">
        <f>'[5]Initiative Level - LDC'!AJ329</f>
        <v>0</v>
      </c>
      <c r="AI43" s="92">
        <f>'[5]Initiative Level - LDC'!AK329</f>
        <v>0</v>
      </c>
      <c r="AJ43" s="92">
        <f>'[5]Initiative Level - LDC'!AL329</f>
        <v>0</v>
      </c>
      <c r="AK43" s="92">
        <f>'[5]Initiative Level - LDC'!AM329</f>
        <v>0</v>
      </c>
      <c r="AL43" s="92">
        <f>'[5]Initiative Level - LDC'!AN329</f>
        <v>0</v>
      </c>
      <c r="AM43" s="92">
        <f>'[5]Initiative Level - LDC'!AO329</f>
        <v>0</v>
      </c>
      <c r="AN43" s="92">
        <f>'[5]Initiative Level - LDC'!AP329</f>
        <v>0</v>
      </c>
      <c r="AO43" s="92">
        <f>'[5]Initiative Level - LDC'!AQ329</f>
        <v>0</v>
      </c>
      <c r="AP43" s="92">
        <f>'[5]Initiative Level - LDC'!AR329</f>
        <v>0</v>
      </c>
      <c r="AQ43" s="92">
        <f>'[5]Initiative Level - LDC'!AS329</f>
        <v>0</v>
      </c>
      <c r="AR43" s="92">
        <f>'[5]Initiative Level - LDC'!AT329</f>
        <v>0</v>
      </c>
      <c r="AS43" s="92">
        <f>'[5]Initiative Level - LDC'!AU329</f>
        <v>0</v>
      </c>
      <c r="AT43" s="92">
        <f>'[5]Initiative Level - LDC'!AV329</f>
        <v>0</v>
      </c>
      <c r="AU43" s="92">
        <f>'[5]Initiative Level - LDC'!AW329</f>
        <v>0</v>
      </c>
      <c r="AV43" s="92">
        <f>'[5]Initiative Level - LDC'!AX329</f>
        <v>0</v>
      </c>
      <c r="AW43" s="94">
        <f>'[5]Initiative Level - LDC'!AY329</f>
        <v>0</v>
      </c>
    </row>
    <row r="44" spans="1:49">
      <c r="A44" s="79" t="s">
        <v>52</v>
      </c>
      <c r="B44" s="80"/>
      <c r="C44" s="81"/>
      <c r="D44" s="55"/>
      <c r="E44" s="95">
        <f>SUM(E39:E43)</f>
        <v>2168.9608191896109</v>
      </c>
      <c r="F44" s="95">
        <f t="shared" ref="F44:AW44" si="8">SUM(F39:F43)</f>
        <v>6579.9528113801607</v>
      </c>
      <c r="G44" s="95">
        <f t="shared" si="8"/>
        <v>6181.9036794042931</v>
      </c>
      <c r="H44" s="95">
        <f t="shared" si="8"/>
        <v>7708.4290932475706</v>
      </c>
      <c r="I44" s="95">
        <f t="shared" si="8"/>
        <v>9477.0354649675683</v>
      </c>
      <c r="J44" s="95">
        <f t="shared" si="8"/>
        <v>8996.8470059262254</v>
      </c>
      <c r="K44" s="95">
        <f t="shared" si="8"/>
        <v>8630.4043810810526</v>
      </c>
      <c r="L44" s="95">
        <f t="shared" si="8"/>
        <v>8501.6653786943825</v>
      </c>
      <c r="M44" s="95">
        <f t="shared" si="8"/>
        <v>7804.685978616485</v>
      </c>
      <c r="N44" s="95">
        <f t="shared" si="8"/>
        <v>6160.9882505593241</v>
      </c>
      <c r="O44" s="95">
        <f t="shared" si="8"/>
        <v>5649.5841710874083</v>
      </c>
      <c r="P44" s="95">
        <f t="shared" si="8"/>
        <v>4948.7839167311031</v>
      </c>
      <c r="Q44" s="95">
        <f t="shared" si="8"/>
        <v>4576.0882287180712</v>
      </c>
      <c r="R44" s="95">
        <f t="shared" si="8"/>
        <v>2797.3597942205151</v>
      </c>
      <c r="S44" s="95">
        <f t="shared" si="8"/>
        <v>2471.2965727713736</v>
      </c>
      <c r="T44" s="95">
        <f t="shared" si="8"/>
        <v>2250.084540251019</v>
      </c>
      <c r="U44" s="95">
        <f t="shared" si="8"/>
        <v>2067.1055568796087</v>
      </c>
      <c r="V44" s="95">
        <f t="shared" si="8"/>
        <v>1988.4792810654183</v>
      </c>
      <c r="W44" s="95">
        <f t="shared" si="8"/>
        <v>1263.6765256564413</v>
      </c>
      <c r="X44" s="95">
        <f t="shared" si="8"/>
        <v>1176.5350469913988</v>
      </c>
      <c r="Y44" s="95">
        <f t="shared" si="8"/>
        <v>854.37188578223049</v>
      </c>
      <c r="Z44" s="95">
        <f t="shared" si="8"/>
        <v>811.04762588008282</v>
      </c>
      <c r="AA44" s="95">
        <f t="shared" si="8"/>
        <v>477.78204373058423</v>
      </c>
      <c r="AB44" s="95">
        <f t="shared" si="8"/>
        <v>215.600002303883</v>
      </c>
      <c r="AC44" s="95">
        <f t="shared" si="8"/>
        <v>75.497232970001036</v>
      </c>
      <c r="AD44" s="95">
        <f t="shared" si="8"/>
        <v>11.834705580732592</v>
      </c>
      <c r="AE44" s="95">
        <f t="shared" si="8"/>
        <v>11.834705580732592</v>
      </c>
      <c r="AF44" s="95">
        <f t="shared" si="8"/>
        <v>11.834705580732592</v>
      </c>
      <c r="AG44" s="95">
        <f t="shared" si="8"/>
        <v>11.834705580732592</v>
      </c>
      <c r="AH44" s="95">
        <f t="shared" si="8"/>
        <v>11.834705580732592</v>
      </c>
      <c r="AI44" s="95">
        <f t="shared" si="8"/>
        <v>0</v>
      </c>
      <c r="AJ44" s="95">
        <f t="shared" si="8"/>
        <v>0</v>
      </c>
      <c r="AK44" s="95">
        <f t="shared" si="8"/>
        <v>0</v>
      </c>
      <c r="AL44" s="95">
        <f t="shared" si="8"/>
        <v>0</v>
      </c>
      <c r="AM44" s="95">
        <f t="shared" si="8"/>
        <v>0</v>
      </c>
      <c r="AN44" s="95">
        <f t="shared" si="8"/>
        <v>0</v>
      </c>
      <c r="AO44" s="95">
        <f t="shared" si="8"/>
        <v>0</v>
      </c>
      <c r="AP44" s="95">
        <f t="shared" si="8"/>
        <v>0</v>
      </c>
      <c r="AQ44" s="95">
        <f t="shared" si="8"/>
        <v>0</v>
      </c>
      <c r="AR44" s="95">
        <f t="shared" si="8"/>
        <v>0</v>
      </c>
      <c r="AS44" s="95">
        <f t="shared" si="8"/>
        <v>0</v>
      </c>
      <c r="AT44" s="95">
        <f t="shared" si="8"/>
        <v>0</v>
      </c>
      <c r="AU44" s="95">
        <f t="shared" si="8"/>
        <v>0</v>
      </c>
      <c r="AV44" s="95">
        <f t="shared" si="8"/>
        <v>0</v>
      </c>
      <c r="AW44" s="95">
        <f t="shared" si="8"/>
        <v>0</v>
      </c>
    </row>
  </sheetData>
  <pageMargins left="0.5" right="0.5" top="0.5" bottom="0.5" header="0.35" footer="0.35"/>
  <pageSetup paperSize="5" scale="42" orientation="landscape" r:id="rId1"/>
  <headerFooter alignWithMargins="0">
    <oddFooter>&amp;L&amp;D &amp;T&amp;RPage &amp;P of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J153"/>
  <sheetViews>
    <sheetView showGridLines="0" topLeftCell="A108" zoomScaleNormal="100" workbookViewId="0">
      <selection activeCell="J2" sqref="J2:J8"/>
    </sheetView>
  </sheetViews>
  <sheetFormatPr defaultColWidth="8.85546875" defaultRowHeight="12.75"/>
  <cols>
    <col min="1" max="1" width="12.5703125" style="2" customWidth="1"/>
    <col min="2" max="2" width="24.140625" style="2" customWidth="1"/>
    <col min="3" max="5" width="13.7109375" style="2" customWidth="1"/>
    <col min="6" max="6" width="13.7109375" style="2" hidden="1" customWidth="1"/>
    <col min="7" max="10" width="13.7109375" style="2" customWidth="1"/>
    <col min="11" max="16384" width="8.85546875" style="2"/>
  </cols>
  <sheetData>
    <row r="1" spans="1:10">
      <c r="H1" s="4"/>
      <c r="I1" s="147" t="s">
        <v>0</v>
      </c>
      <c r="J1" s="5" t="str">
        <f>'[4]LDC Info'!$E$18</f>
        <v>EB2012-0176</v>
      </c>
    </row>
    <row r="2" spans="1:10">
      <c r="H2" s="4"/>
      <c r="I2" s="147"/>
      <c r="J2" s="147"/>
    </row>
    <row r="3" spans="1:10">
      <c r="H3" s="4"/>
      <c r="I3" s="147"/>
      <c r="J3" s="147"/>
    </row>
    <row r="4" spans="1:10">
      <c r="H4" s="4"/>
      <c r="I4" s="147"/>
      <c r="J4" s="147"/>
    </row>
    <row r="5" spans="1:10">
      <c r="H5" s="4"/>
      <c r="I5" s="147"/>
      <c r="J5" s="147"/>
    </row>
    <row r="6" spans="1:10">
      <c r="H6" s="4"/>
      <c r="I6" s="147"/>
      <c r="J6" s="147"/>
    </row>
    <row r="7" spans="1:10">
      <c r="H7" s="4"/>
      <c r="I7" s="147"/>
      <c r="J7" s="147"/>
    </row>
    <row r="8" spans="1:10">
      <c r="I8" s="148"/>
      <c r="J8" s="148"/>
    </row>
    <row r="9" spans="1:10">
      <c r="I9" s="148"/>
    </row>
    <row r="10" spans="1:10">
      <c r="I10" s="148"/>
    </row>
    <row r="11" spans="1:10">
      <c r="I11" s="148"/>
    </row>
    <row r="12" spans="1:10" ht="18">
      <c r="A12" s="300" t="s">
        <v>158</v>
      </c>
      <c r="B12" s="300"/>
      <c r="C12" s="300"/>
      <c r="D12" s="300"/>
      <c r="E12" s="300"/>
      <c r="F12" s="300"/>
      <c r="G12" s="300"/>
      <c r="H12" s="300"/>
      <c r="I12" s="300"/>
      <c r="J12" s="300"/>
    </row>
    <row r="13" spans="1:10" ht="18">
      <c r="A13" s="300" t="s">
        <v>159</v>
      </c>
      <c r="B13" s="300"/>
      <c r="C13" s="300"/>
      <c r="D13" s="300"/>
      <c r="E13" s="300"/>
      <c r="F13" s="300"/>
      <c r="G13" s="300"/>
      <c r="H13" s="300"/>
      <c r="I13" s="300"/>
      <c r="J13" s="300"/>
    </row>
    <row r="14" spans="1:10" ht="13.5" thickBot="1"/>
    <row r="15" spans="1:10">
      <c r="A15" s="149" t="s">
        <v>160</v>
      </c>
      <c r="B15" s="150" t="s">
        <v>161</v>
      </c>
      <c r="C15" s="151" t="str">
        <f>I16-3 &amp; " Actual"</f>
        <v>2009 Actual</v>
      </c>
      <c r="D15" s="151" t="str">
        <f>I16-2 &amp; " Actual"</f>
        <v>2010 Actual</v>
      </c>
      <c r="E15" s="151" t="str">
        <f>I16-1 &amp; " Actual"&amp; CHAR(178)</f>
        <v>2011 Actual²</v>
      </c>
      <c r="F15" s="151" t="e">
        <f>H16-1 &amp; " Actual"&amp; CHAR(178)</f>
        <v>#VALUE!</v>
      </c>
      <c r="G15" s="151" t="s">
        <v>162</v>
      </c>
      <c r="H15" s="152" t="str">
        <f>"Bridge Year" &amp; CHAR(179)</f>
        <v>Bridge Year³</v>
      </c>
      <c r="I15" s="152" t="str">
        <f>"Bridge Year" &amp; CHAR(179)</f>
        <v>Bridge Year³</v>
      </c>
      <c r="J15" s="153" t="s">
        <v>163</v>
      </c>
    </row>
    <row r="16" spans="1:10">
      <c r="A16" s="154"/>
      <c r="B16" s="155"/>
      <c r="C16" s="19"/>
      <c r="D16" s="19"/>
      <c r="E16" s="19"/>
      <c r="F16" s="156"/>
      <c r="G16" s="19"/>
      <c r="H16" s="156" t="s">
        <v>164</v>
      </c>
      <c r="I16" s="156">
        <f>'[4]LDC Info'!E26</f>
        <v>2012</v>
      </c>
      <c r="J16" s="157">
        <f>'[4]LDC Info'!E28</f>
        <v>2013</v>
      </c>
    </row>
    <row r="17" spans="1:10">
      <c r="A17" s="154"/>
      <c r="B17" s="158" t="s">
        <v>118</v>
      </c>
      <c r="C17" s="159" t="s">
        <v>119</v>
      </c>
      <c r="D17" s="159" t="s">
        <v>119</v>
      </c>
      <c r="E17" s="159" t="s">
        <v>119</v>
      </c>
      <c r="F17" s="159" t="s">
        <v>119</v>
      </c>
      <c r="G17" s="159" t="s">
        <v>119</v>
      </c>
      <c r="H17" s="159" t="s">
        <v>119</v>
      </c>
      <c r="I17" s="160" t="s">
        <v>121</v>
      </c>
      <c r="J17" s="161" t="s">
        <v>121</v>
      </c>
    </row>
    <row r="18" spans="1:10" ht="15">
      <c r="A18" s="162">
        <v>4235</v>
      </c>
      <c r="B18" s="39" t="s">
        <v>165</v>
      </c>
      <c r="C18" s="24">
        <f>C104</f>
        <v>161105</v>
      </c>
      <c r="D18" s="24">
        <f t="shared" ref="D18:J18" si="0">D104</f>
        <v>150551</v>
      </c>
      <c r="E18" s="24">
        <f t="shared" si="0"/>
        <v>126903</v>
      </c>
      <c r="F18" s="24">
        <f t="shared" si="0"/>
        <v>0</v>
      </c>
      <c r="G18" s="24">
        <f t="shared" si="0"/>
        <v>121929</v>
      </c>
      <c r="H18" s="24">
        <f t="shared" si="0"/>
        <v>115454</v>
      </c>
      <c r="I18" s="163">
        <f t="shared" si="0"/>
        <v>130321</v>
      </c>
      <c r="J18" s="164">
        <f t="shared" si="0"/>
        <v>130636</v>
      </c>
    </row>
    <row r="19" spans="1:10" ht="15">
      <c r="A19" s="162">
        <v>4225</v>
      </c>
      <c r="B19" s="39" t="s">
        <v>166</v>
      </c>
      <c r="C19" s="24">
        <f t="shared" ref="C19:I19" si="1">C114</f>
        <v>80833.58</v>
      </c>
      <c r="D19" s="24">
        <f t="shared" si="1"/>
        <v>83638.87</v>
      </c>
      <c r="E19" s="24">
        <f t="shared" si="1"/>
        <v>95563.00499999999</v>
      </c>
      <c r="F19" s="24">
        <f t="shared" si="1"/>
        <v>0</v>
      </c>
      <c r="G19" s="24">
        <f t="shared" si="1"/>
        <v>89982</v>
      </c>
      <c r="H19" s="24">
        <f t="shared" si="1"/>
        <v>80666</v>
      </c>
      <c r="I19" s="163">
        <f t="shared" si="1"/>
        <v>89685</v>
      </c>
      <c r="J19" s="164">
        <f>J114</f>
        <v>89685</v>
      </c>
    </row>
    <row r="20" spans="1:10" ht="27.6" customHeight="1">
      <c r="A20" s="162">
        <v>4082</v>
      </c>
      <c r="B20" s="165" t="s">
        <v>167</v>
      </c>
      <c r="C20" s="24">
        <f>C92</f>
        <v>33183.199999999997</v>
      </c>
      <c r="D20" s="24">
        <f t="shared" ref="D20:J20" si="2">D92</f>
        <v>30429.1</v>
      </c>
      <c r="E20" s="24">
        <f t="shared" si="2"/>
        <v>25671.8</v>
      </c>
      <c r="F20" s="24">
        <f t="shared" si="2"/>
        <v>0</v>
      </c>
      <c r="G20" s="24">
        <f t="shared" si="2"/>
        <v>21921.3</v>
      </c>
      <c r="H20" s="24">
        <f t="shared" si="2"/>
        <v>21818</v>
      </c>
      <c r="I20" s="24">
        <f t="shared" si="2"/>
        <v>20960</v>
      </c>
      <c r="J20" s="164">
        <f t="shared" si="2"/>
        <v>19900</v>
      </c>
    </row>
    <row r="21" spans="1:10" ht="26.25">
      <c r="A21" s="162">
        <v>4080</v>
      </c>
      <c r="B21" s="165" t="s">
        <v>168</v>
      </c>
      <c r="C21" s="24">
        <v>56468</v>
      </c>
      <c r="D21" s="24">
        <v>58073</v>
      </c>
      <c r="E21" s="24">
        <v>60111</v>
      </c>
      <c r="F21" s="24"/>
      <c r="G21" s="24">
        <v>55005</v>
      </c>
      <c r="H21" s="24">
        <f>56980-55811</f>
        <v>1169</v>
      </c>
      <c r="I21" s="24">
        <v>62625</v>
      </c>
      <c r="J21" s="164">
        <v>65756.25</v>
      </c>
    </row>
    <row r="22" spans="1:10" ht="30" customHeight="1">
      <c r="A22" s="162">
        <v>4084</v>
      </c>
      <c r="B22" s="165" t="s">
        <v>169</v>
      </c>
      <c r="C22" s="24">
        <f>C68</f>
        <v>126246</v>
      </c>
      <c r="D22" s="24">
        <f t="shared" ref="D22:J22" si="3">D68</f>
        <v>118361.5</v>
      </c>
      <c r="E22" s="24">
        <f t="shared" si="3"/>
        <v>103948</v>
      </c>
      <c r="F22" s="24"/>
      <c r="G22" s="24">
        <f t="shared" ref="G22" si="4">G68</f>
        <v>99289</v>
      </c>
      <c r="H22" s="24">
        <f t="shared" si="3"/>
        <v>102133</v>
      </c>
      <c r="I22" s="24">
        <f t="shared" si="3"/>
        <v>115200</v>
      </c>
      <c r="J22" s="164">
        <f t="shared" si="3"/>
        <v>115125</v>
      </c>
    </row>
    <row r="23" spans="1:10" ht="15">
      <c r="A23" s="162"/>
      <c r="B23" s="39"/>
      <c r="C23" s="24"/>
      <c r="D23" s="24"/>
      <c r="E23" s="24"/>
      <c r="F23" s="24"/>
      <c r="G23" s="24"/>
      <c r="H23" s="24"/>
      <c r="I23" s="163"/>
      <c r="J23" s="164"/>
    </row>
    <row r="24" spans="1:10" ht="15">
      <c r="A24" s="162"/>
      <c r="B24" s="39"/>
      <c r="C24" s="24"/>
      <c r="D24" s="24"/>
      <c r="E24" s="24"/>
      <c r="F24" s="24"/>
      <c r="G24" s="24"/>
      <c r="H24" s="24"/>
      <c r="I24" s="163"/>
      <c r="J24" s="164"/>
    </row>
    <row r="25" spans="1:10" ht="26.25" customHeight="1">
      <c r="A25" s="162">
        <v>4210</v>
      </c>
      <c r="B25" s="165" t="s">
        <v>170</v>
      </c>
      <c r="C25" s="24">
        <v>122947.35</v>
      </c>
      <c r="D25" s="24">
        <v>109649.1</v>
      </c>
      <c r="E25" s="24">
        <v>109626.75</v>
      </c>
      <c r="F25" s="24"/>
      <c r="G25" s="24">
        <v>100339</v>
      </c>
      <c r="H25" s="24">
        <v>100501.19</v>
      </c>
      <c r="I25" s="163">
        <v>105000</v>
      </c>
      <c r="J25" s="164">
        <v>105000.3</v>
      </c>
    </row>
    <row r="26" spans="1:10" ht="15">
      <c r="A26" s="162"/>
      <c r="B26" s="39"/>
      <c r="C26" s="24"/>
      <c r="D26" s="24"/>
      <c r="E26" s="24"/>
      <c r="F26" s="24"/>
      <c r="G26" s="24"/>
      <c r="H26" s="24"/>
      <c r="I26" s="163"/>
      <c r="J26" s="164"/>
    </row>
    <row r="27" spans="1:10" ht="15">
      <c r="A27" s="162"/>
      <c r="B27" s="39" t="s">
        <v>171</v>
      </c>
      <c r="C27" s="24">
        <f>C126</f>
        <v>226448</v>
      </c>
      <c r="D27" s="24">
        <f t="shared" ref="D27:J27" si="5">D126</f>
        <v>149161</v>
      </c>
      <c r="E27" s="24">
        <f t="shared" si="5"/>
        <v>266026</v>
      </c>
      <c r="F27" s="24">
        <f t="shared" si="5"/>
        <v>0</v>
      </c>
      <c r="G27" s="24">
        <f t="shared" si="5"/>
        <v>128093</v>
      </c>
      <c r="H27" s="24">
        <f t="shared" si="5"/>
        <v>141621</v>
      </c>
      <c r="I27" s="163">
        <f t="shared" si="5"/>
        <v>79138</v>
      </c>
      <c r="J27" s="164">
        <f t="shared" si="5"/>
        <v>71938</v>
      </c>
    </row>
    <row r="28" spans="1:10" ht="15">
      <c r="A28" s="162">
        <v>4405</v>
      </c>
      <c r="B28" s="39" t="s">
        <v>172</v>
      </c>
      <c r="C28" s="24">
        <v>288156</v>
      </c>
      <c r="D28" s="24">
        <v>83143</v>
      </c>
      <c r="E28" s="24">
        <v>150880</v>
      </c>
      <c r="F28" s="24"/>
      <c r="G28" s="24">
        <f>52616.02+83435.34</f>
        <v>136051.35999999999</v>
      </c>
      <c r="H28" s="24">
        <f>152576</f>
        <v>152576</v>
      </c>
      <c r="I28" s="163">
        <v>55000</v>
      </c>
      <c r="J28" s="164">
        <v>55000</v>
      </c>
    </row>
    <row r="29" spans="1:10" ht="15">
      <c r="A29" s="166" t="s">
        <v>51</v>
      </c>
      <c r="B29" s="167"/>
      <c r="C29" s="24"/>
      <c r="D29" s="24"/>
      <c r="E29" s="24"/>
      <c r="F29" s="24"/>
      <c r="G29" s="24"/>
      <c r="H29" s="168"/>
      <c r="I29" s="163"/>
      <c r="J29" s="164"/>
    </row>
    <row r="30" spans="1:10" ht="15">
      <c r="A30" s="166"/>
      <c r="B30" s="167"/>
      <c r="C30" s="24"/>
      <c r="D30" s="24"/>
      <c r="E30" s="24"/>
      <c r="F30" s="24"/>
      <c r="G30" s="24"/>
      <c r="H30" s="24"/>
      <c r="I30" s="163"/>
      <c r="J30" s="164"/>
    </row>
    <row r="31" spans="1:10" ht="15">
      <c r="A31" s="166"/>
      <c r="B31" s="167"/>
      <c r="C31" s="24"/>
      <c r="D31" s="24"/>
      <c r="E31" s="24"/>
      <c r="F31" s="24"/>
      <c r="G31" s="24"/>
      <c r="H31" s="24"/>
      <c r="I31" s="163"/>
      <c r="J31" s="164"/>
    </row>
    <row r="32" spans="1:10" ht="15">
      <c r="A32" s="166"/>
      <c r="B32" s="167"/>
      <c r="C32" s="24"/>
      <c r="D32" s="24"/>
      <c r="E32" s="24"/>
      <c r="F32" s="24"/>
      <c r="G32" s="24"/>
      <c r="H32" s="24"/>
      <c r="I32" s="163"/>
      <c r="J32" s="164"/>
    </row>
    <row r="33" spans="1:10" ht="7.5" customHeight="1">
      <c r="A33" s="301"/>
      <c r="B33" s="302"/>
      <c r="C33" s="302"/>
      <c r="D33" s="302"/>
      <c r="E33" s="302"/>
      <c r="F33" s="302"/>
      <c r="G33" s="302"/>
      <c r="H33" s="302"/>
      <c r="I33" s="303"/>
      <c r="J33" s="304"/>
    </row>
    <row r="34" spans="1:10">
      <c r="A34" s="305" t="s">
        <v>165</v>
      </c>
      <c r="B34" s="306"/>
      <c r="C34" s="28">
        <f t="shared" ref="C34:I35" si="6">C18</f>
        <v>161105</v>
      </c>
      <c r="D34" s="28">
        <f t="shared" si="6"/>
        <v>150551</v>
      </c>
      <c r="E34" s="28">
        <f t="shared" si="6"/>
        <v>126903</v>
      </c>
      <c r="F34" s="28">
        <f t="shared" si="6"/>
        <v>0</v>
      </c>
      <c r="G34" s="28">
        <f t="shared" si="6"/>
        <v>121929</v>
      </c>
      <c r="H34" s="28">
        <f t="shared" si="6"/>
        <v>115454</v>
      </c>
      <c r="I34" s="28">
        <f t="shared" si="6"/>
        <v>130321</v>
      </c>
      <c r="J34" s="169">
        <f>J18</f>
        <v>130636</v>
      </c>
    </row>
    <row r="35" spans="1:10">
      <c r="A35" s="305" t="s">
        <v>166</v>
      </c>
      <c r="B35" s="306"/>
      <c r="C35" s="28">
        <f t="shared" si="6"/>
        <v>80833.58</v>
      </c>
      <c r="D35" s="28">
        <f t="shared" si="6"/>
        <v>83638.87</v>
      </c>
      <c r="E35" s="28">
        <f t="shared" si="6"/>
        <v>95563.00499999999</v>
      </c>
      <c r="F35" s="28">
        <f t="shared" si="6"/>
        <v>0</v>
      </c>
      <c r="G35" s="28">
        <f t="shared" si="6"/>
        <v>89982</v>
      </c>
      <c r="H35" s="28">
        <f t="shared" si="6"/>
        <v>80666</v>
      </c>
      <c r="I35" s="28">
        <f t="shared" si="6"/>
        <v>89685</v>
      </c>
      <c r="J35" s="169">
        <f>J19</f>
        <v>89685</v>
      </c>
    </row>
    <row r="36" spans="1:10">
      <c r="A36" s="305" t="s">
        <v>173</v>
      </c>
      <c r="B36" s="306"/>
      <c r="C36" s="28">
        <f>C20+C21+C22+C25</f>
        <v>338844.55000000005</v>
      </c>
      <c r="D36" s="28">
        <f t="shared" ref="D36:J36" si="7">D20+D21+D22+D25</f>
        <v>316512.7</v>
      </c>
      <c r="E36" s="28">
        <f t="shared" si="7"/>
        <v>299357.55</v>
      </c>
      <c r="F36" s="28">
        <f t="shared" si="7"/>
        <v>0</v>
      </c>
      <c r="G36" s="28">
        <f t="shared" si="7"/>
        <v>276554.3</v>
      </c>
      <c r="H36" s="28">
        <f t="shared" si="7"/>
        <v>225621.19</v>
      </c>
      <c r="I36" s="28">
        <f t="shared" si="7"/>
        <v>303785</v>
      </c>
      <c r="J36" s="169">
        <f t="shared" si="7"/>
        <v>305781.55</v>
      </c>
    </row>
    <row r="37" spans="1:10" ht="13.5" thickBot="1">
      <c r="A37" s="307" t="s">
        <v>174</v>
      </c>
      <c r="B37" s="308"/>
      <c r="C37" s="170">
        <f t="shared" ref="C37:I37" si="8">C27+C28</f>
        <v>514604</v>
      </c>
      <c r="D37" s="171">
        <f t="shared" si="8"/>
        <v>232304</v>
      </c>
      <c r="E37" s="171">
        <f t="shared" si="8"/>
        <v>416906</v>
      </c>
      <c r="F37" s="172">
        <f t="shared" si="8"/>
        <v>0</v>
      </c>
      <c r="G37" s="171">
        <f t="shared" si="8"/>
        <v>264144.36</v>
      </c>
      <c r="H37" s="170">
        <f t="shared" si="8"/>
        <v>294197</v>
      </c>
      <c r="I37" s="171">
        <f t="shared" si="8"/>
        <v>134138</v>
      </c>
      <c r="J37" s="172">
        <f>J27+J28</f>
        <v>126938</v>
      </c>
    </row>
    <row r="38" spans="1:10" ht="16.5" thickTop="1" thickBot="1">
      <c r="A38" s="309" t="s">
        <v>52</v>
      </c>
      <c r="B38" s="310"/>
      <c r="C38" s="173">
        <f t="shared" ref="C38:J38" si="9">SUM(C34:C37)</f>
        <v>1095387.1300000001</v>
      </c>
      <c r="D38" s="173">
        <f t="shared" si="9"/>
        <v>783006.57000000007</v>
      </c>
      <c r="E38" s="173">
        <f t="shared" si="9"/>
        <v>938729.55499999993</v>
      </c>
      <c r="F38" s="173">
        <f t="shared" si="9"/>
        <v>0</v>
      </c>
      <c r="G38" s="173">
        <f t="shared" ref="G38" si="10">SUM(G34:G37)</f>
        <v>752609.65999999992</v>
      </c>
      <c r="H38" s="173">
        <f t="shared" si="9"/>
        <v>715938.19</v>
      </c>
      <c r="I38" s="173">
        <f t="shared" si="9"/>
        <v>657929</v>
      </c>
      <c r="J38" s="174">
        <f t="shared" si="9"/>
        <v>653040.55000000005</v>
      </c>
    </row>
    <row r="39" spans="1:10">
      <c r="E39" s="175"/>
      <c r="G39" s="175"/>
    </row>
    <row r="40" spans="1:10">
      <c r="A40" s="176" t="s">
        <v>8</v>
      </c>
      <c r="B40" s="4"/>
      <c r="C40" s="176" t="s">
        <v>175</v>
      </c>
    </row>
    <row r="41" spans="1:10">
      <c r="A41" s="299" t="s">
        <v>176</v>
      </c>
      <c r="B41" s="299"/>
      <c r="C41" s="148">
        <v>4235</v>
      </c>
    </row>
    <row r="42" spans="1:10">
      <c r="A42" s="299" t="s">
        <v>177</v>
      </c>
      <c r="B42" s="299"/>
      <c r="C42" s="148">
        <v>4225</v>
      </c>
    </row>
    <row r="43" spans="1:10">
      <c r="A43" s="299" t="s">
        <v>178</v>
      </c>
      <c r="B43" s="299"/>
      <c r="C43" s="299" t="s">
        <v>179</v>
      </c>
      <c r="D43" s="299"/>
      <c r="E43" s="299"/>
      <c r="F43" s="299"/>
      <c r="G43" s="299"/>
      <c r="H43" s="299"/>
      <c r="I43" s="299"/>
      <c r="J43" s="299"/>
    </row>
    <row r="44" spans="1:10">
      <c r="A44" s="299" t="s">
        <v>180</v>
      </c>
      <c r="B44" s="299"/>
      <c r="C44" s="313" t="s">
        <v>181</v>
      </c>
      <c r="D44" s="313"/>
      <c r="E44" s="313"/>
      <c r="F44" s="313"/>
      <c r="G44" s="313"/>
      <c r="H44" s="313"/>
      <c r="I44" s="313"/>
      <c r="J44" s="313"/>
    </row>
    <row r="45" spans="1:10">
      <c r="C45" s="313"/>
      <c r="D45" s="313"/>
      <c r="E45" s="313"/>
      <c r="F45" s="313"/>
      <c r="G45" s="313"/>
      <c r="H45" s="313"/>
      <c r="I45" s="313"/>
      <c r="J45" s="313"/>
    </row>
    <row r="47" spans="1:10" hidden="1">
      <c r="A47" s="4" t="s">
        <v>182</v>
      </c>
      <c r="B47" s="6"/>
      <c r="C47" s="177"/>
      <c r="D47" s="177"/>
      <c r="E47" s="177"/>
      <c r="F47" s="177"/>
      <c r="G47" s="177"/>
      <c r="H47" s="177"/>
      <c r="I47" s="177"/>
      <c r="J47" s="177"/>
    </row>
    <row r="48" spans="1:10" hidden="1">
      <c r="A48" s="314" t="s">
        <v>183</v>
      </c>
      <c r="B48" s="314"/>
      <c r="C48" s="314"/>
      <c r="D48" s="314"/>
      <c r="E48" s="314"/>
      <c r="F48" s="314"/>
      <c r="G48" s="314"/>
      <c r="H48" s="314"/>
      <c r="I48" s="314"/>
      <c r="J48" s="314"/>
    </row>
    <row r="49" spans="1:10" hidden="1">
      <c r="A49" s="314"/>
      <c r="B49" s="314"/>
      <c r="C49" s="314"/>
      <c r="D49" s="314"/>
      <c r="E49" s="314"/>
      <c r="F49" s="314"/>
      <c r="G49" s="314"/>
      <c r="H49" s="314"/>
      <c r="I49" s="314"/>
      <c r="J49" s="314"/>
    </row>
    <row r="50" spans="1:10" hidden="1">
      <c r="A50" s="4"/>
      <c r="B50" s="6"/>
      <c r="C50" s="6"/>
      <c r="D50" s="6"/>
      <c r="E50" s="6"/>
      <c r="F50" s="6"/>
      <c r="G50" s="6"/>
      <c r="H50" s="6"/>
      <c r="I50" s="6"/>
      <c r="J50" s="6"/>
    </row>
    <row r="51" spans="1:10" ht="12.75" customHeight="1">
      <c r="A51" s="4" t="s">
        <v>184</v>
      </c>
      <c r="B51" s="6"/>
      <c r="C51" s="6"/>
      <c r="D51" s="6"/>
      <c r="E51" s="6"/>
      <c r="F51" s="6"/>
      <c r="G51" s="6"/>
      <c r="H51" s="6"/>
      <c r="I51" s="6"/>
      <c r="J51" s="6"/>
    </row>
    <row r="52" spans="1:10">
      <c r="A52" s="6"/>
      <c r="B52" s="6"/>
      <c r="C52" s="6"/>
      <c r="D52" s="6"/>
      <c r="E52" s="6"/>
      <c r="F52" s="6"/>
      <c r="G52" s="6"/>
      <c r="H52" s="6"/>
      <c r="I52" s="6"/>
      <c r="J52" s="6"/>
    </row>
    <row r="53" spans="1:10">
      <c r="A53" s="315" t="s">
        <v>185</v>
      </c>
      <c r="B53" s="315"/>
      <c r="C53" s="315"/>
      <c r="D53" s="315"/>
      <c r="E53" s="315"/>
      <c r="F53" s="315"/>
      <c r="G53" s="315"/>
      <c r="H53" s="315"/>
      <c r="I53" s="315"/>
      <c r="J53" s="315"/>
    </row>
    <row r="54" spans="1:10">
      <c r="A54" s="315"/>
      <c r="B54" s="315"/>
      <c r="C54" s="315"/>
      <c r="D54" s="315"/>
      <c r="E54" s="315"/>
      <c r="F54" s="315"/>
      <c r="G54" s="315"/>
      <c r="H54" s="315"/>
      <c r="I54" s="315"/>
      <c r="J54" s="315"/>
    </row>
    <row r="56" spans="1:10" ht="13.5" thickBot="1">
      <c r="A56" s="4" t="s">
        <v>186</v>
      </c>
    </row>
    <row r="57" spans="1:10">
      <c r="A57" s="178"/>
      <c r="B57" s="179"/>
      <c r="C57" s="151" t="str">
        <f>C15</f>
        <v>2009 Actual</v>
      </c>
      <c r="D57" s="151" t="str">
        <f>D15</f>
        <v>2010 Actual</v>
      </c>
      <c r="E57" s="151" t="str">
        <f>E15</f>
        <v>2011 Actual²</v>
      </c>
      <c r="F57" s="151" t="e">
        <f>F15</f>
        <v>#VALUE!</v>
      </c>
      <c r="G57" s="151" t="str">
        <f>G15</f>
        <v>2011 to Nov30</v>
      </c>
      <c r="H57" s="151" t="str">
        <f>H16</f>
        <v>2012 to Nov 30</v>
      </c>
      <c r="I57" s="151" t="s">
        <v>187</v>
      </c>
      <c r="J57" s="180" t="s">
        <v>163</v>
      </c>
    </row>
    <row r="58" spans="1:10">
      <c r="A58" s="316"/>
      <c r="B58" s="317"/>
      <c r="C58" s="181" t="str">
        <f t="shared" ref="C58:J58" si="11">IF(ISBLANK(C17), "", C17)</f>
        <v>CGAAP</v>
      </c>
      <c r="D58" s="181" t="str">
        <f t="shared" si="11"/>
        <v>CGAAP</v>
      </c>
      <c r="E58" s="181" t="str">
        <f t="shared" si="11"/>
        <v>CGAAP</v>
      </c>
      <c r="F58" s="181"/>
      <c r="G58" s="181" t="str">
        <f t="shared" ref="G58" si="12">IF(ISBLANK(G17), "", G17)</f>
        <v>CGAAP</v>
      </c>
      <c r="H58" s="181" t="str">
        <f t="shared" si="11"/>
        <v>CGAAP</v>
      </c>
      <c r="I58" s="181" t="str">
        <f t="shared" si="11"/>
        <v>MIFRS</v>
      </c>
      <c r="J58" s="182" t="str">
        <f t="shared" si="11"/>
        <v>MIFRS</v>
      </c>
    </row>
    <row r="59" spans="1:10" ht="15">
      <c r="A59" s="318" t="s">
        <v>188</v>
      </c>
      <c r="B59" s="319"/>
      <c r="C59" s="24">
        <v>825</v>
      </c>
      <c r="D59" s="24">
        <v>450</v>
      </c>
      <c r="E59" s="24">
        <v>345</v>
      </c>
      <c r="F59" s="24"/>
      <c r="G59" s="24">
        <v>325</v>
      </c>
      <c r="H59" s="24">
        <v>115</v>
      </c>
      <c r="I59" s="24">
        <v>225</v>
      </c>
      <c r="J59" s="164">
        <v>150</v>
      </c>
    </row>
    <row r="60" spans="1:10" ht="15">
      <c r="A60" s="320" t="s">
        <v>189</v>
      </c>
      <c r="B60" s="321"/>
      <c r="C60" s="24">
        <v>1110</v>
      </c>
      <c r="D60" s="24">
        <v>480</v>
      </c>
      <c r="E60" s="24">
        <v>375</v>
      </c>
      <c r="F60" s="24"/>
      <c r="G60" s="24">
        <v>360</v>
      </c>
      <c r="H60" s="24">
        <v>435</v>
      </c>
      <c r="I60" s="183">
        <v>225</v>
      </c>
      <c r="J60" s="164">
        <v>225</v>
      </c>
    </row>
    <row r="61" spans="1:10" ht="15">
      <c r="A61" s="322" t="s">
        <v>190</v>
      </c>
      <c r="B61" s="323"/>
      <c r="C61" s="184">
        <v>30</v>
      </c>
      <c r="D61" s="184">
        <v>30</v>
      </c>
      <c r="E61" s="184">
        <v>60</v>
      </c>
      <c r="F61" s="184"/>
      <c r="G61" s="184">
        <v>60</v>
      </c>
      <c r="H61" s="184">
        <v>15</v>
      </c>
      <c r="I61" s="185"/>
      <c r="J61" s="186"/>
    </row>
    <row r="62" spans="1:10" ht="15">
      <c r="A62" s="324" t="s">
        <v>191</v>
      </c>
      <c r="B62" s="325"/>
      <c r="C62" s="24">
        <v>123465</v>
      </c>
      <c r="D62" s="24">
        <v>116235</v>
      </c>
      <c r="E62" s="24">
        <v>102300</v>
      </c>
      <c r="F62" s="24"/>
      <c r="G62" s="24">
        <v>97700</v>
      </c>
      <c r="H62" s="24">
        <v>100993</v>
      </c>
      <c r="I62" s="183">
        <v>114000</v>
      </c>
      <c r="J62" s="164">
        <v>114000</v>
      </c>
    </row>
    <row r="63" spans="1:10" ht="31.15" customHeight="1">
      <c r="A63" s="326" t="s">
        <v>192</v>
      </c>
      <c r="B63" s="327"/>
      <c r="C63" s="187">
        <v>329</v>
      </c>
      <c r="D63" s="187">
        <v>429.5</v>
      </c>
      <c r="E63" s="187">
        <v>309</v>
      </c>
      <c r="F63" s="187"/>
      <c r="G63" s="187">
        <v>301</v>
      </c>
      <c r="H63" s="187">
        <v>208</v>
      </c>
      <c r="I63" s="188">
        <v>250</v>
      </c>
      <c r="J63" s="189">
        <v>250</v>
      </c>
    </row>
    <row r="64" spans="1:10" ht="31.15" customHeight="1">
      <c r="A64" s="326" t="s">
        <v>193</v>
      </c>
      <c r="B64" s="327"/>
      <c r="C64" s="187">
        <v>487</v>
      </c>
      <c r="D64" s="187">
        <v>737</v>
      </c>
      <c r="E64" s="187">
        <v>559</v>
      </c>
      <c r="F64" s="187"/>
      <c r="G64" s="187">
        <v>543</v>
      </c>
      <c r="H64" s="187">
        <v>367</v>
      </c>
      <c r="I64" s="188">
        <v>500</v>
      </c>
      <c r="J64" s="189">
        <v>500</v>
      </c>
    </row>
    <row r="65" spans="1:10" ht="15">
      <c r="A65" s="190"/>
      <c r="B65" s="191"/>
      <c r="C65" s="187"/>
      <c r="D65" s="187"/>
      <c r="E65" s="187"/>
      <c r="F65" s="187"/>
      <c r="G65" s="187"/>
      <c r="H65" s="187"/>
      <c r="I65" s="188"/>
      <c r="J65" s="189"/>
    </row>
    <row r="66" spans="1:10" ht="15">
      <c r="A66" s="190"/>
      <c r="B66" s="191"/>
      <c r="C66" s="187"/>
      <c r="D66" s="187"/>
      <c r="E66" s="187"/>
      <c r="F66" s="187"/>
      <c r="G66" s="187"/>
      <c r="H66" s="187"/>
      <c r="I66" s="188"/>
      <c r="J66" s="189"/>
    </row>
    <row r="67" spans="1:10" ht="15.75" thickBot="1">
      <c r="A67" s="311"/>
      <c r="B67" s="312"/>
      <c r="C67" s="192"/>
      <c r="D67" s="192"/>
      <c r="E67" s="192"/>
      <c r="F67" s="192"/>
      <c r="G67" s="192"/>
      <c r="H67" s="192"/>
      <c r="I67" s="193"/>
      <c r="J67" s="194"/>
    </row>
    <row r="68" spans="1:10" ht="16.5" thickTop="1" thickBot="1">
      <c r="A68" s="328" t="s">
        <v>52</v>
      </c>
      <c r="B68" s="329"/>
      <c r="C68" s="173">
        <f t="shared" ref="C68:J68" si="13">SUM(C59:C67)</f>
        <v>126246</v>
      </c>
      <c r="D68" s="173">
        <f t="shared" si="13"/>
        <v>118361.5</v>
      </c>
      <c r="E68" s="173">
        <f t="shared" si="13"/>
        <v>103948</v>
      </c>
      <c r="F68" s="173">
        <f t="shared" si="13"/>
        <v>0</v>
      </c>
      <c r="G68" s="173">
        <f t="shared" ref="G68" si="14">SUM(G59:G67)</f>
        <v>99289</v>
      </c>
      <c r="H68" s="173">
        <f t="shared" si="13"/>
        <v>102133</v>
      </c>
      <c r="I68" s="173">
        <f t="shared" si="13"/>
        <v>115200</v>
      </c>
      <c r="J68" s="195">
        <f t="shared" si="13"/>
        <v>115125</v>
      </c>
    </row>
    <row r="69" spans="1:10">
      <c r="I69" s="148"/>
    </row>
    <row r="70" spans="1:10">
      <c r="I70" s="148"/>
    </row>
    <row r="71" spans="1:10">
      <c r="I71" s="148"/>
    </row>
    <row r="72" spans="1:10">
      <c r="I72" s="148"/>
    </row>
    <row r="73" spans="1:10">
      <c r="I73" s="148"/>
    </row>
    <row r="74" spans="1:10">
      <c r="I74" s="148"/>
    </row>
    <row r="75" spans="1:10">
      <c r="I75" s="148"/>
    </row>
    <row r="76" spans="1:10">
      <c r="I76" s="148"/>
    </row>
    <row r="77" spans="1:10">
      <c r="I77" s="148"/>
    </row>
    <row r="78" spans="1:10">
      <c r="I78" s="148"/>
    </row>
    <row r="79" spans="1:10">
      <c r="I79" s="148"/>
    </row>
    <row r="80" spans="1:10">
      <c r="I80" s="148"/>
    </row>
    <row r="81" spans="1:10" ht="18">
      <c r="A81" s="300" t="s">
        <v>158</v>
      </c>
      <c r="B81" s="300"/>
      <c r="C81" s="300"/>
      <c r="D81" s="300"/>
      <c r="E81" s="300"/>
      <c r="F81" s="300"/>
      <c r="G81" s="300"/>
      <c r="H81" s="300"/>
      <c r="I81" s="300"/>
      <c r="J81" s="300"/>
    </row>
    <row r="82" spans="1:10" ht="18">
      <c r="A82" s="300" t="s">
        <v>159</v>
      </c>
      <c r="B82" s="300"/>
      <c r="C82" s="300"/>
      <c r="D82" s="300"/>
      <c r="E82" s="300"/>
      <c r="F82" s="300"/>
      <c r="G82" s="300"/>
      <c r="H82" s="300"/>
      <c r="I82" s="300"/>
      <c r="J82" s="300"/>
    </row>
    <row r="84" spans="1:10" ht="13.5" thickBot="1">
      <c r="A84" s="4" t="s">
        <v>194</v>
      </c>
    </row>
    <row r="85" spans="1:10">
      <c r="A85" s="178"/>
      <c r="B85" s="179"/>
      <c r="C85" s="151" t="str">
        <f>C15</f>
        <v>2009 Actual</v>
      </c>
      <c r="D85" s="151" t="str">
        <f t="shared" ref="D85:J85" si="15">D15</f>
        <v>2010 Actual</v>
      </c>
      <c r="E85" s="151" t="str">
        <f t="shared" si="15"/>
        <v>2011 Actual²</v>
      </c>
      <c r="F85" s="151" t="e">
        <f t="shared" si="15"/>
        <v>#VALUE!</v>
      </c>
      <c r="G85" s="151" t="str">
        <f t="shared" si="15"/>
        <v>2011 to Nov30</v>
      </c>
      <c r="H85" s="151" t="str">
        <f>H16</f>
        <v>2012 to Nov 30</v>
      </c>
      <c r="I85" s="151" t="str">
        <f t="shared" si="15"/>
        <v>Bridge Year³</v>
      </c>
      <c r="J85" s="180" t="str">
        <f t="shared" si="15"/>
        <v>Test Year</v>
      </c>
    </row>
    <row r="86" spans="1:10">
      <c r="A86" s="316" t="s">
        <v>118</v>
      </c>
      <c r="B86" s="317"/>
      <c r="C86" s="181" t="str">
        <f>IF(ISBLANK(C17), "", C17)</f>
        <v>CGAAP</v>
      </c>
      <c r="D86" s="181" t="str">
        <f t="shared" ref="D86:J86" si="16">IF(ISBLANK(D17), "", D17)</f>
        <v>CGAAP</v>
      </c>
      <c r="E86" s="181" t="str">
        <f t="shared" si="16"/>
        <v>CGAAP</v>
      </c>
      <c r="F86" s="181" t="str">
        <f t="shared" si="16"/>
        <v>CGAAP</v>
      </c>
      <c r="G86" s="181" t="str">
        <f t="shared" si="16"/>
        <v>CGAAP</v>
      </c>
      <c r="H86" s="181" t="str">
        <f t="shared" si="16"/>
        <v>CGAAP</v>
      </c>
      <c r="I86" s="181" t="str">
        <f t="shared" si="16"/>
        <v>MIFRS</v>
      </c>
      <c r="J86" s="182" t="str">
        <f t="shared" si="16"/>
        <v>MIFRS</v>
      </c>
    </row>
    <row r="87" spans="1:10" ht="15">
      <c r="A87" s="320" t="s">
        <v>195</v>
      </c>
      <c r="B87" s="321"/>
      <c r="C87" s="24">
        <v>300</v>
      </c>
      <c r="D87" s="24">
        <v>100</v>
      </c>
      <c r="E87" s="24">
        <v>300</v>
      </c>
      <c r="F87" s="24"/>
      <c r="G87" s="24">
        <v>300</v>
      </c>
      <c r="H87" s="24">
        <v>0</v>
      </c>
      <c r="I87" s="24">
        <v>100</v>
      </c>
      <c r="J87" s="164">
        <v>100</v>
      </c>
    </row>
    <row r="88" spans="1:10" ht="15">
      <c r="A88" s="320" t="s">
        <v>196</v>
      </c>
      <c r="B88" s="321"/>
      <c r="C88" s="24">
        <v>2740</v>
      </c>
      <c r="D88" s="24">
        <v>3240</v>
      </c>
      <c r="E88" s="24">
        <v>3820</v>
      </c>
      <c r="F88" s="24"/>
      <c r="G88" s="24">
        <v>3480</v>
      </c>
      <c r="H88" s="24">
        <v>3680</v>
      </c>
      <c r="I88" s="24">
        <v>3260</v>
      </c>
      <c r="J88" s="164">
        <v>3200</v>
      </c>
    </row>
    <row r="89" spans="1:10" ht="15">
      <c r="A89" s="320" t="s">
        <v>197</v>
      </c>
      <c r="B89" s="321"/>
      <c r="C89" s="184">
        <v>18947.5</v>
      </c>
      <c r="D89" s="184">
        <v>17224.5</v>
      </c>
      <c r="E89" s="184">
        <v>13490.5</v>
      </c>
      <c r="F89" s="184"/>
      <c r="G89" s="184">
        <v>10080</v>
      </c>
      <c r="H89" s="184">
        <v>11538</v>
      </c>
      <c r="I89" s="184">
        <v>11000</v>
      </c>
      <c r="J89" s="186">
        <v>10000</v>
      </c>
    </row>
    <row r="90" spans="1:10" ht="15">
      <c r="A90" s="324" t="s">
        <v>198</v>
      </c>
      <c r="B90" s="325"/>
      <c r="C90" s="24">
        <v>11195.699999999999</v>
      </c>
      <c r="D90" s="24">
        <v>9864.6</v>
      </c>
      <c r="E90" s="24">
        <v>8061.2999999999993</v>
      </c>
      <c r="F90" s="24"/>
      <c r="G90" s="24">
        <v>8061.2999999999993</v>
      </c>
      <c r="H90" s="24">
        <v>6600</v>
      </c>
      <c r="I90" s="24">
        <v>6600</v>
      </c>
      <c r="J90" s="164">
        <v>6600</v>
      </c>
    </row>
    <row r="91" spans="1:10" ht="15.75" thickBot="1">
      <c r="A91" s="311"/>
      <c r="B91" s="312"/>
      <c r="C91" s="192"/>
      <c r="D91" s="192"/>
      <c r="E91" s="192"/>
      <c r="F91" s="192"/>
      <c r="G91" s="192"/>
      <c r="H91" s="192"/>
      <c r="I91" s="193"/>
      <c r="J91" s="194"/>
    </row>
    <row r="92" spans="1:10" ht="16.5" thickTop="1" thickBot="1">
      <c r="A92" s="328" t="s">
        <v>52</v>
      </c>
      <c r="B92" s="329"/>
      <c r="C92" s="173">
        <f t="shared" ref="C92:J92" si="17">SUM(C87:C91)</f>
        <v>33183.199999999997</v>
      </c>
      <c r="D92" s="173">
        <f t="shared" si="17"/>
        <v>30429.1</v>
      </c>
      <c r="E92" s="173">
        <f t="shared" si="17"/>
        <v>25671.8</v>
      </c>
      <c r="F92" s="173">
        <f t="shared" si="17"/>
        <v>0</v>
      </c>
      <c r="G92" s="173">
        <f t="shared" ref="G92" si="18">SUM(G87:G91)</f>
        <v>21921.3</v>
      </c>
      <c r="H92" s="173">
        <f t="shared" si="17"/>
        <v>21818</v>
      </c>
      <c r="I92" s="173">
        <f t="shared" si="17"/>
        <v>20960</v>
      </c>
      <c r="J92" s="195">
        <f t="shared" si="17"/>
        <v>19900</v>
      </c>
    </row>
    <row r="94" spans="1:10" ht="13.5" thickBot="1">
      <c r="A94" s="4" t="s">
        <v>199</v>
      </c>
      <c r="B94" s="4" t="s">
        <v>200</v>
      </c>
    </row>
    <row r="95" spans="1:10">
      <c r="A95" s="178"/>
      <c r="B95" s="179"/>
      <c r="C95" s="151" t="str">
        <f>C15</f>
        <v>2009 Actual</v>
      </c>
      <c r="D95" s="151" t="str">
        <f t="shared" ref="D95:J95" si="19">D15</f>
        <v>2010 Actual</v>
      </c>
      <c r="E95" s="151" t="str">
        <f t="shared" si="19"/>
        <v>2011 Actual²</v>
      </c>
      <c r="F95" s="151" t="e">
        <f t="shared" si="19"/>
        <v>#VALUE!</v>
      </c>
      <c r="G95" s="151" t="str">
        <f t="shared" si="19"/>
        <v>2011 to Nov30</v>
      </c>
      <c r="H95" s="151" t="str">
        <f>H16</f>
        <v>2012 to Nov 30</v>
      </c>
      <c r="I95" s="151" t="str">
        <f t="shared" si="19"/>
        <v>Bridge Year³</v>
      </c>
      <c r="J95" s="180" t="str">
        <f t="shared" si="19"/>
        <v>Test Year</v>
      </c>
    </row>
    <row r="96" spans="1:10">
      <c r="A96" s="316" t="s">
        <v>118</v>
      </c>
      <c r="B96" s="317"/>
      <c r="C96" s="181" t="str">
        <f>IF(ISBLANK(C17), "", C17)</f>
        <v>CGAAP</v>
      </c>
      <c r="D96" s="181" t="str">
        <f t="shared" ref="D96:J96" si="20">IF(ISBLANK(D17), "", D17)</f>
        <v>CGAAP</v>
      </c>
      <c r="E96" s="181" t="str">
        <f t="shared" si="20"/>
        <v>CGAAP</v>
      </c>
      <c r="F96" s="181" t="str">
        <f t="shared" si="20"/>
        <v>CGAAP</v>
      </c>
      <c r="G96" s="181" t="str">
        <f t="shared" si="20"/>
        <v>CGAAP</v>
      </c>
      <c r="H96" s="181" t="str">
        <f t="shared" si="20"/>
        <v>CGAAP</v>
      </c>
      <c r="I96" s="181" t="str">
        <f t="shared" si="20"/>
        <v>MIFRS</v>
      </c>
      <c r="J96" s="182" t="str">
        <f t="shared" si="20"/>
        <v>MIFRS</v>
      </c>
    </row>
    <row r="97" spans="1:10" ht="15">
      <c r="A97" s="318" t="s">
        <v>201</v>
      </c>
      <c r="B97" s="319"/>
      <c r="C97" s="24">
        <v>1500</v>
      </c>
      <c r="D97" s="24">
        <v>1065</v>
      </c>
      <c r="E97" s="24">
        <v>945</v>
      </c>
      <c r="F97" s="24"/>
      <c r="G97" s="24">
        <v>915</v>
      </c>
      <c r="H97" s="24">
        <v>900</v>
      </c>
      <c r="I97" s="24">
        <v>750</v>
      </c>
      <c r="J97" s="164">
        <v>750</v>
      </c>
    </row>
    <row r="98" spans="1:10" ht="15">
      <c r="A98" s="320" t="s">
        <v>202</v>
      </c>
      <c r="B98" s="321"/>
      <c r="C98" s="24">
        <v>2625</v>
      </c>
      <c r="D98" s="24">
        <v>2055</v>
      </c>
      <c r="E98" s="24">
        <v>2160</v>
      </c>
      <c r="F98" s="24"/>
      <c r="G98" s="24">
        <v>2085</v>
      </c>
      <c r="H98" s="24">
        <v>1830</v>
      </c>
      <c r="I98" s="183">
        <v>1500</v>
      </c>
      <c r="J98" s="164">
        <v>1500</v>
      </c>
    </row>
    <row r="99" spans="1:10" ht="15">
      <c r="A99" s="330" t="s">
        <v>203</v>
      </c>
      <c r="B99" s="323"/>
      <c r="C99" s="184">
        <v>100770</v>
      </c>
      <c r="D99" s="184">
        <v>102660</v>
      </c>
      <c r="E99" s="184">
        <v>98160</v>
      </c>
      <c r="F99" s="184"/>
      <c r="G99" s="184">
        <v>93690</v>
      </c>
      <c r="H99" s="184">
        <v>81390</v>
      </c>
      <c r="I99" s="185">
        <v>100500</v>
      </c>
      <c r="J99" s="186">
        <v>100500</v>
      </c>
    </row>
    <row r="100" spans="1:10" ht="15">
      <c r="A100" s="324" t="s">
        <v>204</v>
      </c>
      <c r="B100" s="325"/>
      <c r="C100" s="24">
        <v>180</v>
      </c>
      <c r="D100" s="24">
        <v>120</v>
      </c>
      <c r="E100" s="24">
        <v>60</v>
      </c>
      <c r="F100" s="24"/>
      <c r="G100" s="24">
        <v>60</v>
      </c>
      <c r="H100" s="24">
        <v>30</v>
      </c>
      <c r="I100" s="183"/>
      <c r="J100" s="164"/>
    </row>
    <row r="101" spans="1:10" ht="15">
      <c r="A101" s="324" t="s">
        <v>205</v>
      </c>
      <c r="B101" s="325"/>
      <c r="C101" s="24">
        <v>56030</v>
      </c>
      <c r="D101" s="24">
        <v>44525</v>
      </c>
      <c r="E101" s="24">
        <v>24765</v>
      </c>
      <c r="F101" s="24"/>
      <c r="G101" s="24">
        <v>24491</v>
      </c>
      <c r="H101" s="24">
        <f>25316+4181</f>
        <v>29497</v>
      </c>
      <c r="I101" s="183">
        <v>26000</v>
      </c>
      <c r="J101" s="164">
        <v>26000</v>
      </c>
    </row>
    <row r="102" spans="1:10" ht="15.75" thickBot="1">
      <c r="A102" s="311" t="s">
        <v>206</v>
      </c>
      <c r="B102" s="312"/>
      <c r="C102" s="24"/>
      <c r="D102" s="24"/>
      <c r="E102" s="24"/>
      <c r="F102" s="24"/>
      <c r="G102" s="24"/>
      <c r="H102" s="24">
        <v>185</v>
      </c>
      <c r="I102" s="183">
        <v>185</v>
      </c>
      <c r="J102" s="164">
        <v>185</v>
      </c>
    </row>
    <row r="103" spans="1:10" ht="16.5" thickTop="1" thickBot="1">
      <c r="A103" s="311" t="s">
        <v>207</v>
      </c>
      <c r="B103" s="312"/>
      <c r="C103" s="192"/>
      <c r="D103" s="192">
        <v>126</v>
      </c>
      <c r="E103" s="192">
        <v>813</v>
      </c>
      <c r="F103" s="192"/>
      <c r="G103" s="192">
        <v>688</v>
      </c>
      <c r="H103" s="192">
        <v>1622</v>
      </c>
      <c r="I103" s="193">
        <v>1386</v>
      </c>
      <c r="J103" s="194">
        <v>1701</v>
      </c>
    </row>
    <row r="104" spans="1:10" ht="16.5" thickTop="1" thickBot="1">
      <c r="A104" s="328" t="s">
        <v>52</v>
      </c>
      <c r="B104" s="329"/>
      <c r="C104" s="173">
        <f t="shared" ref="C104:J104" si="21">SUM(C97:C103)</f>
        <v>161105</v>
      </c>
      <c r="D104" s="173">
        <f t="shared" si="21"/>
        <v>150551</v>
      </c>
      <c r="E104" s="173">
        <f t="shared" si="21"/>
        <v>126903</v>
      </c>
      <c r="F104" s="173">
        <f t="shared" si="21"/>
        <v>0</v>
      </c>
      <c r="G104" s="173">
        <f t="shared" ref="G104" si="22">SUM(G97:G103)</f>
        <v>121929</v>
      </c>
      <c r="H104" s="173">
        <f t="shared" si="21"/>
        <v>115454</v>
      </c>
      <c r="I104" s="173">
        <f t="shared" si="21"/>
        <v>130321</v>
      </c>
      <c r="J104" s="195">
        <f t="shared" si="21"/>
        <v>130636</v>
      </c>
    </row>
    <row r="106" spans="1:10" ht="13.5" thickBot="1">
      <c r="A106" s="4" t="s">
        <v>208</v>
      </c>
    </row>
    <row r="107" spans="1:10">
      <c r="A107" s="178"/>
      <c r="B107" s="179"/>
      <c r="C107" s="151" t="str">
        <f>C15</f>
        <v>2009 Actual</v>
      </c>
      <c r="D107" s="151" t="str">
        <f t="shared" ref="D107:J107" si="23">D15</f>
        <v>2010 Actual</v>
      </c>
      <c r="E107" s="151" t="str">
        <f t="shared" si="23"/>
        <v>2011 Actual²</v>
      </c>
      <c r="F107" s="151" t="e">
        <f t="shared" si="23"/>
        <v>#VALUE!</v>
      </c>
      <c r="G107" s="151" t="str">
        <f t="shared" si="23"/>
        <v>2011 to Nov30</v>
      </c>
      <c r="H107" s="151" t="str">
        <f>H16</f>
        <v>2012 to Nov 30</v>
      </c>
      <c r="I107" s="151" t="str">
        <f t="shared" si="23"/>
        <v>Bridge Year³</v>
      </c>
      <c r="J107" s="180" t="str">
        <f t="shared" si="23"/>
        <v>Test Year</v>
      </c>
    </row>
    <row r="108" spans="1:10">
      <c r="A108" s="316" t="s">
        <v>118</v>
      </c>
      <c r="B108" s="317"/>
      <c r="C108" s="181" t="str">
        <f>IF(ISBLANK(C17), "", C17)</f>
        <v>CGAAP</v>
      </c>
      <c r="D108" s="181" t="str">
        <f t="shared" ref="D108:J108" si="24">IF(ISBLANK(D17), "", D17)</f>
        <v>CGAAP</v>
      </c>
      <c r="E108" s="181" t="str">
        <f t="shared" si="24"/>
        <v>CGAAP</v>
      </c>
      <c r="F108" s="181" t="str">
        <f t="shared" si="24"/>
        <v>CGAAP</v>
      </c>
      <c r="G108" s="181" t="str">
        <f t="shared" si="24"/>
        <v>CGAAP</v>
      </c>
      <c r="H108" s="181" t="str">
        <f t="shared" si="24"/>
        <v>CGAAP</v>
      </c>
      <c r="I108" s="181" t="str">
        <f t="shared" si="24"/>
        <v>MIFRS</v>
      </c>
      <c r="J108" s="182" t="str">
        <f t="shared" si="24"/>
        <v>MIFRS</v>
      </c>
    </row>
    <row r="109" spans="1:10" ht="15">
      <c r="A109" s="320" t="s">
        <v>209</v>
      </c>
      <c r="B109" s="321"/>
      <c r="C109" s="24">
        <v>80833.58</v>
      </c>
      <c r="D109" s="24">
        <v>83638.87</v>
      </c>
      <c r="E109" s="24">
        <v>95563.00499999999</v>
      </c>
      <c r="F109" s="24"/>
      <c r="G109" s="24">
        <v>89982</v>
      </c>
      <c r="H109" s="24">
        <v>74186</v>
      </c>
      <c r="I109" s="24">
        <v>86685</v>
      </c>
      <c r="J109" s="164">
        <v>86685</v>
      </c>
    </row>
    <row r="110" spans="1:10" ht="15">
      <c r="A110" s="320" t="s">
        <v>210</v>
      </c>
      <c r="B110" s="321"/>
      <c r="C110" s="24"/>
      <c r="D110" s="24"/>
      <c r="E110" s="24"/>
      <c r="F110" s="24"/>
      <c r="G110" s="24"/>
      <c r="H110" s="24">
        <v>6480</v>
      </c>
      <c r="I110" s="183">
        <v>3000</v>
      </c>
      <c r="J110" s="164">
        <v>3000</v>
      </c>
    </row>
    <row r="111" spans="1:10" ht="15">
      <c r="A111" s="330"/>
      <c r="B111" s="323"/>
      <c r="C111" s="184"/>
      <c r="D111" s="184"/>
      <c r="E111" s="184"/>
      <c r="F111" s="184"/>
      <c r="G111" s="184"/>
      <c r="H111" s="184"/>
      <c r="I111" s="185"/>
      <c r="J111" s="186"/>
    </row>
    <row r="112" spans="1:10" ht="15">
      <c r="A112" s="324"/>
      <c r="B112" s="325"/>
      <c r="C112" s="24"/>
      <c r="D112" s="24"/>
      <c r="E112" s="24"/>
      <c r="F112" s="24"/>
      <c r="G112" s="24"/>
      <c r="H112" s="24"/>
      <c r="I112" s="183"/>
      <c r="J112" s="164"/>
    </row>
    <row r="113" spans="1:10" ht="15.75" thickBot="1">
      <c r="A113" s="311"/>
      <c r="B113" s="312"/>
      <c r="C113" s="192"/>
      <c r="D113" s="192"/>
      <c r="E113" s="192"/>
      <c r="F113" s="192"/>
      <c r="G113" s="192"/>
      <c r="H113" s="192"/>
      <c r="I113" s="193"/>
      <c r="J113" s="194"/>
    </row>
    <row r="114" spans="1:10" ht="16.5" thickTop="1" thickBot="1">
      <c r="A114" s="328" t="s">
        <v>52</v>
      </c>
      <c r="B114" s="329"/>
      <c r="C114" s="173">
        <f t="shared" ref="C114:J114" si="25">SUM(C109:C113)</f>
        <v>80833.58</v>
      </c>
      <c r="D114" s="173">
        <f t="shared" si="25"/>
        <v>83638.87</v>
      </c>
      <c r="E114" s="173">
        <f t="shared" si="25"/>
        <v>95563.00499999999</v>
      </c>
      <c r="F114" s="173">
        <f t="shared" si="25"/>
        <v>0</v>
      </c>
      <c r="G114" s="173">
        <f t="shared" ref="G114" si="26">SUM(G109:G113)</f>
        <v>89982</v>
      </c>
      <c r="H114" s="173">
        <f t="shared" si="25"/>
        <v>80666</v>
      </c>
      <c r="I114" s="173">
        <f t="shared" si="25"/>
        <v>89685</v>
      </c>
      <c r="J114" s="195">
        <f t="shared" si="25"/>
        <v>89685</v>
      </c>
    </row>
    <row r="117" spans="1:10" ht="13.5" thickBot="1">
      <c r="A117" s="4" t="s">
        <v>211</v>
      </c>
    </row>
    <row r="118" spans="1:10">
      <c r="A118" s="178"/>
      <c r="B118" s="179"/>
      <c r="C118" s="151" t="str">
        <f>C15</f>
        <v>2009 Actual</v>
      </c>
      <c r="D118" s="151" t="str">
        <f t="shared" ref="D118:J118" si="27">D15</f>
        <v>2010 Actual</v>
      </c>
      <c r="E118" s="151" t="str">
        <f t="shared" si="27"/>
        <v>2011 Actual²</v>
      </c>
      <c r="F118" s="151" t="e">
        <f t="shared" si="27"/>
        <v>#VALUE!</v>
      </c>
      <c r="G118" s="151" t="str">
        <f t="shared" si="27"/>
        <v>2011 to Nov30</v>
      </c>
      <c r="H118" s="151" t="str">
        <f>H16</f>
        <v>2012 to Nov 30</v>
      </c>
      <c r="I118" s="151" t="str">
        <f t="shared" si="27"/>
        <v>Bridge Year³</v>
      </c>
      <c r="J118" s="180" t="str">
        <f t="shared" si="27"/>
        <v>Test Year</v>
      </c>
    </row>
    <row r="119" spans="1:10">
      <c r="A119" s="316" t="s">
        <v>118</v>
      </c>
      <c r="B119" s="317"/>
      <c r="C119" s="181" t="str">
        <f>IF(ISBLANK(C17), "", C17)</f>
        <v>CGAAP</v>
      </c>
      <c r="D119" s="181" t="str">
        <f t="shared" ref="D119:J119" si="28">IF(ISBLANK(D17), "", D17)</f>
        <v>CGAAP</v>
      </c>
      <c r="E119" s="181" t="str">
        <f t="shared" si="28"/>
        <v>CGAAP</v>
      </c>
      <c r="F119" s="181" t="str">
        <f t="shared" si="28"/>
        <v>CGAAP</v>
      </c>
      <c r="G119" s="181" t="str">
        <f t="shared" si="28"/>
        <v>CGAAP</v>
      </c>
      <c r="H119" s="181" t="str">
        <f>IF(ISBLANK(H17), "", H17)</f>
        <v>CGAAP</v>
      </c>
      <c r="I119" s="181" t="str">
        <f t="shared" si="28"/>
        <v>MIFRS</v>
      </c>
      <c r="J119" s="182" t="str">
        <f t="shared" si="28"/>
        <v>MIFRS</v>
      </c>
    </row>
    <row r="120" spans="1:10" ht="15">
      <c r="A120" s="333" t="s">
        <v>212</v>
      </c>
      <c r="B120" s="321"/>
      <c r="C120" s="24">
        <v>270835</v>
      </c>
      <c r="D120" s="24">
        <v>122480</v>
      </c>
      <c r="E120" s="24">
        <v>218034</v>
      </c>
      <c r="F120" s="24"/>
      <c r="G120" s="24">
        <v>90417</v>
      </c>
      <c r="H120" s="24">
        <v>69326</v>
      </c>
      <c r="I120" s="24">
        <v>212138</v>
      </c>
      <c r="J120" s="164">
        <v>210938</v>
      </c>
    </row>
    <row r="121" spans="1:10" ht="15">
      <c r="A121" s="333" t="s">
        <v>213</v>
      </c>
      <c r="B121" s="321"/>
      <c r="C121" s="24">
        <v>-44419</v>
      </c>
      <c r="D121" s="24">
        <v>-21431</v>
      </c>
      <c r="E121" s="24">
        <v>-11061</v>
      </c>
      <c r="F121" s="24"/>
      <c r="G121" s="24">
        <v>-11061</v>
      </c>
      <c r="H121" s="168">
        <v>0</v>
      </c>
      <c r="I121" s="183">
        <v>-167000</v>
      </c>
      <c r="J121" s="196">
        <v>-167000</v>
      </c>
    </row>
    <row r="122" spans="1:10" ht="15">
      <c r="A122" s="333" t="s">
        <v>214</v>
      </c>
      <c r="B122" s="321"/>
      <c r="C122" s="24">
        <v>-6110</v>
      </c>
      <c r="D122" s="24">
        <v>15671</v>
      </c>
      <c r="E122" s="24">
        <v>15000</v>
      </c>
      <c r="F122" s="24"/>
      <c r="G122" s="24">
        <v>-6110</v>
      </c>
      <c r="H122" s="24">
        <v>14000</v>
      </c>
      <c r="I122" s="183">
        <v>14000</v>
      </c>
      <c r="J122" s="196">
        <v>8000</v>
      </c>
    </row>
    <row r="123" spans="1:10" ht="15">
      <c r="A123" s="322" t="s">
        <v>215</v>
      </c>
      <c r="B123" s="323"/>
      <c r="C123" s="24">
        <v>21774</v>
      </c>
      <c r="D123" s="24">
        <v>279576</v>
      </c>
      <c r="E123" s="24">
        <v>203499</v>
      </c>
      <c r="F123" s="184"/>
      <c r="G123" s="24">
        <v>33633</v>
      </c>
      <c r="H123" s="184">
        <v>44880</v>
      </c>
      <c r="I123" s="185">
        <v>200000</v>
      </c>
      <c r="J123" s="186">
        <v>200000</v>
      </c>
    </row>
    <row r="124" spans="1:10" ht="15">
      <c r="A124" s="334" t="s">
        <v>216</v>
      </c>
      <c r="B124" s="325"/>
      <c r="C124" s="184">
        <v>-19974</v>
      </c>
      <c r="D124" s="184">
        <v>-250819</v>
      </c>
      <c r="E124" s="184">
        <v>-182206</v>
      </c>
      <c r="F124" s="24"/>
      <c r="G124" s="184">
        <v>0</v>
      </c>
      <c r="H124" s="24">
        <v>-1000</v>
      </c>
      <c r="I124" s="183">
        <v>-200000</v>
      </c>
      <c r="J124" s="164">
        <v>-200000</v>
      </c>
    </row>
    <row r="125" spans="1:10" ht="15.75" thickBot="1">
      <c r="A125" s="335" t="s">
        <v>217</v>
      </c>
      <c r="B125" s="312"/>
      <c r="C125" s="192">
        <v>4342</v>
      </c>
      <c r="D125" s="192">
        <v>3684</v>
      </c>
      <c r="E125" s="192">
        <v>22760</v>
      </c>
      <c r="F125" s="192"/>
      <c r="G125" s="192">
        <v>21214</v>
      </c>
      <c r="H125" s="192">
        <v>14415</v>
      </c>
      <c r="I125" s="193">
        <v>20000</v>
      </c>
      <c r="J125" s="194">
        <v>20000</v>
      </c>
    </row>
    <row r="126" spans="1:10" ht="16.5" thickTop="1" thickBot="1">
      <c r="A126" s="328" t="s">
        <v>52</v>
      </c>
      <c r="B126" s="329"/>
      <c r="C126" s="173">
        <f t="shared" ref="C126:J126" si="29">SUM(C120:C125)</f>
        <v>226448</v>
      </c>
      <c r="D126" s="173">
        <f t="shared" si="29"/>
        <v>149161</v>
      </c>
      <c r="E126" s="173">
        <f t="shared" si="29"/>
        <v>266026</v>
      </c>
      <c r="F126" s="173">
        <f t="shared" si="29"/>
        <v>0</v>
      </c>
      <c r="G126" s="173">
        <f t="shared" ref="G126" si="30">SUM(G120:G125)</f>
        <v>128093</v>
      </c>
      <c r="H126" s="173">
        <f t="shared" si="29"/>
        <v>141621</v>
      </c>
      <c r="I126" s="173">
        <f t="shared" si="29"/>
        <v>79138</v>
      </c>
      <c r="J126" s="195">
        <f t="shared" si="29"/>
        <v>71938</v>
      </c>
    </row>
    <row r="128" spans="1:10">
      <c r="A128" s="197" t="s">
        <v>56</v>
      </c>
    </row>
    <row r="129" spans="1:10">
      <c r="A129" s="198">
        <v>1</v>
      </c>
      <c r="B129" s="2" t="s">
        <v>218</v>
      </c>
    </row>
    <row r="130" spans="1:10" ht="30.75" customHeight="1">
      <c r="A130" s="198">
        <v>2</v>
      </c>
      <c r="B130" s="331" t="s">
        <v>219</v>
      </c>
      <c r="C130" s="332"/>
      <c r="D130" s="332"/>
      <c r="E130" s="332"/>
      <c r="F130" s="332"/>
      <c r="G130" s="332"/>
      <c r="H130" s="332"/>
      <c r="I130" s="332"/>
      <c r="J130" s="332"/>
    </row>
    <row r="131" spans="1:10" ht="30.75" customHeight="1">
      <c r="A131" s="198">
        <v>3</v>
      </c>
      <c r="B131" s="331" t="s">
        <v>220</v>
      </c>
      <c r="C131" s="332"/>
      <c r="D131" s="332"/>
      <c r="E131" s="332"/>
      <c r="F131" s="332"/>
      <c r="G131" s="332"/>
      <c r="H131" s="332"/>
      <c r="I131" s="332"/>
      <c r="J131" s="332"/>
    </row>
    <row r="148" spans="3:3">
      <c r="C148" s="6"/>
    </row>
    <row r="151" spans="3:3">
      <c r="C151" s="6"/>
    </row>
    <row r="153" spans="3:3">
      <c r="C153" s="6"/>
    </row>
  </sheetData>
  <mergeCells count="60">
    <mergeCell ref="B131:J131"/>
    <mergeCell ref="A113:B113"/>
    <mergeCell ref="A114:B114"/>
    <mergeCell ref="A119:B119"/>
    <mergeCell ref="A120:B120"/>
    <mergeCell ref="A121:B121"/>
    <mergeCell ref="A122:B122"/>
    <mergeCell ref="A123:B123"/>
    <mergeCell ref="A124:B124"/>
    <mergeCell ref="A125:B125"/>
    <mergeCell ref="A126:B126"/>
    <mergeCell ref="B130:J130"/>
    <mergeCell ref="A112:B112"/>
    <mergeCell ref="A98:B98"/>
    <mergeCell ref="A99:B99"/>
    <mergeCell ref="A100:B100"/>
    <mergeCell ref="A101:B101"/>
    <mergeCell ref="A102:B102"/>
    <mergeCell ref="A103:B103"/>
    <mergeCell ref="A104:B104"/>
    <mergeCell ref="A108:B108"/>
    <mergeCell ref="A109:B109"/>
    <mergeCell ref="A110:B110"/>
    <mergeCell ref="A111:B111"/>
    <mergeCell ref="A97:B97"/>
    <mergeCell ref="A68:B68"/>
    <mergeCell ref="A81:J81"/>
    <mergeCell ref="A82:J82"/>
    <mergeCell ref="A86:B86"/>
    <mergeCell ref="A87:B87"/>
    <mergeCell ref="A88:B88"/>
    <mergeCell ref="A89:B89"/>
    <mergeCell ref="A90:B90"/>
    <mergeCell ref="A91:B91"/>
    <mergeCell ref="A92:B92"/>
    <mergeCell ref="A96:B96"/>
    <mergeCell ref="A67:B67"/>
    <mergeCell ref="A44:B44"/>
    <mergeCell ref="C44:J45"/>
    <mergeCell ref="A48:J49"/>
    <mergeCell ref="A53:J54"/>
    <mergeCell ref="A58:B58"/>
    <mergeCell ref="A59:B59"/>
    <mergeCell ref="A60:B60"/>
    <mergeCell ref="A61:B61"/>
    <mergeCell ref="A62:B62"/>
    <mergeCell ref="A63:B63"/>
    <mergeCell ref="A64:B64"/>
    <mergeCell ref="C43:J43"/>
    <mergeCell ref="A12:J12"/>
    <mergeCell ref="A13:J13"/>
    <mergeCell ref="A33:J33"/>
    <mergeCell ref="A34:B34"/>
    <mergeCell ref="A35:B35"/>
    <mergeCell ref="A36:B36"/>
    <mergeCell ref="A37:B37"/>
    <mergeCell ref="A38:B38"/>
    <mergeCell ref="A41:B41"/>
    <mergeCell ref="A42:B42"/>
    <mergeCell ref="A43:B43"/>
  </mergeCells>
  <dataValidations count="1">
    <dataValidation type="list" allowBlank="1" showInputMessage="1" showErrorMessage="1" sqref="C17:J17">
      <formula1>"CGAAP, MIFRS, USGAAP, ASPE"</formula1>
    </dataValidation>
  </dataValidations>
  <pageMargins left="0.74803149606299213" right="0.74803149606299213" top="0.98425196850393704" bottom="0.98425196850393704" header="0.51181102362204722" footer="0.51181102362204722"/>
  <pageSetup scale="67" fitToHeight="2" orientation="portrait" r:id="rId1"/>
  <headerFooter alignWithMargins="0">
    <oddHeader>&amp;R
Page &amp;P of &amp;N
&amp;"Arial,Bold"&amp;12
Exhibit 3
Tab 2
Schedule 1
Attachment 1
January 9, 2013</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Q31"/>
  <sheetViews>
    <sheetView workbookViewId="0">
      <selection activeCell="E29" sqref="E29"/>
    </sheetView>
  </sheetViews>
  <sheetFormatPr defaultColWidth="9.140625" defaultRowHeight="11.25"/>
  <cols>
    <col min="1" max="1" width="15.28515625" style="96" customWidth="1"/>
    <col min="2" max="9" width="10.28515625" style="96" customWidth="1"/>
    <col min="10" max="10" width="11" style="96" customWidth="1"/>
    <col min="11" max="16" width="10.28515625" style="96" customWidth="1"/>
    <col min="17" max="17" width="10.28515625" style="96" hidden="1" customWidth="1"/>
    <col min="18" max="29" width="12.7109375" style="96" customWidth="1"/>
    <col min="30" max="16384" width="9.140625" style="96"/>
  </cols>
  <sheetData>
    <row r="1" spans="1:17" ht="15.75">
      <c r="A1" s="336" t="s">
        <v>78</v>
      </c>
      <c r="B1" s="336"/>
      <c r="C1" s="336"/>
      <c r="D1" s="336"/>
      <c r="E1" s="336"/>
      <c r="F1" s="336"/>
      <c r="G1" s="336"/>
      <c r="H1" s="336"/>
      <c r="I1" s="336"/>
      <c r="J1" s="336"/>
      <c r="K1" s="336"/>
      <c r="L1" s="336"/>
      <c r="M1" s="336"/>
      <c r="N1" s="336"/>
      <c r="O1" s="336"/>
      <c r="P1" s="336"/>
      <c r="Q1" s="336"/>
    </row>
    <row r="3" spans="1:17" s="97" customFormat="1" ht="45">
      <c r="A3" s="97" t="s">
        <v>79</v>
      </c>
      <c r="B3" s="98" t="s">
        <v>80</v>
      </c>
      <c r="C3" s="98" t="s">
        <v>81</v>
      </c>
      <c r="D3" s="98" t="s">
        <v>82</v>
      </c>
      <c r="E3" s="98" t="s">
        <v>83</v>
      </c>
      <c r="F3" s="98" t="s">
        <v>84</v>
      </c>
      <c r="G3" s="98" t="s">
        <v>85</v>
      </c>
      <c r="H3" s="98" t="s">
        <v>86</v>
      </c>
      <c r="I3" s="98" t="s">
        <v>87</v>
      </c>
      <c r="J3" s="98" t="s">
        <v>88</v>
      </c>
      <c r="K3" s="98" t="s">
        <v>89</v>
      </c>
      <c r="L3" s="98" t="s">
        <v>90</v>
      </c>
      <c r="M3" s="98" t="s">
        <v>91</v>
      </c>
      <c r="N3" s="98" t="s">
        <v>92</v>
      </c>
      <c r="O3" s="98" t="s">
        <v>64</v>
      </c>
      <c r="P3" s="98" t="s">
        <v>93</v>
      </c>
      <c r="Q3" s="98" t="s">
        <v>94</v>
      </c>
    </row>
    <row r="4" spans="1:17" ht="33.75">
      <c r="A4" s="97" t="s">
        <v>95</v>
      </c>
      <c r="B4" s="99">
        <v>80264953</v>
      </c>
      <c r="C4" s="99">
        <v>35016067</v>
      </c>
      <c r="D4" s="99">
        <v>23709214</v>
      </c>
      <c r="E4" s="99">
        <v>79799313</v>
      </c>
      <c r="F4" s="99">
        <v>50926172</v>
      </c>
      <c r="G4" s="99">
        <v>62832286</v>
      </c>
      <c r="H4" s="99">
        <v>62762082</v>
      </c>
      <c r="I4" s="99">
        <v>72834711</v>
      </c>
      <c r="J4" s="99">
        <v>143157511</v>
      </c>
      <c r="K4" s="99">
        <v>84066272</v>
      </c>
      <c r="L4" s="99">
        <v>33329915</v>
      </c>
      <c r="M4" s="99">
        <v>15151932</v>
      </c>
      <c r="N4" s="99">
        <v>47474354</v>
      </c>
      <c r="O4" s="99">
        <v>45662061</v>
      </c>
      <c r="P4" s="99">
        <v>31900027</v>
      </c>
      <c r="Q4" s="99">
        <f>AVERAGE(B4:P4)</f>
        <v>57925791.333333336</v>
      </c>
    </row>
    <row r="5" spans="1:17" ht="22.5">
      <c r="A5" s="97" t="s">
        <v>96</v>
      </c>
      <c r="B5" s="99">
        <v>60757697</v>
      </c>
      <c r="C5" s="99">
        <v>29031935</v>
      </c>
      <c r="D5" s="99">
        <v>20088089</v>
      </c>
      <c r="E5" s="99">
        <v>64316280</v>
      </c>
      <c r="F5" s="99">
        <v>42724654</v>
      </c>
      <c r="G5" s="99">
        <v>51143998</v>
      </c>
      <c r="H5" s="99">
        <v>52635545</v>
      </c>
      <c r="I5" s="99">
        <v>62084765</v>
      </c>
      <c r="J5" s="99">
        <v>114642681</v>
      </c>
      <c r="K5" s="99">
        <v>68935891</v>
      </c>
      <c r="L5" s="99">
        <v>26618052</v>
      </c>
      <c r="M5" s="99">
        <v>11132422</v>
      </c>
      <c r="N5" s="99">
        <v>38654201</v>
      </c>
      <c r="O5" s="99">
        <v>36641937</v>
      </c>
      <c r="P5" s="99">
        <v>23961554</v>
      </c>
      <c r="Q5" s="99">
        <f>AVERAGE(B5:P5)</f>
        <v>46891313.399999999</v>
      </c>
    </row>
    <row r="6" spans="1:17">
      <c r="A6" s="97"/>
      <c r="B6" s="99">
        <f>+B4-B5</f>
        <v>19507256</v>
      </c>
      <c r="C6" s="99">
        <f>+C4-C5</f>
        <v>5984132</v>
      </c>
      <c r="D6" s="99">
        <f t="shared" ref="D6:Q6" si="0">+D4-D5</f>
        <v>3621125</v>
      </c>
      <c r="E6" s="99">
        <f>+E4-E5</f>
        <v>15483033</v>
      </c>
      <c r="F6" s="99">
        <f t="shared" si="0"/>
        <v>8201518</v>
      </c>
      <c r="G6" s="99">
        <f>+G4-G5</f>
        <v>11688288</v>
      </c>
      <c r="H6" s="99">
        <f t="shared" si="0"/>
        <v>10126537</v>
      </c>
      <c r="I6" s="99">
        <f t="shared" si="0"/>
        <v>10749946</v>
      </c>
      <c r="J6" s="99">
        <f t="shared" si="0"/>
        <v>28514830</v>
      </c>
      <c r="K6" s="99">
        <f t="shared" si="0"/>
        <v>15130381</v>
      </c>
      <c r="L6" s="99">
        <f t="shared" si="0"/>
        <v>6711863</v>
      </c>
      <c r="M6" s="99">
        <f t="shared" si="0"/>
        <v>4019510</v>
      </c>
      <c r="N6" s="99">
        <f t="shared" si="0"/>
        <v>8820153</v>
      </c>
      <c r="O6" s="99">
        <f t="shared" si="0"/>
        <v>9020124</v>
      </c>
      <c r="P6" s="99">
        <f t="shared" si="0"/>
        <v>7938473</v>
      </c>
      <c r="Q6" s="99">
        <f t="shared" si="0"/>
        <v>11034477.933333337</v>
      </c>
    </row>
    <row r="7" spans="1:17">
      <c r="A7" s="97"/>
      <c r="B7" s="99"/>
      <c r="C7" s="99"/>
      <c r="D7" s="99"/>
      <c r="E7" s="99"/>
      <c r="F7" s="99"/>
      <c r="G7" s="99"/>
      <c r="H7" s="99"/>
      <c r="I7" s="99"/>
      <c r="J7" s="99"/>
      <c r="K7" s="99"/>
      <c r="L7" s="99"/>
      <c r="M7" s="99"/>
      <c r="N7" s="99"/>
      <c r="O7" s="99"/>
      <c r="P7" s="99"/>
      <c r="Q7" s="99"/>
    </row>
    <row r="8" spans="1:17">
      <c r="A8" s="97" t="s">
        <v>97</v>
      </c>
      <c r="B8" s="99">
        <v>1018200</v>
      </c>
      <c r="C8" s="99">
        <v>31855</v>
      </c>
      <c r="D8" s="99">
        <v>511876</v>
      </c>
      <c r="E8" s="99">
        <v>177416</v>
      </c>
      <c r="F8" s="99">
        <v>714701</v>
      </c>
      <c r="G8" s="99">
        <v>754345</v>
      </c>
      <c r="H8" s="99">
        <v>383021</v>
      </c>
      <c r="I8" s="99">
        <v>206357</v>
      </c>
      <c r="J8" s="99">
        <v>414230</v>
      </c>
      <c r="K8" s="99">
        <v>724735</v>
      </c>
      <c r="L8" s="99">
        <v>313371</v>
      </c>
      <c r="M8" s="99">
        <v>78491</v>
      </c>
      <c r="N8" s="99">
        <v>287766</v>
      </c>
      <c r="O8" s="99">
        <v>395796</v>
      </c>
      <c r="P8" s="99">
        <v>281997</v>
      </c>
      <c r="Q8" s="99">
        <f>AVERAGE(B8:P8)</f>
        <v>419610.46666666667</v>
      </c>
    </row>
    <row r="9" spans="1:17">
      <c r="B9" s="99"/>
      <c r="C9" s="99"/>
      <c r="D9" s="99"/>
      <c r="E9" s="99"/>
      <c r="F9" s="99"/>
      <c r="G9" s="99"/>
      <c r="H9" s="99"/>
      <c r="I9" s="99"/>
      <c r="J9" s="99"/>
      <c r="K9" s="99"/>
      <c r="L9" s="99"/>
      <c r="M9" s="99"/>
      <c r="N9" s="99"/>
      <c r="O9" s="99"/>
      <c r="P9" s="99"/>
      <c r="Q9" s="99"/>
    </row>
    <row r="10" spans="1:17">
      <c r="A10" s="97" t="s">
        <v>98</v>
      </c>
      <c r="B10" s="99"/>
      <c r="C10" s="99"/>
      <c r="D10" s="99"/>
      <c r="E10" s="99"/>
      <c r="F10" s="99"/>
      <c r="G10" s="99"/>
      <c r="H10" s="99"/>
      <c r="I10" s="99"/>
      <c r="J10" s="99"/>
      <c r="K10" s="99"/>
      <c r="L10" s="99"/>
      <c r="M10" s="99"/>
      <c r="N10" s="99"/>
      <c r="O10" s="99"/>
      <c r="P10" s="99"/>
      <c r="Q10" s="99"/>
    </row>
    <row r="11" spans="1:17">
      <c r="A11" s="97" t="s">
        <v>99</v>
      </c>
      <c r="B11" s="99">
        <v>3177397</v>
      </c>
      <c r="C11" s="99">
        <v>338927</v>
      </c>
      <c r="D11" s="99">
        <v>246823</v>
      </c>
      <c r="E11" s="99">
        <v>703434</v>
      </c>
      <c r="F11" s="99">
        <v>307305</v>
      </c>
      <c r="G11" s="99">
        <v>886624</v>
      </c>
      <c r="H11" s="99">
        <v>616923</v>
      </c>
      <c r="I11" s="99">
        <v>2605492</v>
      </c>
      <c r="J11" s="99">
        <v>4071987</v>
      </c>
      <c r="K11" s="99">
        <v>1748639</v>
      </c>
      <c r="L11" s="99">
        <v>558750</v>
      </c>
      <c r="M11" s="99">
        <v>44495</v>
      </c>
      <c r="N11" s="99">
        <v>1161145</v>
      </c>
      <c r="O11" s="99">
        <v>265336</v>
      </c>
      <c r="P11" s="99">
        <v>766170</v>
      </c>
      <c r="Q11" s="99">
        <f t="shared" ref="Q11:Q18" si="1">AVERAGE(B11:P11)</f>
        <v>1166629.8</v>
      </c>
    </row>
    <row r="12" spans="1:17">
      <c r="A12" s="97" t="s">
        <v>100</v>
      </c>
      <c r="B12" s="99">
        <v>157217</v>
      </c>
      <c r="C12" s="99">
        <v>1818120</v>
      </c>
      <c r="D12" s="99">
        <v>524267</v>
      </c>
      <c r="E12" s="99">
        <v>1052368</v>
      </c>
      <c r="F12" s="99">
        <v>868332</v>
      </c>
      <c r="G12" s="99">
        <v>1425359</v>
      </c>
      <c r="H12" s="99">
        <v>922897</v>
      </c>
      <c r="I12" s="99">
        <v>810263</v>
      </c>
      <c r="J12" s="99">
        <v>2209781</v>
      </c>
      <c r="K12" s="99">
        <v>1775876</v>
      </c>
      <c r="L12" s="99">
        <v>364539</v>
      </c>
      <c r="M12" s="99">
        <v>582372</v>
      </c>
      <c r="N12" s="99">
        <v>1232248</v>
      </c>
      <c r="O12" s="99">
        <v>1217086</v>
      </c>
      <c r="P12" s="99">
        <v>715982</v>
      </c>
      <c r="Q12" s="99">
        <f t="shared" si="1"/>
        <v>1045113.8</v>
      </c>
    </row>
    <row r="13" spans="1:17">
      <c r="A13" s="97" t="s">
        <v>101</v>
      </c>
      <c r="B13" s="99">
        <v>7728906</v>
      </c>
      <c r="C13" s="99">
        <v>1919440</v>
      </c>
      <c r="D13" s="99">
        <v>1648311</v>
      </c>
      <c r="E13" s="99">
        <v>4958276</v>
      </c>
      <c r="F13" s="99">
        <v>4530786</v>
      </c>
      <c r="G13" s="99">
        <v>3234946</v>
      </c>
      <c r="H13" s="99">
        <v>2427410</v>
      </c>
      <c r="I13" s="99">
        <v>2595986</v>
      </c>
      <c r="J13" s="99">
        <v>7786619</v>
      </c>
      <c r="K13" s="99">
        <v>3479194</v>
      </c>
      <c r="L13" s="99">
        <v>2767661</v>
      </c>
      <c r="M13" s="99">
        <v>1594111</v>
      </c>
      <c r="N13" s="99">
        <v>2884346</v>
      </c>
      <c r="O13" s="99">
        <v>3114097</v>
      </c>
      <c r="P13" s="99">
        <v>2324943</v>
      </c>
      <c r="Q13" s="99">
        <f t="shared" si="1"/>
        <v>3533002.1333333333</v>
      </c>
    </row>
    <row r="14" spans="1:17">
      <c r="A14" s="97" t="s">
        <v>102</v>
      </c>
      <c r="B14" s="99">
        <v>648952</v>
      </c>
      <c r="C14" s="99">
        <v>6833</v>
      </c>
      <c r="D14" s="99">
        <v>32854</v>
      </c>
      <c r="E14" s="99">
        <v>1916522</v>
      </c>
      <c r="F14" s="99">
        <v>108295</v>
      </c>
      <c r="G14" s="99">
        <v>234286</v>
      </c>
      <c r="H14" s="99">
        <v>85188</v>
      </c>
      <c r="I14" s="99">
        <v>507694</v>
      </c>
      <c r="J14" s="99">
        <v>38906</v>
      </c>
      <c r="K14" s="99">
        <v>476051</v>
      </c>
      <c r="L14" s="99">
        <v>108911</v>
      </c>
      <c r="M14" s="99">
        <v>43051</v>
      </c>
      <c r="N14" s="99">
        <v>52845</v>
      </c>
      <c r="O14" s="99">
        <v>68184</v>
      </c>
      <c r="P14" s="99">
        <v>128818</v>
      </c>
      <c r="Q14" s="99">
        <f t="shared" si="1"/>
        <v>297159.33333333331</v>
      </c>
    </row>
    <row r="15" spans="1:17" ht="22.5">
      <c r="A15" s="100" t="s">
        <v>103</v>
      </c>
      <c r="B15" s="99">
        <v>4259216</v>
      </c>
      <c r="C15" s="99">
        <v>1053169</v>
      </c>
      <c r="D15" s="99">
        <v>839799</v>
      </c>
      <c r="E15" s="99">
        <v>3699640</v>
      </c>
      <c r="F15" s="99">
        <v>1456074</v>
      </c>
      <c r="G15" s="99">
        <v>2602727</v>
      </c>
      <c r="H15" s="99">
        <v>2498627</v>
      </c>
      <c r="I15" s="99">
        <v>2155653</v>
      </c>
      <c r="J15" s="99">
        <v>7212417</v>
      </c>
      <c r="K15" s="99">
        <v>3424461</v>
      </c>
      <c r="L15" s="99">
        <v>1386336</v>
      </c>
      <c r="M15" s="99">
        <v>606263</v>
      </c>
      <c r="N15" s="99">
        <v>1751140</v>
      </c>
      <c r="O15" s="99">
        <v>2010837</v>
      </c>
      <c r="P15" s="99">
        <v>5494742</v>
      </c>
      <c r="Q15" s="99">
        <f t="shared" si="1"/>
        <v>2696740.0666666669</v>
      </c>
    </row>
    <row r="16" spans="1:17">
      <c r="A16" s="97" t="s">
        <v>104</v>
      </c>
      <c r="B16" s="99">
        <v>1731522</v>
      </c>
      <c r="C16" s="99">
        <v>285649</v>
      </c>
      <c r="D16" s="99">
        <v>307318</v>
      </c>
      <c r="E16" s="99">
        <v>1916487</v>
      </c>
      <c r="F16" s="99">
        <v>1057607</v>
      </c>
      <c r="G16" s="99">
        <v>1152689</v>
      </c>
      <c r="H16" s="99">
        <v>1305015</v>
      </c>
      <c r="I16" s="99">
        <v>1025258</v>
      </c>
      <c r="J16" s="99">
        <v>2868517</v>
      </c>
      <c r="K16" s="99">
        <v>2249977</v>
      </c>
      <c r="L16" s="99">
        <v>890441</v>
      </c>
      <c r="M16" s="99">
        <v>213621</v>
      </c>
      <c r="N16" s="99">
        <v>997984</v>
      </c>
      <c r="O16" s="99">
        <v>1595858</v>
      </c>
      <c r="P16" s="99">
        <v>2328904</v>
      </c>
      <c r="Q16" s="99">
        <f t="shared" si="1"/>
        <v>1328456.4666666666</v>
      </c>
    </row>
    <row r="17" spans="1:17">
      <c r="A17" s="97"/>
      <c r="B17" s="101">
        <f>SUM(B11:B14)</f>
        <v>11712472</v>
      </c>
      <c r="C17" s="101">
        <f t="shared" ref="C17:P17" si="2">SUM(C11:C14)</f>
        <v>4083320</v>
      </c>
      <c r="D17" s="101">
        <f t="shared" si="2"/>
        <v>2452255</v>
      </c>
      <c r="E17" s="101">
        <f t="shared" si="2"/>
        <v>8630600</v>
      </c>
      <c r="F17" s="101">
        <f t="shared" si="2"/>
        <v>5814718</v>
      </c>
      <c r="G17" s="101">
        <f t="shared" si="2"/>
        <v>5781215</v>
      </c>
      <c r="H17" s="101">
        <f t="shared" si="2"/>
        <v>4052418</v>
      </c>
      <c r="I17" s="101">
        <f t="shared" si="2"/>
        <v>6519435</v>
      </c>
      <c r="J17" s="101">
        <f t="shared" si="2"/>
        <v>14107293</v>
      </c>
      <c r="K17" s="101">
        <f t="shared" si="2"/>
        <v>7479760</v>
      </c>
      <c r="L17" s="101">
        <f t="shared" si="2"/>
        <v>3799861</v>
      </c>
      <c r="M17" s="101">
        <f t="shared" si="2"/>
        <v>2264029</v>
      </c>
      <c r="N17" s="101">
        <f t="shared" si="2"/>
        <v>5330584</v>
      </c>
      <c r="O17" s="102">
        <f t="shared" si="2"/>
        <v>4664703</v>
      </c>
      <c r="P17" s="101">
        <f t="shared" si="2"/>
        <v>3935913</v>
      </c>
      <c r="Q17" s="101">
        <f t="shared" si="1"/>
        <v>6041905.0666666664</v>
      </c>
    </row>
    <row r="18" spans="1:17">
      <c r="A18" s="97" t="s">
        <v>105</v>
      </c>
      <c r="B18" s="103">
        <v>35772</v>
      </c>
      <c r="C18" s="103">
        <v>15723</v>
      </c>
      <c r="D18" s="103">
        <v>11276</v>
      </c>
      <c r="E18" s="103">
        <v>32132</v>
      </c>
      <c r="F18" s="103">
        <v>18090</v>
      </c>
      <c r="G18" s="103">
        <v>28094</v>
      </c>
      <c r="H18" s="103">
        <v>19865</v>
      </c>
      <c r="I18" s="103">
        <v>26844</v>
      </c>
      <c r="J18" s="103">
        <v>51162</v>
      </c>
      <c r="K18" s="103">
        <v>35270</v>
      </c>
      <c r="L18" s="103">
        <v>16436</v>
      </c>
      <c r="M18" s="103">
        <v>12324</v>
      </c>
      <c r="N18" s="103">
        <v>21768</v>
      </c>
      <c r="O18" s="104">
        <v>22257</v>
      </c>
      <c r="P18" s="103">
        <v>15181</v>
      </c>
      <c r="Q18" s="101">
        <f t="shared" si="1"/>
        <v>24146.266666666666</v>
      </c>
    </row>
    <row r="19" spans="1:17">
      <c r="A19" s="97"/>
      <c r="B19" s="101">
        <f>+B17/B18</f>
        <v>327.420105110142</v>
      </c>
      <c r="C19" s="101">
        <f>+C17/C18</f>
        <v>259.70361890224513</v>
      </c>
      <c r="D19" s="101">
        <f t="shared" ref="D19:Q19" si="3">+D17/D18</f>
        <v>217.47561191912027</v>
      </c>
      <c r="E19" s="101">
        <f t="shared" si="3"/>
        <v>268.59828208639362</v>
      </c>
      <c r="F19" s="101">
        <f t="shared" si="3"/>
        <v>321.43272526257601</v>
      </c>
      <c r="G19" s="101">
        <f t="shared" si="3"/>
        <v>205.78112764291308</v>
      </c>
      <c r="H19" s="101">
        <f t="shared" si="3"/>
        <v>203.99788572866851</v>
      </c>
      <c r="I19" s="101">
        <f t="shared" si="3"/>
        <v>242.86376843987483</v>
      </c>
      <c r="J19" s="101">
        <f t="shared" si="3"/>
        <v>275.7377154919667</v>
      </c>
      <c r="K19" s="101">
        <f t="shared" si="3"/>
        <v>212.07144882336263</v>
      </c>
      <c r="L19" s="101">
        <f t="shared" si="3"/>
        <v>231.19134825991725</v>
      </c>
      <c r="M19" s="101">
        <f t="shared" si="3"/>
        <v>183.70894190197987</v>
      </c>
      <c r="N19" s="101">
        <f t="shared" si="3"/>
        <v>244.88166115398749</v>
      </c>
      <c r="O19" s="102">
        <f t="shared" si="3"/>
        <v>209.58363660870737</v>
      </c>
      <c r="P19" s="101">
        <f t="shared" si="3"/>
        <v>259.26572689546146</v>
      </c>
      <c r="Q19" s="101">
        <f t="shared" si="3"/>
        <v>250.22108593737056</v>
      </c>
    </row>
    <row r="20" spans="1:17" ht="20.25" customHeight="1">
      <c r="A20" s="97" t="s">
        <v>106</v>
      </c>
      <c r="B20" s="99">
        <v>2822246</v>
      </c>
      <c r="C20" s="99">
        <v>593849</v>
      </c>
      <c r="D20" s="99">
        <v>533629</v>
      </c>
      <c r="E20" s="99">
        <v>1413722</v>
      </c>
      <c r="F20" s="99">
        <v>587820</v>
      </c>
      <c r="G20" s="99">
        <v>2906001</v>
      </c>
      <c r="H20" s="99">
        <v>2653499</v>
      </c>
      <c r="I20" s="99">
        <v>1255957</v>
      </c>
      <c r="J20" s="99">
        <v>4740834</v>
      </c>
      <c r="K20" s="99">
        <v>2700919</v>
      </c>
      <c r="L20" s="99">
        <v>948597</v>
      </c>
      <c r="M20" s="99">
        <v>1014089</v>
      </c>
      <c r="N20" s="99">
        <v>1028213</v>
      </c>
      <c r="O20" s="99">
        <v>1144522</v>
      </c>
      <c r="P20" s="99">
        <v>-206088</v>
      </c>
      <c r="Q20" s="99">
        <f>AVERAGE(B20:P20)</f>
        <v>1609187.2666666666</v>
      </c>
    </row>
    <row r="21" spans="1:17" ht="21.75" customHeight="1">
      <c r="A21" s="97" t="s">
        <v>107</v>
      </c>
      <c r="B21" s="99"/>
      <c r="C21" s="99"/>
      <c r="D21" s="99"/>
      <c r="E21" s="99"/>
      <c r="F21" s="99"/>
      <c r="G21" s="99"/>
      <c r="H21" s="99"/>
      <c r="I21" s="99"/>
      <c r="J21" s="99"/>
      <c r="K21" s="99"/>
      <c r="L21" s="99"/>
      <c r="M21" s="99"/>
      <c r="N21" s="99"/>
      <c r="O21" s="99"/>
      <c r="P21" s="99"/>
      <c r="Q21" s="99"/>
    </row>
    <row r="22" spans="1:17">
      <c r="A22" s="97" t="s">
        <v>108</v>
      </c>
      <c r="B22" s="99">
        <v>525000</v>
      </c>
      <c r="C22" s="99">
        <v>147729</v>
      </c>
      <c r="D22" s="99">
        <v>216887</v>
      </c>
      <c r="E22" s="99">
        <v>372028</v>
      </c>
      <c r="F22" s="99">
        <v>38641</v>
      </c>
      <c r="G22" s="99">
        <v>383000</v>
      </c>
      <c r="H22" s="99">
        <v>628000</v>
      </c>
      <c r="I22" s="99">
        <v>54755</v>
      </c>
      <c r="J22" s="99">
        <v>189740</v>
      </c>
      <c r="K22" s="99">
        <v>750496</v>
      </c>
      <c r="L22" s="99">
        <v>283808</v>
      </c>
      <c r="M22" s="99">
        <v>61542</v>
      </c>
      <c r="N22" s="99">
        <v>188437</v>
      </c>
      <c r="O22" s="99">
        <v>501000</v>
      </c>
      <c r="P22" s="99">
        <v>307000</v>
      </c>
      <c r="Q22" s="99">
        <f>AVERAGE(B22:P22)</f>
        <v>309870.86666666664</v>
      </c>
    </row>
    <row r="23" spans="1:17">
      <c r="A23" s="97" t="s">
        <v>109</v>
      </c>
      <c r="B23" s="99"/>
      <c r="C23" s="99">
        <v>-22291</v>
      </c>
      <c r="D23" s="99"/>
      <c r="E23" s="99"/>
      <c r="F23" s="99"/>
      <c r="G23" s="99"/>
      <c r="H23" s="99"/>
      <c r="I23" s="99">
        <v>78343</v>
      </c>
      <c r="J23" s="99">
        <v>1152536</v>
      </c>
      <c r="K23" s="99">
        <v>120000</v>
      </c>
      <c r="L23" s="99"/>
      <c r="M23" s="99">
        <v>-29052</v>
      </c>
      <c r="N23" s="99"/>
      <c r="O23" s="99">
        <v>-280000</v>
      </c>
      <c r="P23" s="99">
        <v>-344000</v>
      </c>
      <c r="Q23" s="99">
        <f>AVERAGE(B23:P23)</f>
        <v>96505.142857142855</v>
      </c>
    </row>
    <row r="24" spans="1:17">
      <c r="A24" s="97"/>
      <c r="B24" s="99">
        <f>+B22+B23</f>
        <v>525000</v>
      </c>
      <c r="C24" s="99">
        <f>+C22+C23</f>
        <v>125438</v>
      </c>
      <c r="D24" s="99">
        <f t="shared" ref="D24:Q24" si="4">+D22+D23</f>
        <v>216887</v>
      </c>
      <c r="E24" s="99">
        <f t="shared" si="4"/>
        <v>372028</v>
      </c>
      <c r="F24" s="99">
        <f t="shared" si="4"/>
        <v>38641</v>
      </c>
      <c r="G24" s="99">
        <f t="shared" si="4"/>
        <v>383000</v>
      </c>
      <c r="H24" s="99">
        <f t="shared" si="4"/>
        <v>628000</v>
      </c>
      <c r="I24" s="99">
        <f t="shared" si="4"/>
        <v>133098</v>
      </c>
      <c r="J24" s="99">
        <f t="shared" si="4"/>
        <v>1342276</v>
      </c>
      <c r="K24" s="99">
        <f t="shared" si="4"/>
        <v>870496</v>
      </c>
      <c r="L24" s="99">
        <f t="shared" si="4"/>
        <v>283808</v>
      </c>
      <c r="M24" s="99">
        <f t="shared" si="4"/>
        <v>32490</v>
      </c>
      <c r="N24" s="99">
        <f t="shared" si="4"/>
        <v>188437</v>
      </c>
      <c r="O24" s="99">
        <f t="shared" si="4"/>
        <v>221000</v>
      </c>
      <c r="P24" s="99">
        <f t="shared" si="4"/>
        <v>-37000</v>
      </c>
      <c r="Q24" s="99">
        <f t="shared" si="4"/>
        <v>406376.00952380948</v>
      </c>
    </row>
    <row r="25" spans="1:17">
      <c r="A25" s="97"/>
      <c r="B25" s="99"/>
      <c r="C25" s="99"/>
      <c r="D25" s="99"/>
      <c r="E25" s="99"/>
      <c r="F25" s="99"/>
      <c r="G25" s="99"/>
      <c r="H25" s="99"/>
      <c r="I25" s="99"/>
      <c r="J25" s="99"/>
      <c r="K25" s="99"/>
      <c r="L25" s="99"/>
      <c r="M25" s="99"/>
      <c r="N25" s="99"/>
      <c r="O25" s="99"/>
      <c r="P25" s="99"/>
      <c r="Q25" s="99"/>
    </row>
    <row r="26" spans="1:17">
      <c r="A26" s="97" t="s">
        <v>110</v>
      </c>
      <c r="B26" s="99">
        <f>+B20-B24</f>
        <v>2297246</v>
      </c>
      <c r="C26" s="99">
        <f>+C20-C24</f>
        <v>468411</v>
      </c>
      <c r="D26" s="99">
        <f t="shared" ref="D26:Q26" si="5">+D20-D24</f>
        <v>316742</v>
      </c>
      <c r="E26" s="99">
        <f t="shared" si="5"/>
        <v>1041694</v>
      </c>
      <c r="F26" s="99">
        <f t="shared" si="5"/>
        <v>549179</v>
      </c>
      <c r="G26" s="99">
        <f t="shared" si="5"/>
        <v>2523001</v>
      </c>
      <c r="H26" s="99">
        <f t="shared" si="5"/>
        <v>2025499</v>
      </c>
      <c r="I26" s="99">
        <f t="shared" si="5"/>
        <v>1122859</v>
      </c>
      <c r="J26" s="99">
        <f t="shared" si="5"/>
        <v>3398558</v>
      </c>
      <c r="K26" s="99">
        <f t="shared" si="5"/>
        <v>1830423</v>
      </c>
      <c r="L26" s="99">
        <f t="shared" si="5"/>
        <v>664789</v>
      </c>
      <c r="M26" s="99">
        <f t="shared" si="5"/>
        <v>981599</v>
      </c>
      <c r="N26" s="99">
        <f t="shared" si="5"/>
        <v>839776</v>
      </c>
      <c r="O26" s="99">
        <f t="shared" si="5"/>
        <v>923522</v>
      </c>
      <c r="P26" s="99">
        <f t="shared" si="5"/>
        <v>-169088</v>
      </c>
      <c r="Q26" s="99">
        <f t="shared" si="5"/>
        <v>1202811.2571428572</v>
      </c>
    </row>
    <row r="27" spans="1:17">
      <c r="A27" s="97"/>
    </row>
    <row r="28" spans="1:17">
      <c r="A28" s="97"/>
    </row>
    <row r="29" spans="1:17">
      <c r="A29" s="97"/>
      <c r="C29" s="105"/>
    </row>
    <row r="30" spans="1:17">
      <c r="A30" s="97"/>
    </row>
    <row r="31" spans="1:17">
      <c r="A31" s="97"/>
    </row>
  </sheetData>
  <mergeCells count="1">
    <mergeCell ref="A1:Q1"/>
  </mergeCells>
  <pageMargins left="0.35" right="0.18" top="0.74803149606299213" bottom="0.74803149606299213" header="0.31496062992125984" footer="0.31496062992125984"/>
  <pageSetup scale="7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AM173"/>
  <sheetViews>
    <sheetView tabSelected="1" zoomScaleNormal="100" workbookViewId="0">
      <pane xSplit="2" ySplit="4" topLeftCell="C41" activePane="bottomRight" state="frozen"/>
      <selection activeCell="B18" sqref="B18"/>
      <selection pane="topRight" activeCell="B18" sqref="B18"/>
      <selection pane="bottomLeft" activeCell="B18" sqref="B18"/>
      <selection pane="bottomRight" activeCell="D23" sqref="D23"/>
    </sheetView>
  </sheetViews>
  <sheetFormatPr defaultColWidth="9.140625" defaultRowHeight="15.75"/>
  <cols>
    <col min="1" max="1" width="9" style="199" customWidth="1"/>
    <col min="2" max="2" width="49.28515625" style="207" customWidth="1"/>
    <col min="3" max="3" width="6.42578125" style="207" customWidth="1"/>
    <col min="4" max="4" width="13.28515625" style="208" customWidth="1"/>
    <col min="5" max="5" width="7" style="207" customWidth="1"/>
    <col min="6" max="6" width="13.5703125" style="208" customWidth="1"/>
    <col min="7" max="7" width="6.7109375" style="207" customWidth="1"/>
    <col min="8" max="8" width="12.5703125" style="208" customWidth="1"/>
    <col min="9" max="9" width="7" style="207" customWidth="1"/>
    <col min="10" max="10" width="12.5703125" style="208" customWidth="1"/>
    <col min="11" max="11" width="7.28515625" style="207" customWidth="1"/>
    <col min="12" max="12" width="12.5703125" style="208" customWidth="1"/>
    <col min="13" max="13" width="7.140625" style="207" customWidth="1"/>
    <col min="14" max="14" width="13" style="208" customWidth="1"/>
    <col min="15" max="15" width="7.140625" style="207" customWidth="1"/>
    <col min="16" max="16" width="12.85546875" style="208" customWidth="1"/>
    <col min="17" max="17" width="7.140625" style="207" customWidth="1"/>
    <col min="18" max="18" width="13.5703125" style="208" customWidth="1"/>
    <col min="19" max="19" width="7.140625" style="207" customWidth="1"/>
    <col min="20" max="20" width="15.42578125" style="208" customWidth="1"/>
    <col min="21" max="21" width="7.140625" style="207" customWidth="1"/>
    <col min="22" max="22" width="12.7109375" style="208" customWidth="1"/>
    <col min="23" max="23" width="7.140625" style="207" customWidth="1"/>
    <col min="24" max="24" width="14.140625" style="208" customWidth="1"/>
    <col min="25" max="25" width="7.140625" style="207" customWidth="1"/>
    <col min="26" max="26" width="14.28515625" style="208" customWidth="1"/>
    <col min="27" max="27" width="13.7109375" style="208" customWidth="1"/>
    <col min="28" max="28" width="12.42578125" style="208" customWidth="1"/>
    <col min="29" max="29" width="18.85546875" style="208" customWidth="1"/>
    <col min="30" max="30" width="2.28515625" style="211" customWidth="1"/>
    <col min="31" max="31" width="20.140625" style="205" customWidth="1"/>
    <col min="32" max="32" width="21.28515625" style="205" customWidth="1"/>
    <col min="33" max="33" width="1.42578125" style="205" customWidth="1"/>
    <col min="34" max="34" width="11.140625" style="205" customWidth="1"/>
    <col min="35" max="35" width="17" style="205" customWidth="1"/>
    <col min="36" max="36" width="19.5703125" style="205" customWidth="1"/>
    <col min="37" max="16384" width="9.140625" style="205"/>
  </cols>
  <sheetData>
    <row r="1" spans="1:36" ht="15">
      <c r="B1" s="200"/>
      <c r="C1" s="200"/>
      <c r="D1" s="201"/>
      <c r="E1" s="200"/>
      <c r="F1" s="201"/>
      <c r="G1" s="200"/>
      <c r="H1" s="201"/>
      <c r="I1" s="200"/>
      <c r="J1" s="201"/>
      <c r="K1" s="200"/>
      <c r="L1" s="202"/>
      <c r="M1" s="200"/>
      <c r="N1" s="201"/>
      <c r="O1" s="200"/>
      <c r="P1" s="201"/>
      <c r="Q1" s="200"/>
      <c r="R1" s="201"/>
      <c r="S1" s="200"/>
      <c r="T1" s="201"/>
      <c r="U1" s="200"/>
      <c r="V1" s="201"/>
      <c r="W1" s="200"/>
      <c r="X1" s="201"/>
      <c r="Y1" s="200"/>
      <c r="Z1" s="201"/>
      <c r="AA1" s="203"/>
      <c r="AB1" s="203"/>
      <c r="AC1" s="203"/>
      <c r="AD1" s="203"/>
      <c r="AE1" s="204"/>
      <c r="AF1" s="204"/>
      <c r="AG1" s="204"/>
      <c r="AH1" s="204"/>
      <c r="AI1" s="204"/>
      <c r="AJ1" s="204"/>
    </row>
    <row r="2" spans="1:36" ht="18">
      <c r="A2" s="206"/>
      <c r="B2" s="200"/>
      <c r="C2" s="200"/>
      <c r="D2" s="201"/>
      <c r="E2" s="200"/>
      <c r="F2" s="201"/>
      <c r="G2" s="200"/>
      <c r="H2" s="201"/>
      <c r="I2" s="200"/>
      <c r="J2" s="201"/>
      <c r="K2" s="200"/>
      <c r="L2" s="202"/>
      <c r="M2" s="200"/>
      <c r="N2" s="201"/>
      <c r="O2" s="200"/>
      <c r="P2" s="201"/>
      <c r="Q2" s="200"/>
      <c r="R2" s="201"/>
      <c r="S2" s="200"/>
      <c r="T2" s="201"/>
      <c r="U2" s="200"/>
      <c r="V2" s="201"/>
      <c r="W2" s="200"/>
      <c r="X2" s="201"/>
      <c r="Y2" s="200"/>
      <c r="Z2" s="201"/>
      <c r="AA2" s="203"/>
      <c r="AB2" s="203"/>
      <c r="AC2" s="203"/>
      <c r="AD2" s="203"/>
      <c r="AE2" s="204"/>
      <c r="AF2" s="204"/>
      <c r="AG2" s="204"/>
      <c r="AH2" s="204"/>
      <c r="AI2" s="204"/>
      <c r="AJ2" s="204"/>
    </row>
    <row r="3" spans="1:36">
      <c r="D3" s="208" t="s">
        <v>221</v>
      </c>
      <c r="F3" s="208" t="s">
        <v>221</v>
      </c>
      <c r="H3" s="208" t="s">
        <v>221</v>
      </c>
      <c r="J3" s="208" t="s">
        <v>221</v>
      </c>
      <c r="L3" s="208" t="s">
        <v>221</v>
      </c>
      <c r="N3" s="208" t="s">
        <v>221</v>
      </c>
      <c r="P3" s="208" t="s">
        <v>221</v>
      </c>
      <c r="R3" s="208" t="s">
        <v>221</v>
      </c>
      <c r="T3" s="208" t="s">
        <v>221</v>
      </c>
      <c r="V3" s="208" t="s">
        <v>221</v>
      </c>
      <c r="X3" s="208" t="s">
        <v>221</v>
      </c>
      <c r="Z3" s="208" t="s">
        <v>221</v>
      </c>
      <c r="AA3" s="209"/>
      <c r="AB3" s="210" t="s">
        <v>222</v>
      </c>
      <c r="AC3" s="209"/>
      <c r="AE3" s="204"/>
      <c r="AF3" s="204"/>
      <c r="AG3" s="204"/>
      <c r="AH3" s="204"/>
      <c r="AI3" s="204"/>
      <c r="AJ3" s="204"/>
    </row>
    <row r="4" spans="1:36" s="217" customFormat="1" ht="18" customHeight="1">
      <c r="A4" s="212"/>
      <c r="B4" s="213"/>
      <c r="C4" s="213" t="s">
        <v>223</v>
      </c>
      <c r="D4" s="214" t="s">
        <v>224</v>
      </c>
      <c r="E4" s="213" t="s">
        <v>223</v>
      </c>
      <c r="F4" s="214" t="s">
        <v>225</v>
      </c>
      <c r="G4" s="213" t="s">
        <v>223</v>
      </c>
      <c r="H4" s="214" t="s">
        <v>226</v>
      </c>
      <c r="I4" s="213" t="s">
        <v>223</v>
      </c>
      <c r="J4" s="214" t="s">
        <v>227</v>
      </c>
      <c r="K4" s="213" t="s">
        <v>223</v>
      </c>
      <c r="L4" s="214" t="s">
        <v>228</v>
      </c>
      <c r="M4" s="213" t="s">
        <v>223</v>
      </c>
      <c r="N4" s="214" t="s">
        <v>229</v>
      </c>
      <c r="O4" s="213" t="s">
        <v>223</v>
      </c>
      <c r="P4" s="214" t="s">
        <v>230</v>
      </c>
      <c r="Q4" s="213" t="s">
        <v>223</v>
      </c>
      <c r="R4" s="214" t="s">
        <v>231</v>
      </c>
      <c r="S4" s="213" t="s">
        <v>223</v>
      </c>
      <c r="T4" s="214" t="s">
        <v>232</v>
      </c>
      <c r="U4" s="213" t="s">
        <v>223</v>
      </c>
      <c r="V4" s="214" t="s">
        <v>233</v>
      </c>
      <c r="W4" s="213" t="s">
        <v>223</v>
      </c>
      <c r="X4" s="214" t="s">
        <v>234</v>
      </c>
      <c r="Y4" s="213" t="s">
        <v>223</v>
      </c>
      <c r="Z4" s="214" t="s">
        <v>235</v>
      </c>
      <c r="AA4" s="210" t="s">
        <v>236</v>
      </c>
      <c r="AB4" s="210" t="s">
        <v>94</v>
      </c>
      <c r="AC4" s="210"/>
      <c r="AD4" s="215"/>
      <c r="AE4" s="209"/>
      <c r="AF4" s="209"/>
      <c r="AG4" s="216"/>
      <c r="AH4" s="216"/>
      <c r="AI4" s="216"/>
      <c r="AJ4" s="216"/>
    </row>
    <row r="5" spans="1:36" s="217" customFormat="1" ht="18" customHeight="1">
      <c r="A5" s="206" t="s">
        <v>237</v>
      </c>
      <c r="D5" s="214"/>
      <c r="F5" s="214"/>
      <c r="H5" s="214"/>
      <c r="J5" s="214"/>
      <c r="L5" s="214"/>
      <c r="N5" s="214"/>
      <c r="P5" s="214"/>
      <c r="R5" s="214"/>
      <c r="T5" s="214"/>
      <c r="V5" s="214"/>
      <c r="X5" s="214"/>
      <c r="Z5" s="214"/>
      <c r="AA5" s="210"/>
      <c r="AB5" s="210"/>
      <c r="AC5" s="210"/>
      <c r="AD5" s="215"/>
      <c r="AE5" s="209"/>
      <c r="AF5" s="209"/>
      <c r="AG5" s="216"/>
      <c r="AH5" s="216"/>
      <c r="AI5" s="216"/>
      <c r="AJ5" s="216"/>
    </row>
    <row r="6" spans="1:36" s="217" customFormat="1" ht="18" customHeight="1">
      <c r="A6" s="212"/>
      <c r="B6" t="s">
        <v>238</v>
      </c>
      <c r="C6">
        <v>39231</v>
      </c>
      <c r="D6" s="218">
        <v>17851.29</v>
      </c>
      <c r="E6">
        <v>38624</v>
      </c>
      <c r="F6" s="218">
        <v>18732.64</v>
      </c>
      <c r="G6" s="219">
        <f>H6/$G$53</f>
        <v>36229.010309278354</v>
      </c>
      <c r="H6" s="218">
        <v>17571.07</v>
      </c>
      <c r="I6" s="219">
        <f>J6/$I$53</f>
        <v>33159.010309278354</v>
      </c>
      <c r="J6" s="218">
        <v>16082.12</v>
      </c>
      <c r="K6" s="219">
        <v>26671</v>
      </c>
      <c r="L6" s="218">
        <v>14669.05</v>
      </c>
      <c r="M6" s="219">
        <f>N6/$M$53</f>
        <v>23269</v>
      </c>
      <c r="N6" s="218">
        <v>15822.92</v>
      </c>
      <c r="O6" s="219">
        <f>P6/$M$53</f>
        <v>23607</v>
      </c>
      <c r="P6" s="218">
        <v>16052.76</v>
      </c>
      <c r="Q6" s="219">
        <f>R6/$M$53</f>
        <v>26752</v>
      </c>
      <c r="R6" s="218">
        <v>18191.36</v>
      </c>
      <c r="S6" s="219">
        <f>T6/$M$53</f>
        <v>25222.999999999996</v>
      </c>
      <c r="T6" s="218">
        <v>17151.64</v>
      </c>
      <c r="U6" s="219">
        <f>V6/$M$53</f>
        <v>21226</v>
      </c>
      <c r="V6" s="218">
        <v>14433.68</v>
      </c>
      <c r="W6" s="219">
        <f>X6/$M$53</f>
        <v>24240</v>
      </c>
      <c r="X6" s="218">
        <v>16483.2</v>
      </c>
      <c r="Y6" s="219">
        <f>Z6/$M$53</f>
        <v>30522.999999999996</v>
      </c>
      <c r="Z6" s="218">
        <v>20755.64</v>
      </c>
      <c r="AA6" s="220"/>
      <c r="AB6" s="210"/>
      <c r="AC6" s="210"/>
      <c r="AD6" s="215"/>
      <c r="AE6" s="209"/>
      <c r="AF6" s="209"/>
      <c r="AG6" s="216"/>
      <c r="AH6" s="216"/>
      <c r="AI6" s="216"/>
      <c r="AJ6" s="216"/>
    </row>
    <row r="7" spans="1:36" s="217" customFormat="1" ht="18" customHeight="1">
      <c r="A7" s="212"/>
      <c r="B7" t="s">
        <v>239</v>
      </c>
      <c r="C7">
        <v>27079</v>
      </c>
      <c r="D7" s="218">
        <v>12321.77</v>
      </c>
      <c r="E7">
        <v>26751</v>
      </c>
      <c r="F7" s="218">
        <v>12974.24</v>
      </c>
      <c r="G7" s="219">
        <f>H7/$G$53</f>
        <v>26033.01030927835</v>
      </c>
      <c r="H7" s="218">
        <v>12626.01</v>
      </c>
      <c r="I7" s="219">
        <f>J7/$I$53</f>
        <v>26033.01030927835</v>
      </c>
      <c r="J7" s="218">
        <v>12626.01</v>
      </c>
      <c r="K7" s="219">
        <v>25314</v>
      </c>
      <c r="L7" s="218">
        <f>13297.52</f>
        <v>13297.52</v>
      </c>
      <c r="M7" s="219">
        <f>N7/$M$53</f>
        <v>26299.999999999996</v>
      </c>
      <c r="N7" s="218">
        <v>17884</v>
      </c>
      <c r="O7" s="219">
        <f>P7/$M$53</f>
        <v>25817</v>
      </c>
      <c r="P7" s="218">
        <v>17555.560000000001</v>
      </c>
      <c r="Q7" s="219">
        <f>R7/$M$53</f>
        <v>27902</v>
      </c>
      <c r="R7" s="218">
        <v>18973.36</v>
      </c>
      <c r="S7" s="219">
        <f>T7/$M$53</f>
        <v>25776</v>
      </c>
      <c r="T7" s="218">
        <v>17527.68</v>
      </c>
      <c r="U7" s="219">
        <f>V7/$M$53</f>
        <v>22178</v>
      </c>
      <c r="V7" s="218">
        <v>15081.04</v>
      </c>
      <c r="W7" s="219">
        <f>X7/$M$53</f>
        <v>23034</v>
      </c>
      <c r="X7" s="218">
        <v>15663.12</v>
      </c>
      <c r="Y7" s="219">
        <f>Z7/$M$53</f>
        <v>25709.999999999996</v>
      </c>
      <c r="Z7" s="218">
        <v>17482.8</v>
      </c>
      <c r="AA7" s="220"/>
      <c r="AB7" s="210"/>
      <c r="AC7" s="210"/>
      <c r="AD7" s="215"/>
      <c r="AE7" s="209"/>
      <c r="AF7" s="209"/>
      <c r="AG7" s="216"/>
      <c r="AH7" s="216"/>
      <c r="AI7" s="216"/>
      <c r="AJ7" s="216"/>
    </row>
    <row r="8" spans="1:36" s="217" customFormat="1" ht="18" customHeight="1">
      <c r="A8" s="212"/>
      <c r="B8" t="s">
        <v>240</v>
      </c>
      <c r="C8">
        <v>11580</v>
      </c>
      <c r="D8" s="218">
        <v>5269.25</v>
      </c>
      <c r="E8">
        <v>11288</v>
      </c>
      <c r="F8" s="218">
        <v>5474.68</v>
      </c>
      <c r="G8" s="219">
        <f>H8/$G$53</f>
        <v>10948</v>
      </c>
      <c r="H8" s="218">
        <v>5309.78</v>
      </c>
      <c r="I8" s="219">
        <f>J8/$I$53</f>
        <v>9813.010309278352</v>
      </c>
      <c r="J8" s="218">
        <v>4759.3100000000004</v>
      </c>
      <c r="K8" s="219">
        <v>8486</v>
      </c>
      <c r="L8" s="218">
        <v>4667.3</v>
      </c>
      <c r="M8" s="219">
        <f>N8/$M$53</f>
        <v>8406</v>
      </c>
      <c r="N8" s="218">
        <v>5716.08</v>
      </c>
      <c r="O8" s="219">
        <f>P8/$M$53</f>
        <v>7795</v>
      </c>
      <c r="P8" s="218">
        <v>5300.6</v>
      </c>
      <c r="Q8" s="219">
        <f>R8/$M$53</f>
        <v>9195</v>
      </c>
      <c r="R8" s="218">
        <v>6252.6</v>
      </c>
      <c r="S8" s="219">
        <f>T8/$M$53</f>
        <v>8416</v>
      </c>
      <c r="T8" s="218">
        <v>5722.88</v>
      </c>
      <c r="U8" s="219">
        <f>V8/$M$53</f>
        <v>7304</v>
      </c>
      <c r="V8" s="218">
        <v>4966.72</v>
      </c>
      <c r="W8" s="219">
        <f>X8/$M$53</f>
        <v>8482.9999999999982</v>
      </c>
      <c r="X8" s="218">
        <v>5768.44</v>
      </c>
      <c r="Y8" s="219">
        <f>Z8/$M$53</f>
        <v>9785.9999999999982</v>
      </c>
      <c r="Z8" s="218">
        <v>6654.48</v>
      </c>
      <c r="AA8" s="220"/>
      <c r="AB8" s="210"/>
      <c r="AC8" s="210"/>
      <c r="AD8" s="215"/>
      <c r="AE8" s="209"/>
      <c r="AF8" s="209"/>
      <c r="AG8" s="216"/>
      <c r="AH8" s="216"/>
      <c r="AI8" s="216"/>
      <c r="AJ8" s="216"/>
    </row>
    <row r="9" spans="1:36" s="217" customFormat="1" ht="18" customHeight="1">
      <c r="A9" s="212"/>
      <c r="B9" t="s">
        <v>241</v>
      </c>
      <c r="C9">
        <v>11268</v>
      </c>
      <c r="D9" s="218">
        <v>5127.28</v>
      </c>
      <c r="E9">
        <v>10991</v>
      </c>
      <c r="F9" s="218">
        <v>5330.64</v>
      </c>
      <c r="G9" s="219">
        <f>H9/$G$53</f>
        <v>10711.010309278352</v>
      </c>
      <c r="H9" s="218">
        <v>5194.84</v>
      </c>
      <c r="I9" s="219">
        <f>J9/$I$53</f>
        <v>9622</v>
      </c>
      <c r="J9" s="218">
        <v>4666.67</v>
      </c>
      <c r="K9" s="219">
        <v>9178</v>
      </c>
      <c r="L9" s="218">
        <v>5047.8900000000003</v>
      </c>
      <c r="M9" s="219">
        <f>N9/$M$53</f>
        <v>9472</v>
      </c>
      <c r="N9" s="218">
        <v>6440.96</v>
      </c>
      <c r="O9" s="219">
        <f>P9/$M$53</f>
        <v>8685.9999999999982</v>
      </c>
      <c r="P9" s="218">
        <v>5906.48</v>
      </c>
      <c r="Q9" s="219">
        <f>R9/$M$53</f>
        <v>10464</v>
      </c>
      <c r="R9" s="218">
        <v>7115.52</v>
      </c>
      <c r="S9" s="219">
        <f>T9/$M$53</f>
        <v>9160</v>
      </c>
      <c r="T9" s="218">
        <v>6228.8</v>
      </c>
      <c r="U9" s="219">
        <f>V9/$M$53</f>
        <v>8903</v>
      </c>
      <c r="V9" s="218">
        <v>6054.04</v>
      </c>
      <c r="W9" s="219">
        <f>X9/$M$53</f>
        <v>9200</v>
      </c>
      <c r="X9" s="218">
        <v>6256</v>
      </c>
      <c r="Y9" s="219">
        <f>Z9/$M$53</f>
        <v>10139</v>
      </c>
      <c r="Z9" s="218">
        <v>6894.52</v>
      </c>
      <c r="AA9" s="220"/>
      <c r="AB9" s="210"/>
      <c r="AC9" s="210"/>
      <c r="AD9" s="215"/>
      <c r="AE9" s="209"/>
      <c r="AF9" s="209"/>
      <c r="AG9" s="216"/>
      <c r="AH9" s="216"/>
      <c r="AI9" s="216"/>
      <c r="AJ9" s="216"/>
    </row>
    <row r="10" spans="1:36" s="217" customFormat="1" ht="18" customHeight="1">
      <c r="A10" s="212"/>
      <c r="B10" s="213"/>
      <c r="C10" s="213"/>
      <c r="D10" s="214"/>
      <c r="E10" s="213"/>
      <c r="F10" s="214"/>
      <c r="G10" s="213"/>
      <c r="H10" s="214"/>
      <c r="I10" s="213"/>
      <c r="J10" s="214"/>
      <c r="K10" s="213"/>
      <c r="M10" s="213"/>
      <c r="N10" s="214"/>
      <c r="O10" s="213"/>
      <c r="P10" s="214"/>
      <c r="Q10" s="213"/>
      <c r="R10" s="214"/>
      <c r="S10" s="213"/>
      <c r="T10" s="214"/>
      <c r="U10" s="213"/>
      <c r="V10" s="214"/>
      <c r="W10" s="213"/>
      <c r="X10" s="214"/>
      <c r="Y10" s="213"/>
      <c r="Z10" s="214"/>
      <c r="AA10" s="220"/>
      <c r="AB10" s="210"/>
      <c r="AC10" s="210"/>
      <c r="AD10" s="215"/>
      <c r="AE10" s="209"/>
      <c r="AF10" s="209"/>
      <c r="AG10" s="216"/>
      <c r="AH10" s="216"/>
      <c r="AI10" s="216"/>
      <c r="AJ10" s="216"/>
    </row>
    <row r="11" spans="1:36" s="227" customFormat="1" ht="15.75" customHeight="1">
      <c r="A11" s="221"/>
      <c r="B11" s="222" t="s">
        <v>242</v>
      </c>
      <c r="C11" s="222"/>
      <c r="D11" s="223">
        <v>40569.589999999997</v>
      </c>
      <c r="E11" s="222"/>
      <c r="F11" s="223">
        <v>42512.2</v>
      </c>
      <c r="G11" s="222"/>
      <c r="H11" s="223">
        <v>40701.699999999997</v>
      </c>
      <c r="I11" s="222"/>
      <c r="J11" s="223">
        <f>SUM(J6:J9)</f>
        <v>38134.11</v>
      </c>
      <c r="K11" s="222"/>
      <c r="L11" s="223">
        <f>SUM(L6:L9)</f>
        <v>37681.760000000002</v>
      </c>
      <c r="M11" s="222"/>
      <c r="N11" s="223">
        <f>SUM(N6:N9)</f>
        <v>45863.96</v>
      </c>
      <c r="O11" s="222"/>
      <c r="P11" s="223">
        <v>44815.4</v>
      </c>
      <c r="Q11" s="222"/>
      <c r="R11" s="223">
        <v>50532.84</v>
      </c>
      <c r="S11" s="222"/>
      <c r="T11" s="223">
        <v>46631</v>
      </c>
      <c r="U11" s="222"/>
      <c r="V11" s="223">
        <v>40535.480000000003</v>
      </c>
      <c r="W11" s="222"/>
      <c r="X11" s="223">
        <v>44170.76</v>
      </c>
      <c r="Y11" s="222"/>
      <c r="Z11" s="223">
        <v>51787.44</v>
      </c>
      <c r="AA11" s="223">
        <f>SUM(D11:Z11)</f>
        <v>523936.23999999993</v>
      </c>
      <c r="AB11" s="223">
        <f>AA11/12</f>
        <v>43661.353333333325</v>
      </c>
      <c r="AC11" s="224"/>
      <c r="AD11" s="225"/>
      <c r="AE11" s="226"/>
      <c r="AF11" s="225"/>
      <c r="AG11" s="225"/>
      <c r="AH11" s="225"/>
      <c r="AI11" s="225"/>
      <c r="AJ11" s="225"/>
    </row>
    <row r="12" spans="1:36" s="227" customFormat="1" ht="15.75" customHeight="1">
      <c r="A12" s="221"/>
      <c r="B12" s="222"/>
      <c r="C12" s="222"/>
      <c r="D12" s="218"/>
      <c r="E12" s="222"/>
      <c r="F12" s="218"/>
      <c r="G12" s="222"/>
      <c r="H12" s="218"/>
      <c r="I12" s="222"/>
      <c r="J12" s="218"/>
      <c r="K12" s="222"/>
      <c r="L12" s="218"/>
      <c r="M12" s="222"/>
      <c r="N12" s="218"/>
      <c r="O12" s="222"/>
      <c r="P12" s="218"/>
      <c r="Q12" s="222"/>
      <c r="R12" s="218"/>
      <c r="S12" s="222"/>
      <c r="T12" s="218"/>
      <c r="U12" s="222"/>
      <c r="V12" s="218"/>
      <c r="W12" s="222"/>
      <c r="X12" s="218"/>
      <c r="Y12" s="222"/>
      <c r="Z12" s="218"/>
      <c r="AA12" s="220"/>
      <c r="AB12" s="220"/>
      <c r="AC12" s="224"/>
      <c r="AD12" s="225"/>
      <c r="AE12" s="226"/>
      <c r="AF12" s="225"/>
      <c r="AG12" s="225"/>
      <c r="AH12" s="225"/>
      <c r="AI12" s="225"/>
      <c r="AJ12" s="225"/>
    </row>
    <row r="13" spans="1:36" s="227" customFormat="1" ht="15.75" customHeight="1">
      <c r="A13" s="221"/>
      <c r="B13" t="s">
        <v>243</v>
      </c>
      <c r="C13"/>
      <c r="D13" s="218">
        <v>217.68</v>
      </c>
      <c r="E13"/>
      <c r="F13" s="218">
        <v>231.97</v>
      </c>
      <c r="G13"/>
      <c r="H13" s="218">
        <v>231.97</v>
      </c>
      <c r="I13"/>
      <c r="J13" s="218">
        <v>231.97</v>
      </c>
      <c r="K13"/>
      <c r="L13" s="218">
        <v>253.9</v>
      </c>
      <c r="M13"/>
      <c r="N13" s="218">
        <v>297.75</v>
      </c>
      <c r="O13"/>
      <c r="P13" s="218">
        <v>297.75</v>
      </c>
      <c r="Q13"/>
      <c r="R13" s="218">
        <v>297.75</v>
      </c>
      <c r="S13"/>
      <c r="T13" s="218">
        <v>297.75</v>
      </c>
      <c r="U13"/>
      <c r="V13" s="218">
        <v>297.75</v>
      </c>
      <c r="W13"/>
      <c r="X13" s="218">
        <v>297.75</v>
      </c>
      <c r="Y13"/>
      <c r="Z13" s="218">
        <v>297.75</v>
      </c>
      <c r="AA13" s="220"/>
      <c r="AB13" s="220"/>
      <c r="AC13" s="224"/>
      <c r="AD13" s="225"/>
      <c r="AE13" s="226"/>
      <c r="AF13" s="225"/>
      <c r="AG13" s="225"/>
      <c r="AH13" s="225"/>
      <c r="AI13" s="225"/>
      <c r="AJ13" s="225"/>
    </row>
    <row r="14" spans="1:36" s="227" customFormat="1" ht="15.75" customHeight="1">
      <c r="A14" s="221"/>
      <c r="B14" t="s">
        <v>244</v>
      </c>
      <c r="C14"/>
      <c r="D14" s="218">
        <v>217.68</v>
      </c>
      <c r="E14"/>
      <c r="F14" s="218">
        <v>231.97</v>
      </c>
      <c r="G14"/>
      <c r="H14" s="218">
        <v>231.97</v>
      </c>
      <c r="I14"/>
      <c r="J14" s="218">
        <v>231.97</v>
      </c>
      <c r="K14"/>
      <c r="L14" s="218">
        <v>253.9</v>
      </c>
      <c r="M14"/>
      <c r="N14" s="218">
        <v>297.75</v>
      </c>
      <c r="O14"/>
      <c r="P14" s="218">
        <v>297.75</v>
      </c>
      <c r="Q14"/>
      <c r="R14" s="218">
        <v>297.75</v>
      </c>
      <c r="S14"/>
      <c r="T14" s="218">
        <v>297.75</v>
      </c>
      <c r="U14"/>
      <c r="V14" s="218">
        <v>297.75</v>
      </c>
      <c r="W14"/>
      <c r="X14" s="218">
        <v>297.75</v>
      </c>
      <c r="Y14"/>
      <c r="Z14" s="218">
        <v>297.75</v>
      </c>
      <c r="AA14" s="220"/>
      <c r="AB14" s="220"/>
      <c r="AC14" s="224"/>
      <c r="AD14" s="225"/>
      <c r="AE14" s="226"/>
      <c r="AF14" s="225"/>
      <c r="AG14" s="225"/>
      <c r="AH14" s="225"/>
      <c r="AI14" s="225"/>
      <c r="AJ14" s="225"/>
    </row>
    <row r="15" spans="1:36" s="227" customFormat="1" ht="15.75" customHeight="1">
      <c r="A15" s="221"/>
      <c r="B15" t="s">
        <v>245</v>
      </c>
      <c r="C15"/>
      <c r="D15" s="218">
        <v>217.68</v>
      </c>
      <c r="E15"/>
      <c r="F15" s="218">
        <v>231.97</v>
      </c>
      <c r="G15"/>
      <c r="H15" s="218">
        <v>231.97</v>
      </c>
      <c r="I15"/>
      <c r="J15" s="218">
        <v>231.97</v>
      </c>
      <c r="K15"/>
      <c r="L15" s="218">
        <v>253.9</v>
      </c>
      <c r="M15"/>
      <c r="N15" s="218">
        <v>297.75</v>
      </c>
      <c r="O15"/>
      <c r="P15" s="218">
        <v>297.75</v>
      </c>
      <c r="Q15"/>
      <c r="R15" s="218">
        <v>297.75</v>
      </c>
      <c r="S15"/>
      <c r="T15" s="218">
        <v>297.75</v>
      </c>
      <c r="U15"/>
      <c r="V15" s="218">
        <v>297.75</v>
      </c>
      <c r="W15"/>
      <c r="X15" s="218">
        <v>297.75</v>
      </c>
      <c r="Y15"/>
      <c r="Z15" s="218">
        <v>297.75</v>
      </c>
      <c r="AA15" s="220"/>
      <c r="AB15" s="220"/>
      <c r="AC15" s="224"/>
      <c r="AD15" s="225"/>
      <c r="AE15" s="226"/>
      <c r="AF15" s="225"/>
      <c r="AG15" s="225"/>
      <c r="AH15" s="225"/>
      <c r="AI15" s="225"/>
      <c r="AJ15" s="225"/>
    </row>
    <row r="16" spans="1:36" s="227" customFormat="1" ht="15.75" customHeight="1">
      <c r="A16" s="221"/>
      <c r="B16" t="s">
        <v>246</v>
      </c>
      <c r="C16"/>
      <c r="D16" s="218">
        <v>217.68</v>
      </c>
      <c r="E16"/>
      <c r="F16" s="218">
        <v>231.97</v>
      </c>
      <c r="G16"/>
      <c r="H16" s="218">
        <v>231.97</v>
      </c>
      <c r="I16"/>
      <c r="J16" s="218">
        <v>231.97</v>
      </c>
      <c r="K16"/>
      <c r="L16" s="218">
        <v>253.9</v>
      </c>
      <c r="M16"/>
      <c r="N16" s="218">
        <v>297.75</v>
      </c>
      <c r="O16"/>
      <c r="P16" s="218">
        <v>297.75</v>
      </c>
      <c r="Q16"/>
      <c r="R16" s="218">
        <v>297.75</v>
      </c>
      <c r="S16"/>
      <c r="T16" s="218">
        <v>297.75</v>
      </c>
      <c r="U16"/>
      <c r="V16" s="218">
        <v>297.75</v>
      </c>
      <c r="W16"/>
      <c r="X16" s="218">
        <v>297.75</v>
      </c>
      <c r="Y16"/>
      <c r="Z16" s="218">
        <v>297.75</v>
      </c>
      <c r="AA16" s="220"/>
      <c r="AB16" s="220"/>
      <c r="AC16" s="224"/>
      <c r="AD16" s="225"/>
      <c r="AE16" s="226"/>
      <c r="AF16" s="225"/>
      <c r="AG16" s="225"/>
      <c r="AH16" s="225"/>
      <c r="AI16" s="225"/>
      <c r="AJ16" s="225"/>
    </row>
    <row r="17" spans="1:36" s="227" customFormat="1" ht="15.75" customHeight="1">
      <c r="A17" s="221"/>
      <c r="B17" t="s">
        <v>247</v>
      </c>
      <c r="C17"/>
      <c r="D17" s="218">
        <v>217.68</v>
      </c>
      <c r="E17"/>
      <c r="F17" s="218">
        <v>231.97</v>
      </c>
      <c r="G17"/>
      <c r="H17" s="218">
        <v>231.97</v>
      </c>
      <c r="I17"/>
      <c r="J17" s="218">
        <v>231.97</v>
      </c>
      <c r="K17"/>
      <c r="L17" s="218">
        <v>253.9</v>
      </c>
      <c r="M17"/>
      <c r="N17" s="218">
        <v>297.75</v>
      </c>
      <c r="O17"/>
      <c r="P17" s="218">
        <v>297.75</v>
      </c>
      <c r="Q17"/>
      <c r="R17" s="218">
        <v>297.75</v>
      </c>
      <c r="S17"/>
      <c r="T17" s="218">
        <v>297.75</v>
      </c>
      <c r="U17"/>
      <c r="V17" s="218">
        <v>297.75</v>
      </c>
      <c r="W17"/>
      <c r="X17" s="218">
        <v>297.75</v>
      </c>
      <c r="Y17"/>
      <c r="Z17" s="218">
        <v>297.75</v>
      </c>
      <c r="AA17" s="220"/>
      <c r="AB17" s="220"/>
      <c r="AC17" s="224"/>
      <c r="AD17" s="225"/>
      <c r="AE17" s="226"/>
      <c r="AF17" s="225"/>
      <c r="AG17" s="225"/>
      <c r="AH17" s="225"/>
      <c r="AI17" s="225"/>
      <c r="AJ17" s="225"/>
    </row>
    <row r="18" spans="1:36" s="227" customFormat="1" ht="15.75" customHeight="1">
      <c r="A18" s="221"/>
      <c r="B18" t="s">
        <v>248</v>
      </c>
      <c r="C18"/>
      <c r="D18" s="218">
        <v>217.68</v>
      </c>
      <c r="E18"/>
      <c r="F18" s="218">
        <v>231.97</v>
      </c>
      <c r="G18"/>
      <c r="H18" s="218">
        <v>231.97</v>
      </c>
      <c r="I18"/>
      <c r="J18" s="218">
        <v>231.97</v>
      </c>
      <c r="K18"/>
      <c r="L18" s="218">
        <v>253.9</v>
      </c>
      <c r="M18"/>
      <c r="N18" s="218">
        <v>297.75</v>
      </c>
      <c r="O18"/>
      <c r="P18" s="218">
        <v>297.75</v>
      </c>
      <c r="Q18"/>
      <c r="R18" s="218">
        <v>297.75</v>
      </c>
      <c r="S18"/>
      <c r="T18" s="218">
        <v>297.75</v>
      </c>
      <c r="U18"/>
      <c r="V18" s="218">
        <v>297.75</v>
      </c>
      <c r="W18"/>
      <c r="X18" s="218">
        <v>297.75</v>
      </c>
      <c r="Y18"/>
      <c r="Z18" s="218">
        <v>297.75</v>
      </c>
      <c r="AA18" s="220"/>
      <c r="AB18" s="220"/>
      <c r="AC18" s="224"/>
      <c r="AD18" s="225"/>
      <c r="AE18" s="226"/>
      <c r="AF18" s="225"/>
      <c r="AG18" s="225"/>
      <c r="AH18" s="225"/>
      <c r="AI18" s="225"/>
      <c r="AJ18" s="225"/>
    </row>
    <row r="19" spans="1:36" s="227" customFormat="1" ht="15.75" customHeight="1">
      <c r="A19" s="221"/>
      <c r="B19" t="s">
        <v>249</v>
      </c>
      <c r="C19"/>
      <c r="D19" s="218">
        <v>217.68</v>
      </c>
      <c r="E19"/>
      <c r="F19" s="218">
        <v>231.97</v>
      </c>
      <c r="G19"/>
      <c r="H19" s="218">
        <v>231.97</v>
      </c>
      <c r="I19"/>
      <c r="J19" s="218">
        <v>231.97</v>
      </c>
      <c r="K19"/>
      <c r="L19" s="218">
        <v>253.9</v>
      </c>
      <c r="M19"/>
      <c r="N19" s="218">
        <v>297.75</v>
      </c>
      <c r="O19"/>
      <c r="P19" s="218">
        <v>297.75</v>
      </c>
      <c r="Q19"/>
      <c r="R19" s="218">
        <v>297.75</v>
      </c>
      <c r="S19"/>
      <c r="T19" s="218">
        <v>297.75</v>
      </c>
      <c r="U19"/>
      <c r="V19" s="218">
        <v>297.75</v>
      </c>
      <c r="W19"/>
      <c r="X19" s="218">
        <v>297.75</v>
      </c>
      <c r="Y19"/>
      <c r="Z19" s="218">
        <v>297.75</v>
      </c>
      <c r="AA19" s="220"/>
      <c r="AB19" s="220"/>
      <c r="AC19" s="224"/>
      <c r="AD19" s="225"/>
      <c r="AE19" s="226"/>
      <c r="AF19" s="225"/>
      <c r="AG19" s="225"/>
      <c r="AH19" s="225"/>
      <c r="AI19" s="225"/>
      <c r="AJ19" s="225"/>
    </row>
    <row r="20" spans="1:36" s="227" customFormat="1" ht="15.75" customHeight="1">
      <c r="A20" s="221"/>
      <c r="B20" t="s">
        <v>250</v>
      </c>
      <c r="C20"/>
      <c r="D20" s="218">
        <v>217.68</v>
      </c>
      <c r="E20"/>
      <c r="F20" s="218">
        <v>231.97</v>
      </c>
      <c r="G20"/>
      <c r="H20" s="218">
        <v>231.97</v>
      </c>
      <c r="I20"/>
      <c r="J20" s="218">
        <v>231.97</v>
      </c>
      <c r="K20"/>
      <c r="L20" s="218">
        <v>253.9</v>
      </c>
      <c r="M20"/>
      <c r="N20" s="218">
        <v>297.75</v>
      </c>
      <c r="O20"/>
      <c r="P20" s="218">
        <v>297.75</v>
      </c>
      <c r="Q20"/>
      <c r="R20" s="218">
        <v>297.75</v>
      </c>
      <c r="S20"/>
      <c r="T20" s="218">
        <v>297.75</v>
      </c>
      <c r="U20"/>
      <c r="V20" s="218">
        <v>297.75</v>
      </c>
      <c r="W20"/>
      <c r="X20" s="218">
        <v>297.75</v>
      </c>
      <c r="Y20"/>
      <c r="Z20" s="218">
        <v>297.75</v>
      </c>
      <c r="AA20" s="220"/>
      <c r="AB20" s="220"/>
      <c r="AC20" s="224"/>
      <c r="AD20" s="225"/>
      <c r="AE20" s="226"/>
      <c r="AF20" s="225"/>
      <c r="AG20" s="225"/>
      <c r="AH20" s="225"/>
      <c r="AI20" s="225"/>
      <c r="AJ20" s="225"/>
    </row>
    <row r="21" spans="1:36" s="227" customFormat="1" ht="15.75" customHeight="1">
      <c r="A21" s="221"/>
      <c r="B21" t="s">
        <v>251</v>
      </c>
      <c r="C21"/>
      <c r="D21" s="218">
        <v>217.68</v>
      </c>
      <c r="E21"/>
      <c r="F21" s="218">
        <v>231.97</v>
      </c>
      <c r="G21"/>
      <c r="H21" s="218">
        <v>231.97</v>
      </c>
      <c r="I21"/>
      <c r="J21" s="218">
        <v>231.97</v>
      </c>
      <c r="K21"/>
      <c r="L21" s="218">
        <v>253.9</v>
      </c>
      <c r="M21"/>
      <c r="N21" s="218">
        <v>297.75</v>
      </c>
      <c r="O21"/>
      <c r="P21" s="218">
        <v>297.75</v>
      </c>
      <c r="Q21"/>
      <c r="R21" s="218">
        <v>297.75</v>
      </c>
      <c r="S21"/>
      <c r="T21" s="218">
        <v>297.75</v>
      </c>
      <c r="U21"/>
      <c r="V21" s="218">
        <v>297.75</v>
      </c>
      <c r="W21"/>
      <c r="X21" s="218">
        <v>297.75</v>
      </c>
      <c r="Y21"/>
      <c r="Z21" s="218">
        <v>297.75</v>
      </c>
      <c r="AA21" s="220"/>
      <c r="AB21" s="220"/>
      <c r="AC21" s="224"/>
      <c r="AD21" s="225"/>
      <c r="AE21" s="226"/>
      <c r="AF21" s="225"/>
      <c r="AG21" s="225"/>
      <c r="AH21" s="225"/>
      <c r="AI21" s="225"/>
      <c r="AJ21" s="225"/>
    </row>
    <row r="22" spans="1:36" s="227" customFormat="1" ht="15.75" customHeight="1">
      <c r="A22" s="221"/>
      <c r="B22" t="s">
        <v>252</v>
      </c>
      <c r="C22"/>
      <c r="D22" s="218">
        <v>217.68</v>
      </c>
      <c r="E22"/>
      <c r="F22" s="218">
        <v>231.97</v>
      </c>
      <c r="G22"/>
      <c r="H22" s="218">
        <v>231.97</v>
      </c>
      <c r="I22"/>
      <c r="J22" s="218">
        <v>231.97</v>
      </c>
      <c r="K22"/>
      <c r="L22" s="218">
        <v>253.9</v>
      </c>
      <c r="M22"/>
      <c r="N22" s="218">
        <v>297.75</v>
      </c>
      <c r="O22"/>
      <c r="P22" s="218">
        <v>297.75</v>
      </c>
      <c r="Q22"/>
      <c r="R22" s="218">
        <v>297.75</v>
      </c>
      <c r="S22"/>
      <c r="T22" s="218">
        <v>297.75</v>
      </c>
      <c r="U22"/>
      <c r="V22" s="218">
        <v>297.75</v>
      </c>
      <c r="W22"/>
      <c r="X22" s="218">
        <v>297.75</v>
      </c>
      <c r="Y22"/>
      <c r="Z22" s="218">
        <v>297.75</v>
      </c>
      <c r="AA22" s="220"/>
      <c r="AB22" s="220"/>
      <c r="AC22" s="224"/>
      <c r="AD22" s="225"/>
      <c r="AE22" s="226"/>
      <c r="AF22" s="225"/>
      <c r="AG22" s="225"/>
      <c r="AH22" s="225"/>
      <c r="AI22" s="225"/>
      <c r="AJ22" s="225"/>
    </row>
    <row r="23" spans="1:36" s="227" customFormat="1" ht="15.75" customHeight="1">
      <c r="A23" s="221"/>
      <c r="B23" t="s">
        <v>253</v>
      </c>
      <c r="C23"/>
      <c r="D23" s="218">
        <v>217.68</v>
      </c>
      <c r="E23"/>
      <c r="F23" s="218">
        <v>231.97</v>
      </c>
      <c r="G23"/>
      <c r="H23" s="218">
        <v>231.97</v>
      </c>
      <c r="I23"/>
      <c r="J23" s="218">
        <v>231.97</v>
      </c>
      <c r="K23"/>
      <c r="L23" s="218">
        <v>253.9</v>
      </c>
      <c r="M23"/>
      <c r="N23" s="218">
        <v>297.75</v>
      </c>
      <c r="O23"/>
      <c r="P23" s="218">
        <v>297.75</v>
      </c>
      <c r="Q23"/>
      <c r="R23" s="218">
        <v>297.75</v>
      </c>
      <c r="S23"/>
      <c r="T23" s="218">
        <v>297.75</v>
      </c>
      <c r="U23"/>
      <c r="V23" s="218">
        <v>297.75</v>
      </c>
      <c r="W23"/>
      <c r="X23" s="218">
        <v>297.75</v>
      </c>
      <c r="Y23"/>
      <c r="Z23" s="218">
        <v>297.75</v>
      </c>
      <c r="AA23" s="220"/>
      <c r="AB23" s="220"/>
      <c r="AC23" s="224"/>
      <c r="AD23" s="225"/>
      <c r="AE23" s="226"/>
      <c r="AF23" s="225"/>
      <c r="AG23" s="225"/>
      <c r="AH23" s="225"/>
      <c r="AI23" s="225"/>
      <c r="AJ23" s="225"/>
    </row>
    <row r="24" spans="1:36" s="227" customFormat="1" ht="15.75" customHeight="1">
      <c r="A24" s="221"/>
      <c r="B24" t="s">
        <v>254</v>
      </c>
      <c r="C24"/>
      <c r="D24" s="218">
        <v>217.68</v>
      </c>
      <c r="E24"/>
      <c r="F24" s="218">
        <v>231.97</v>
      </c>
      <c r="G24"/>
      <c r="H24" s="218">
        <v>231.97</v>
      </c>
      <c r="I24"/>
      <c r="J24" s="218">
        <v>231.97</v>
      </c>
      <c r="K24"/>
      <c r="L24" s="218">
        <v>253.9</v>
      </c>
      <c r="M24"/>
      <c r="N24" s="218">
        <v>297.75</v>
      </c>
      <c r="O24"/>
      <c r="P24" s="218">
        <v>297.75</v>
      </c>
      <c r="Q24"/>
      <c r="R24" s="218">
        <v>297.75</v>
      </c>
      <c r="S24"/>
      <c r="T24" s="218">
        <v>297.75</v>
      </c>
      <c r="U24"/>
      <c r="V24" s="218">
        <v>297.75</v>
      </c>
      <c r="W24"/>
      <c r="X24" s="218">
        <v>297.75</v>
      </c>
      <c r="Y24"/>
      <c r="Z24" s="218">
        <v>297.75</v>
      </c>
      <c r="AA24" s="220"/>
      <c r="AB24" s="220"/>
      <c r="AC24" s="224"/>
      <c r="AD24" s="225"/>
      <c r="AE24" s="226"/>
      <c r="AF24" s="225"/>
      <c r="AG24" s="225"/>
      <c r="AH24" s="225"/>
      <c r="AI24" s="225"/>
      <c r="AJ24" s="225"/>
    </row>
    <row r="25" spans="1:36" s="227" customFormat="1" ht="15.75" customHeight="1">
      <c r="A25" s="221"/>
      <c r="B25" t="s">
        <v>255</v>
      </c>
      <c r="C25"/>
      <c r="D25" s="218">
        <v>217.68</v>
      </c>
      <c r="E25"/>
      <c r="F25" s="218">
        <v>231.97</v>
      </c>
      <c r="G25"/>
      <c r="H25" s="218">
        <v>231.97</v>
      </c>
      <c r="I25"/>
      <c r="J25" s="218">
        <v>231.97</v>
      </c>
      <c r="K25"/>
      <c r="L25" s="218">
        <v>253.9</v>
      </c>
      <c r="M25"/>
      <c r="N25" s="218">
        <v>297.75</v>
      </c>
      <c r="O25"/>
      <c r="P25" s="218">
        <v>297.75</v>
      </c>
      <c r="Q25"/>
      <c r="R25" s="218">
        <v>297.75</v>
      </c>
      <c r="S25"/>
      <c r="T25" s="218">
        <v>297.75</v>
      </c>
      <c r="U25"/>
      <c r="V25" s="218">
        <v>297.75</v>
      </c>
      <c r="W25"/>
      <c r="X25" s="218">
        <v>297.75</v>
      </c>
      <c r="Y25"/>
      <c r="Z25" s="218">
        <v>297.75</v>
      </c>
      <c r="AA25" s="220"/>
      <c r="AB25" s="220"/>
      <c r="AC25" s="224"/>
      <c r="AD25" s="225"/>
      <c r="AE25" s="226"/>
      <c r="AF25" s="225"/>
      <c r="AG25" s="225"/>
      <c r="AH25" s="225"/>
      <c r="AI25" s="225"/>
      <c r="AJ25" s="225"/>
    </row>
    <row r="26" spans="1:36" s="227" customFormat="1" ht="15.75" customHeight="1">
      <c r="A26" s="221"/>
      <c r="B26" t="s">
        <v>256</v>
      </c>
      <c r="C26"/>
      <c r="D26" s="218">
        <v>217.68</v>
      </c>
      <c r="E26"/>
      <c r="F26" s="218">
        <v>231.97</v>
      </c>
      <c r="G26"/>
      <c r="H26" s="218">
        <v>231.97</v>
      </c>
      <c r="I26"/>
      <c r="J26" s="218">
        <v>231.97</v>
      </c>
      <c r="K26"/>
      <c r="L26" s="218">
        <v>253.9</v>
      </c>
      <c r="M26"/>
      <c r="N26" s="218">
        <v>297.75</v>
      </c>
      <c r="O26"/>
      <c r="P26" s="218">
        <v>297.75</v>
      </c>
      <c r="Q26"/>
      <c r="R26" s="218">
        <v>297.75</v>
      </c>
      <c r="S26"/>
      <c r="T26" s="218">
        <v>297.75</v>
      </c>
      <c r="U26"/>
      <c r="V26" s="218">
        <v>297.75</v>
      </c>
      <c r="W26"/>
      <c r="X26" s="218">
        <v>297.75</v>
      </c>
      <c r="Y26"/>
      <c r="Z26" s="218">
        <v>297.75</v>
      </c>
      <c r="AA26" s="220"/>
      <c r="AB26" s="220"/>
      <c r="AC26" s="224"/>
      <c r="AD26" s="225"/>
      <c r="AE26" s="226"/>
      <c r="AF26" s="225"/>
      <c r="AG26" s="225"/>
      <c r="AH26" s="225"/>
      <c r="AI26" s="225"/>
      <c r="AJ26" s="225"/>
    </row>
    <row r="27" spans="1:36" s="227" customFormat="1" ht="15.75" customHeight="1">
      <c r="A27" s="221"/>
      <c r="B27" t="s">
        <v>257</v>
      </c>
      <c r="C27"/>
      <c r="D27" s="218">
        <v>217.68</v>
      </c>
      <c r="E27"/>
      <c r="F27" s="218">
        <v>231.97</v>
      </c>
      <c r="G27"/>
      <c r="H27" s="218">
        <v>231.97</v>
      </c>
      <c r="I27"/>
      <c r="J27" s="218">
        <v>231.97</v>
      </c>
      <c r="K27"/>
      <c r="L27" s="218">
        <v>253.9</v>
      </c>
      <c r="M27"/>
      <c r="N27" s="218">
        <v>297.75</v>
      </c>
      <c r="O27"/>
      <c r="P27" s="218">
        <v>297.75</v>
      </c>
      <c r="Q27"/>
      <c r="R27" s="218">
        <v>297.75</v>
      </c>
      <c r="S27"/>
      <c r="T27" s="218">
        <v>297.75</v>
      </c>
      <c r="U27"/>
      <c r="V27" s="218">
        <v>297.75</v>
      </c>
      <c r="W27"/>
      <c r="X27" s="218">
        <v>297.75</v>
      </c>
      <c r="Y27"/>
      <c r="Z27" s="218">
        <v>297.75</v>
      </c>
      <c r="AA27" s="220"/>
      <c r="AB27" s="220"/>
      <c r="AC27" s="224"/>
      <c r="AD27" s="225"/>
      <c r="AE27" s="226"/>
      <c r="AF27" s="225"/>
      <c r="AG27" s="225"/>
      <c r="AH27" s="225"/>
      <c r="AI27" s="225"/>
      <c r="AJ27" s="225"/>
    </row>
    <row r="28" spans="1:36" s="227" customFormat="1" ht="15.75" customHeight="1">
      <c r="A28" s="221"/>
      <c r="B28" t="s">
        <v>258</v>
      </c>
      <c r="C28"/>
      <c r="D28" s="218">
        <v>217.68</v>
      </c>
      <c r="E28"/>
      <c r="F28" s="218">
        <v>231.97</v>
      </c>
      <c r="G28"/>
      <c r="H28" s="218">
        <v>231.97</v>
      </c>
      <c r="I28"/>
      <c r="J28" s="218">
        <v>231.97</v>
      </c>
      <c r="K28"/>
      <c r="L28" s="218">
        <v>253.9</v>
      </c>
      <c r="M28"/>
      <c r="N28" s="218">
        <v>297.75</v>
      </c>
      <c r="O28"/>
      <c r="P28" s="218">
        <v>297.75</v>
      </c>
      <c r="Q28"/>
      <c r="R28" s="218">
        <v>297.75</v>
      </c>
      <c r="S28"/>
      <c r="T28" s="218">
        <v>297.75</v>
      </c>
      <c r="U28"/>
      <c r="V28" s="218">
        <v>297.75</v>
      </c>
      <c r="W28"/>
      <c r="X28" s="218">
        <v>297.75</v>
      </c>
      <c r="Y28"/>
      <c r="Z28" s="218">
        <v>297.75</v>
      </c>
      <c r="AA28" s="220"/>
      <c r="AB28" s="220"/>
      <c r="AC28" s="224"/>
      <c r="AD28" s="225"/>
      <c r="AE28" s="226"/>
      <c r="AF28" s="225"/>
      <c r="AG28" s="225"/>
      <c r="AH28" s="225"/>
      <c r="AI28" s="225"/>
      <c r="AJ28" s="225"/>
    </row>
    <row r="29" spans="1:36" s="227" customFormat="1" ht="15.75" customHeight="1">
      <c r="A29" s="221"/>
      <c r="B29" t="s">
        <v>259</v>
      </c>
      <c r="C29"/>
      <c r="D29" s="218">
        <v>217.68</v>
      </c>
      <c r="E29"/>
      <c r="F29" s="218">
        <v>231.97</v>
      </c>
      <c r="G29"/>
      <c r="H29" s="218">
        <v>231.97</v>
      </c>
      <c r="I29"/>
      <c r="J29" s="218">
        <v>231.97</v>
      </c>
      <c r="K29"/>
      <c r="L29" s="218">
        <v>253.9</v>
      </c>
      <c r="M29"/>
      <c r="N29" s="218">
        <v>297.75</v>
      </c>
      <c r="O29"/>
      <c r="P29" s="218">
        <v>297.75</v>
      </c>
      <c r="Q29"/>
      <c r="R29" s="218">
        <v>297.75</v>
      </c>
      <c r="S29"/>
      <c r="T29" s="218">
        <v>297.75</v>
      </c>
      <c r="U29"/>
      <c r="V29" s="218">
        <v>297.75</v>
      </c>
      <c r="W29"/>
      <c r="X29" s="218">
        <v>297.75</v>
      </c>
      <c r="Y29"/>
      <c r="Z29" s="218">
        <v>297.75</v>
      </c>
      <c r="AA29" s="220"/>
      <c r="AB29" s="220"/>
      <c r="AC29" s="224"/>
      <c r="AD29" s="225"/>
      <c r="AE29" s="226"/>
      <c r="AF29" s="225"/>
      <c r="AG29" s="225"/>
      <c r="AH29" s="225"/>
      <c r="AI29" s="225"/>
      <c r="AJ29" s="225"/>
    </row>
    <row r="30" spans="1:36" s="227" customFormat="1" ht="15.75" customHeight="1">
      <c r="A30" s="221"/>
      <c r="B30" t="s">
        <v>260</v>
      </c>
      <c r="C30"/>
      <c r="D30" s="218">
        <v>217.68</v>
      </c>
      <c r="E30"/>
      <c r="F30" s="218">
        <v>231.97</v>
      </c>
      <c r="G30"/>
      <c r="H30" s="218">
        <v>231.97</v>
      </c>
      <c r="I30"/>
      <c r="J30" s="218">
        <v>231.97</v>
      </c>
      <c r="K30"/>
      <c r="L30" s="218">
        <v>253.9</v>
      </c>
      <c r="M30"/>
      <c r="N30" s="218">
        <v>297.75</v>
      </c>
      <c r="O30"/>
      <c r="P30" s="218">
        <v>297.75</v>
      </c>
      <c r="Q30"/>
      <c r="R30" s="218">
        <v>297.75</v>
      </c>
      <c r="S30"/>
      <c r="T30" s="218">
        <v>297.75</v>
      </c>
      <c r="U30"/>
      <c r="V30" s="218">
        <v>297.75</v>
      </c>
      <c r="W30"/>
      <c r="X30" s="218">
        <v>297.75</v>
      </c>
      <c r="Y30"/>
      <c r="Z30" s="218">
        <v>297.75</v>
      </c>
      <c r="AA30" s="220"/>
      <c r="AB30" s="220"/>
      <c r="AC30" s="224"/>
      <c r="AD30" s="225"/>
      <c r="AE30" s="226"/>
      <c r="AF30" s="225"/>
      <c r="AG30" s="225"/>
      <c r="AH30" s="225"/>
      <c r="AI30" s="225"/>
      <c r="AJ30" s="225"/>
    </row>
    <row r="31" spans="1:36" s="227" customFormat="1" ht="15.75" customHeight="1">
      <c r="A31" s="221"/>
      <c r="B31" t="s">
        <v>261</v>
      </c>
      <c r="C31"/>
      <c r="D31" s="218">
        <v>217.68</v>
      </c>
      <c r="E31"/>
      <c r="F31" s="218">
        <v>231.97</v>
      </c>
      <c r="G31"/>
      <c r="H31" s="218">
        <v>231.97</v>
      </c>
      <c r="I31"/>
      <c r="J31" s="218">
        <v>231.97</v>
      </c>
      <c r="K31"/>
      <c r="L31" s="218">
        <f>253.9</f>
        <v>253.9</v>
      </c>
      <c r="M31"/>
      <c r="N31" s="218">
        <v>297.75</v>
      </c>
      <c r="O31"/>
      <c r="P31" s="218">
        <v>297.75</v>
      </c>
      <c r="Q31"/>
      <c r="R31" s="218">
        <v>297.75</v>
      </c>
      <c r="S31"/>
      <c r="T31" s="218">
        <v>297.75</v>
      </c>
      <c r="U31"/>
      <c r="V31" s="218">
        <v>297.75</v>
      </c>
      <c r="W31"/>
      <c r="X31" s="218">
        <v>297.75</v>
      </c>
      <c r="Y31"/>
      <c r="Z31" s="218">
        <v>297.75</v>
      </c>
      <c r="AA31" s="220"/>
      <c r="AB31" s="220"/>
      <c r="AC31" s="224"/>
      <c r="AD31" s="225"/>
      <c r="AE31" s="226"/>
      <c r="AF31" s="225"/>
      <c r="AG31" s="225"/>
      <c r="AH31" s="225"/>
      <c r="AI31" s="225"/>
      <c r="AJ31" s="225"/>
    </row>
    <row r="32" spans="1:36" s="227" customFormat="1" ht="15.75" customHeight="1">
      <c r="A32" s="221"/>
      <c r="B32" t="s">
        <v>262</v>
      </c>
      <c r="C32"/>
      <c r="D32" s="218">
        <v>217.68</v>
      </c>
      <c r="E32"/>
      <c r="F32" s="218">
        <v>231.97</v>
      </c>
      <c r="G32"/>
      <c r="H32" s="218">
        <v>231.97</v>
      </c>
      <c r="I32"/>
      <c r="J32" s="218">
        <v>231.97</v>
      </c>
      <c r="K32"/>
      <c r="L32" s="218">
        <v>253.9</v>
      </c>
      <c r="M32"/>
      <c r="N32" s="218">
        <v>297.75</v>
      </c>
      <c r="O32"/>
      <c r="P32" s="218">
        <v>297.75</v>
      </c>
      <c r="Q32"/>
      <c r="R32" s="218">
        <v>297.75</v>
      </c>
      <c r="S32"/>
      <c r="T32" s="218">
        <v>297.75</v>
      </c>
      <c r="U32"/>
      <c r="V32" s="218">
        <v>297.75</v>
      </c>
      <c r="W32"/>
      <c r="X32" s="218">
        <v>297.75</v>
      </c>
      <c r="Y32"/>
      <c r="Z32" s="218">
        <v>297.75</v>
      </c>
      <c r="AA32" s="220"/>
      <c r="AB32" s="220"/>
      <c r="AC32" s="224"/>
      <c r="AD32" s="225"/>
      <c r="AE32" s="226"/>
      <c r="AF32" s="225"/>
      <c r="AG32" s="225"/>
      <c r="AH32" s="225"/>
      <c r="AI32" s="225"/>
      <c r="AJ32" s="225"/>
    </row>
    <row r="33" spans="1:36" s="227" customFormat="1" ht="15.75" customHeight="1">
      <c r="A33" s="221"/>
      <c r="B33" s="222"/>
      <c r="C33" s="222"/>
      <c r="D33" s="218"/>
      <c r="E33" s="222"/>
      <c r="F33" s="218"/>
      <c r="G33" s="222"/>
      <c r="H33" s="218"/>
      <c r="I33" s="222"/>
      <c r="J33" s="218"/>
      <c r="K33" s="222"/>
      <c r="L33" s="218"/>
      <c r="M33" s="222"/>
      <c r="N33" s="218"/>
      <c r="O33" s="222"/>
      <c r="P33" s="218"/>
      <c r="Q33" s="222"/>
      <c r="R33" s="218"/>
      <c r="S33" s="222"/>
      <c r="T33" s="218"/>
      <c r="U33" s="222"/>
      <c r="V33" s="218"/>
      <c r="W33" s="222"/>
      <c r="X33" s="218"/>
      <c r="Y33" s="222"/>
      <c r="Z33" s="218"/>
      <c r="AA33" s="220"/>
      <c r="AB33" s="220"/>
      <c r="AC33" s="224"/>
      <c r="AD33" s="225"/>
      <c r="AE33" s="226"/>
      <c r="AF33" s="225"/>
      <c r="AG33" s="225"/>
      <c r="AH33" s="225"/>
      <c r="AI33" s="225"/>
      <c r="AJ33" s="225"/>
    </row>
    <row r="34" spans="1:36" s="227" customFormat="1" ht="15.75" customHeight="1">
      <c r="A34" s="221"/>
      <c r="B34" s="222" t="s">
        <v>263</v>
      </c>
      <c r="C34" s="222"/>
      <c r="D34" s="223">
        <f>13442.97-D42</f>
        <v>4353.5999999999985</v>
      </c>
      <c r="E34" s="222"/>
      <c r="F34" s="223">
        <f>14458.35-F42</f>
        <v>4639.3999999999996</v>
      </c>
      <c r="G34" s="222"/>
      <c r="H34" s="223">
        <f>13972.29-H42</f>
        <v>4639.4000000000015</v>
      </c>
      <c r="I34" s="222"/>
      <c r="J34" s="223">
        <f>SUM(J13:J32)</f>
        <v>4639.3999999999987</v>
      </c>
      <c r="K34" s="222"/>
      <c r="L34" s="223">
        <f>SUM(L13:L32)</f>
        <v>5078</v>
      </c>
      <c r="M34" s="222"/>
      <c r="N34" s="223">
        <f>13779.96-N42</f>
        <v>5954.9999999999991</v>
      </c>
      <c r="O34" s="222"/>
      <c r="P34" s="223">
        <f>13497.11-P42</f>
        <v>5955.0000000000009</v>
      </c>
      <c r="Q34" s="222"/>
      <c r="R34" s="223">
        <f>14321.94-R42</f>
        <v>5955</v>
      </c>
      <c r="S34" s="222"/>
      <c r="T34" s="223">
        <f>13596-T42</f>
        <v>5955</v>
      </c>
      <c r="U34" s="222"/>
      <c r="V34" s="223">
        <f>13732.49-V42</f>
        <v>5955</v>
      </c>
      <c r="W34" s="222"/>
      <c r="X34" s="223">
        <f>14982.58-X42</f>
        <v>5955</v>
      </c>
      <c r="Y34" s="222"/>
      <c r="Z34" s="223">
        <f>16412.68-Z42</f>
        <v>5955</v>
      </c>
      <c r="AA34" s="223">
        <f>SUM(D34:Z34)</f>
        <v>65034.8</v>
      </c>
      <c r="AB34" s="223">
        <f>AA34/12</f>
        <v>5419.5666666666666</v>
      </c>
      <c r="AC34" s="224"/>
      <c r="AD34" s="225"/>
      <c r="AE34" s="226"/>
      <c r="AF34" s="225"/>
      <c r="AG34" s="225"/>
      <c r="AH34" s="225"/>
      <c r="AI34" s="225"/>
      <c r="AJ34" s="225"/>
    </row>
    <row r="35" spans="1:36" s="227" customFormat="1" ht="15.75" customHeight="1">
      <c r="A35" s="221"/>
      <c r="B35" s="222"/>
      <c r="C35" s="222"/>
      <c r="D35" s="218"/>
      <c r="E35" s="222"/>
      <c r="F35" s="218"/>
      <c r="G35" s="222"/>
      <c r="H35" s="218"/>
      <c r="I35" s="222"/>
      <c r="J35" s="218"/>
      <c r="K35" s="222"/>
      <c r="L35" s="218"/>
      <c r="M35" s="222"/>
      <c r="N35" s="218"/>
      <c r="O35" s="222"/>
      <c r="P35" s="218"/>
      <c r="Q35" s="222"/>
      <c r="R35" s="218"/>
      <c r="S35" s="222"/>
      <c r="T35" s="218"/>
      <c r="U35" s="222"/>
      <c r="V35" s="218"/>
      <c r="W35" s="222"/>
      <c r="X35" s="218"/>
      <c r="Y35" s="222"/>
      <c r="Z35" s="218"/>
      <c r="AA35" s="220"/>
      <c r="AB35" s="220"/>
      <c r="AC35" s="224"/>
      <c r="AD35" s="225"/>
      <c r="AE35" s="226"/>
      <c r="AF35" s="225"/>
      <c r="AG35" s="225"/>
      <c r="AH35" s="225"/>
      <c r="AI35" s="225"/>
      <c r="AJ35" s="225"/>
    </row>
    <row r="36" spans="1:36" s="227" customFormat="1" ht="15.75" customHeight="1">
      <c r="A36" s="221"/>
      <c r="B36" t="s">
        <v>264</v>
      </c>
      <c r="C36">
        <v>2060</v>
      </c>
      <c r="D36" s="218">
        <v>3015.16</v>
      </c>
      <c r="E36">
        <v>1973</v>
      </c>
      <c r="F36" s="218">
        <v>3054.2</v>
      </c>
      <c r="G36" s="219">
        <v>1933.9987080103358</v>
      </c>
      <c r="H36" s="218">
        <v>2993.83</v>
      </c>
      <c r="I36">
        <v>1645</v>
      </c>
      <c r="J36" s="218">
        <v>2546.46</v>
      </c>
      <c r="K36">
        <v>1441</v>
      </c>
      <c r="L36" s="218">
        <v>2437.21</v>
      </c>
      <c r="M36">
        <f>N36/$M$51</f>
        <v>1360</v>
      </c>
      <c r="N36" s="218">
        <v>2690.08</v>
      </c>
      <c r="O36">
        <f>P36/$M$51</f>
        <v>1310</v>
      </c>
      <c r="P36" s="218">
        <v>2591.1799999999998</v>
      </c>
      <c r="Q36">
        <f>R36/$M$51</f>
        <v>1537.0020222446917</v>
      </c>
      <c r="R36" s="218">
        <v>3040.19</v>
      </c>
      <c r="S36">
        <f>T36/$M$51</f>
        <v>1357.9979777553083</v>
      </c>
      <c r="T36" s="218">
        <v>2686.12</v>
      </c>
      <c r="U36">
        <f>V36/$M$51</f>
        <v>1328.9989888776543</v>
      </c>
      <c r="V36" s="218">
        <v>2628.76</v>
      </c>
      <c r="W36">
        <f>X36/$M$51</f>
        <v>1533.9989888776543</v>
      </c>
      <c r="X36" s="218">
        <v>3034.25</v>
      </c>
      <c r="Y36">
        <f>Z36/$M$51</f>
        <v>1795.0000000000002</v>
      </c>
      <c r="Z36" s="218">
        <v>3550.51</v>
      </c>
      <c r="AA36" s="220"/>
      <c r="AB36" s="220"/>
      <c r="AC36" s="224"/>
      <c r="AD36" s="225"/>
      <c r="AE36" s="226"/>
      <c r="AF36" s="225"/>
      <c r="AG36" s="225"/>
      <c r="AH36" s="225"/>
      <c r="AI36" s="225"/>
      <c r="AJ36" s="225"/>
    </row>
    <row r="37" spans="1:36" s="227" customFormat="1" ht="15.75" customHeight="1">
      <c r="A37" s="221"/>
      <c r="B37" t="s">
        <v>265</v>
      </c>
      <c r="C37">
        <v>1382</v>
      </c>
      <c r="D37" s="218">
        <v>2022.78</v>
      </c>
      <c r="E37">
        <v>1475</v>
      </c>
      <c r="F37" s="218">
        <v>2283.3000000000002</v>
      </c>
      <c r="G37" s="219">
        <v>1322.9974160206718</v>
      </c>
      <c r="H37" s="218">
        <v>2048</v>
      </c>
      <c r="I37">
        <v>1108</v>
      </c>
      <c r="J37" s="218">
        <v>1715.18</v>
      </c>
      <c r="K37">
        <v>915</v>
      </c>
      <c r="L37" s="218">
        <v>1547.57</v>
      </c>
      <c r="M37">
        <f t="shared" ref="M37:O40" si="0">N37/$M$51</f>
        <v>713.99898887765414</v>
      </c>
      <c r="N37" s="218">
        <v>1412.29</v>
      </c>
      <c r="O37">
        <f t="shared" si="0"/>
        <v>708.99898887765426</v>
      </c>
      <c r="P37" s="218">
        <v>1402.4</v>
      </c>
      <c r="Q37">
        <f t="shared" ref="Q37:S40" si="1">R37/$M$51</f>
        <v>790</v>
      </c>
      <c r="R37" s="218">
        <v>1562.62</v>
      </c>
      <c r="S37">
        <f t="shared" si="1"/>
        <v>695</v>
      </c>
      <c r="T37" s="218">
        <v>1374.71</v>
      </c>
      <c r="U37">
        <f t="shared" ref="U37:W40" si="2">V37/$M$51</f>
        <v>758.99898887765414</v>
      </c>
      <c r="V37" s="218">
        <v>1501.3</v>
      </c>
      <c r="W37">
        <f t="shared" si="2"/>
        <v>972.9979777553084</v>
      </c>
      <c r="X37" s="218">
        <v>1924.59</v>
      </c>
      <c r="Y37">
        <f t="shared" ref="Y37:Y40" si="3">Z37/$M$51</f>
        <v>1142.9979777553083</v>
      </c>
      <c r="Z37" s="218">
        <v>2260.85</v>
      </c>
      <c r="AA37" s="220"/>
      <c r="AB37" s="220"/>
      <c r="AC37" s="224"/>
      <c r="AD37" s="225"/>
      <c r="AE37" s="226"/>
      <c r="AF37" s="225"/>
      <c r="AG37" s="225"/>
      <c r="AH37" s="225"/>
      <c r="AI37" s="225"/>
      <c r="AJ37" s="225"/>
    </row>
    <row r="38" spans="1:36" s="227" customFormat="1" ht="15.75" customHeight="1">
      <c r="A38" s="221"/>
      <c r="B38" t="s">
        <v>266</v>
      </c>
      <c r="C38">
        <v>1328</v>
      </c>
      <c r="D38" s="218">
        <v>1943.75</v>
      </c>
      <c r="E38">
        <v>1309</v>
      </c>
      <c r="F38" s="218">
        <v>2026.33</v>
      </c>
      <c r="G38" s="219">
        <v>1295</v>
      </c>
      <c r="H38" s="218">
        <v>2004.66</v>
      </c>
      <c r="I38">
        <v>1132</v>
      </c>
      <c r="J38" s="218">
        <v>1752.34</v>
      </c>
      <c r="K38">
        <v>1022</v>
      </c>
      <c r="L38" s="218">
        <v>1728.54</v>
      </c>
      <c r="M38">
        <f t="shared" si="0"/>
        <v>932.9979777553084</v>
      </c>
      <c r="N38" s="218">
        <v>1845.47</v>
      </c>
      <c r="O38">
        <f t="shared" si="0"/>
        <v>908.99898887765426</v>
      </c>
      <c r="P38" s="218">
        <v>1798</v>
      </c>
      <c r="Q38">
        <f t="shared" si="1"/>
        <v>892.9979777553084</v>
      </c>
      <c r="R38" s="218">
        <v>1766.35</v>
      </c>
      <c r="S38">
        <f t="shared" si="1"/>
        <v>898.99898887765426</v>
      </c>
      <c r="T38" s="218">
        <v>1778.22</v>
      </c>
      <c r="U38">
        <f t="shared" si="2"/>
        <v>916.00101112234574</v>
      </c>
      <c r="V38" s="218">
        <v>1811.85</v>
      </c>
      <c r="W38">
        <f t="shared" si="2"/>
        <v>1000</v>
      </c>
      <c r="X38" s="218">
        <v>1978</v>
      </c>
      <c r="Y38">
        <f t="shared" si="3"/>
        <v>1145</v>
      </c>
      <c r="Z38" s="218">
        <v>2264.81</v>
      </c>
      <c r="AA38" s="220"/>
      <c r="AB38" s="220"/>
      <c r="AC38" s="224"/>
      <c r="AD38" s="225"/>
      <c r="AE38" s="226"/>
      <c r="AF38" s="225"/>
      <c r="AG38" s="225"/>
      <c r="AH38" s="225"/>
      <c r="AI38" s="225"/>
      <c r="AJ38" s="225"/>
    </row>
    <row r="39" spans="1:36" s="227" customFormat="1" ht="15.75" customHeight="1">
      <c r="A39" s="221"/>
      <c r="B39" t="s">
        <v>267</v>
      </c>
      <c r="C39">
        <v>965</v>
      </c>
      <c r="D39" s="218">
        <v>1412.44</v>
      </c>
      <c r="E39">
        <v>1063</v>
      </c>
      <c r="F39" s="218">
        <v>1645.52</v>
      </c>
      <c r="G39" s="219">
        <v>1035</v>
      </c>
      <c r="H39" s="218">
        <v>1602.18</v>
      </c>
      <c r="I39">
        <v>1035</v>
      </c>
      <c r="J39" s="218">
        <v>1602.18</v>
      </c>
      <c r="K39">
        <v>796</v>
      </c>
      <c r="L39" s="218">
        <f>1151.25</f>
        <v>1151.25</v>
      </c>
      <c r="M39">
        <f t="shared" si="0"/>
        <v>683.99898887765426</v>
      </c>
      <c r="N39" s="218">
        <v>1352.95</v>
      </c>
      <c r="O39">
        <f t="shared" si="0"/>
        <v>622.9979777553084</v>
      </c>
      <c r="P39" s="218">
        <v>1232.29</v>
      </c>
      <c r="Q39">
        <f t="shared" si="1"/>
        <v>707.0020222446916</v>
      </c>
      <c r="R39" s="218">
        <v>1398.45</v>
      </c>
      <c r="S39">
        <f t="shared" si="1"/>
        <v>657.9979777553084</v>
      </c>
      <c r="T39" s="218">
        <v>1301.52</v>
      </c>
      <c r="U39">
        <f t="shared" si="2"/>
        <v>652.9979777553084</v>
      </c>
      <c r="V39" s="218">
        <v>1291.6300000000001</v>
      </c>
      <c r="W39">
        <f t="shared" si="2"/>
        <v>728.99898887765426</v>
      </c>
      <c r="X39" s="218">
        <v>1441.96</v>
      </c>
      <c r="Y39">
        <f t="shared" si="3"/>
        <v>812.9979777553084</v>
      </c>
      <c r="Z39" s="218">
        <v>1608.11</v>
      </c>
      <c r="AA39" s="220"/>
      <c r="AB39" s="220"/>
      <c r="AC39" s="224"/>
      <c r="AD39" s="225"/>
      <c r="AE39" s="226"/>
      <c r="AF39" s="225"/>
      <c r="AG39" s="225"/>
      <c r="AH39" s="225"/>
      <c r="AI39" s="225"/>
      <c r="AJ39" s="225"/>
    </row>
    <row r="40" spans="1:36" s="227" customFormat="1" ht="15.75" customHeight="1">
      <c r="A40" s="221"/>
      <c r="B40" t="s">
        <v>268</v>
      </c>
      <c r="C40">
        <v>475</v>
      </c>
      <c r="D40" s="218">
        <v>695.24</v>
      </c>
      <c r="E40">
        <v>523</v>
      </c>
      <c r="F40" s="218">
        <v>809.6</v>
      </c>
      <c r="G40" s="219">
        <v>442.00258397932816</v>
      </c>
      <c r="H40" s="218">
        <v>684.22</v>
      </c>
      <c r="I40">
        <v>394</v>
      </c>
      <c r="J40" s="218">
        <v>609.91</v>
      </c>
      <c r="K40">
        <v>362</v>
      </c>
      <c r="L40" s="218">
        <v>612.26</v>
      </c>
      <c r="M40">
        <f t="shared" si="0"/>
        <v>265</v>
      </c>
      <c r="N40" s="218">
        <v>524.16999999999996</v>
      </c>
      <c r="O40">
        <f t="shared" si="0"/>
        <v>262.0020222446916</v>
      </c>
      <c r="P40" s="218">
        <v>518.24</v>
      </c>
      <c r="Q40">
        <f t="shared" si="1"/>
        <v>302.9979777553084</v>
      </c>
      <c r="R40" s="218">
        <v>599.33000000000004</v>
      </c>
      <c r="S40">
        <f t="shared" si="1"/>
        <v>252.9979777553084</v>
      </c>
      <c r="T40" s="218">
        <v>500.43</v>
      </c>
      <c r="U40">
        <f t="shared" si="2"/>
        <v>275</v>
      </c>
      <c r="V40" s="218">
        <v>543.95000000000005</v>
      </c>
      <c r="W40">
        <f t="shared" si="2"/>
        <v>327.9979777553084</v>
      </c>
      <c r="X40" s="218">
        <v>648.78</v>
      </c>
      <c r="Y40">
        <f t="shared" si="3"/>
        <v>391.0010111223458</v>
      </c>
      <c r="Z40" s="218">
        <v>773.4</v>
      </c>
      <c r="AA40" s="220"/>
      <c r="AB40" s="220"/>
      <c r="AC40" s="224"/>
      <c r="AD40" s="225"/>
      <c r="AE40" s="226"/>
      <c r="AF40" s="225"/>
      <c r="AG40" s="225"/>
      <c r="AH40" s="225"/>
      <c r="AI40" s="225"/>
      <c r="AJ40" s="225"/>
    </row>
    <row r="41" spans="1:36" s="227" customFormat="1" ht="15.75" customHeight="1">
      <c r="A41" s="221"/>
      <c r="B41" s="222"/>
      <c r="C41" s="222"/>
      <c r="D41" s="218"/>
      <c r="E41" s="222"/>
      <c r="F41" s="218"/>
      <c r="G41" s="222"/>
      <c r="H41" s="218"/>
      <c r="I41" s="222"/>
      <c r="J41" s="218"/>
      <c r="K41" s="222"/>
      <c r="L41" s="218"/>
      <c r="M41" s="222"/>
      <c r="N41" s="218"/>
      <c r="O41" s="222"/>
      <c r="P41" s="218"/>
      <c r="Q41" s="222"/>
      <c r="R41" s="218"/>
      <c r="S41" s="222"/>
      <c r="T41" s="218"/>
      <c r="U41" s="222"/>
      <c r="V41" s="218"/>
      <c r="W41" s="222"/>
      <c r="X41" s="218"/>
      <c r="Y41" s="222"/>
      <c r="Z41" s="218"/>
      <c r="AA41" s="220"/>
      <c r="AB41" s="220"/>
      <c r="AC41" s="224"/>
      <c r="AD41" s="225"/>
      <c r="AE41" s="226"/>
      <c r="AF41" s="225"/>
      <c r="AG41" s="225"/>
      <c r="AH41" s="225"/>
      <c r="AI41" s="225"/>
      <c r="AJ41" s="225"/>
    </row>
    <row r="42" spans="1:36" s="227" customFormat="1" ht="15.75" customHeight="1">
      <c r="A42" s="221"/>
      <c r="B42" s="222" t="s">
        <v>269</v>
      </c>
      <c r="C42" s="222"/>
      <c r="D42" s="223">
        <v>9089.3700000000008</v>
      </c>
      <c r="E42" s="222"/>
      <c r="F42" s="223">
        <v>9818.9500000000007</v>
      </c>
      <c r="G42" s="222"/>
      <c r="H42" s="223">
        <v>9332.89</v>
      </c>
      <c r="I42" s="222"/>
      <c r="J42" s="223">
        <f>SUM(J36:J40)</f>
        <v>8226.0700000000015</v>
      </c>
      <c r="K42" s="222"/>
      <c r="L42" s="223">
        <f>SUM(L36:L40)</f>
        <v>7476.83</v>
      </c>
      <c r="M42" s="222"/>
      <c r="N42" s="223">
        <v>7824.96</v>
      </c>
      <c r="O42" s="222"/>
      <c r="P42" s="223">
        <v>7542.11</v>
      </c>
      <c r="Q42" s="222"/>
      <c r="R42" s="223">
        <v>8366.94</v>
      </c>
      <c r="S42" s="222"/>
      <c r="T42" s="223">
        <v>7641</v>
      </c>
      <c r="U42" s="222"/>
      <c r="V42" s="223">
        <v>7777.49</v>
      </c>
      <c r="W42" s="222"/>
      <c r="X42" s="223">
        <v>9027.58</v>
      </c>
      <c r="Y42" s="222"/>
      <c r="Z42" s="223">
        <v>10457.68</v>
      </c>
      <c r="AA42" s="223">
        <f>SUM(D42:Z42)</f>
        <v>102581.87</v>
      </c>
      <c r="AB42" s="223">
        <f>AA42/12</f>
        <v>8548.4891666666663</v>
      </c>
      <c r="AC42" s="228"/>
      <c r="AD42" s="225"/>
      <c r="AE42" s="226"/>
      <c r="AF42" s="225"/>
      <c r="AG42" s="225"/>
      <c r="AH42" s="225"/>
      <c r="AI42" s="225"/>
      <c r="AJ42" s="225"/>
    </row>
    <row r="43" spans="1:36" s="227" customFormat="1" ht="15.75" customHeight="1">
      <c r="A43" s="221"/>
      <c r="B43" s="222" t="s">
        <v>270</v>
      </c>
      <c r="C43" s="222"/>
      <c r="D43" s="223">
        <v>0</v>
      </c>
      <c r="E43" s="222"/>
      <c r="F43" s="223">
        <v>0</v>
      </c>
      <c r="G43" s="222"/>
      <c r="H43" s="223">
        <v>0</v>
      </c>
      <c r="I43" s="222"/>
      <c r="J43" s="223">
        <v>0</v>
      </c>
      <c r="K43" s="222"/>
      <c r="L43" s="223">
        <v>0</v>
      </c>
      <c r="M43" s="222"/>
      <c r="N43" s="223">
        <v>0</v>
      </c>
      <c r="O43" s="222"/>
      <c r="P43" s="218">
        <v>0</v>
      </c>
      <c r="Q43" s="222"/>
      <c r="R43" s="223">
        <v>0</v>
      </c>
      <c r="S43" s="222"/>
      <c r="T43" s="218">
        <v>0</v>
      </c>
      <c r="U43" s="222"/>
      <c r="V43" s="218">
        <v>0</v>
      </c>
      <c r="W43" s="222"/>
      <c r="X43" s="223">
        <v>0</v>
      </c>
      <c r="Y43" s="222"/>
      <c r="Z43" s="223">
        <v>0</v>
      </c>
      <c r="AA43" s="220"/>
      <c r="AB43" s="225"/>
      <c r="AC43" s="224"/>
      <c r="AD43" s="225"/>
      <c r="AE43" s="226"/>
      <c r="AF43" s="225"/>
      <c r="AG43" s="225"/>
      <c r="AH43" s="225"/>
      <c r="AI43" s="225"/>
      <c r="AJ43" s="225"/>
    </row>
    <row r="44" spans="1:36" s="227" customFormat="1" ht="15.75" customHeight="1">
      <c r="A44" s="221"/>
      <c r="B44" s="229" t="s">
        <v>271</v>
      </c>
      <c r="C44" s="229"/>
      <c r="D44" s="230">
        <v>0</v>
      </c>
      <c r="E44" s="229"/>
      <c r="F44" s="230">
        <v>0</v>
      </c>
      <c r="G44" s="229"/>
      <c r="H44" s="230">
        <v>0</v>
      </c>
      <c r="I44" s="229"/>
      <c r="J44" s="230">
        <v>0</v>
      </c>
      <c r="K44" s="229"/>
      <c r="L44" s="231">
        <v>0</v>
      </c>
      <c r="M44" s="229"/>
      <c r="N44" s="230">
        <v>0</v>
      </c>
      <c r="O44" s="229"/>
      <c r="P44" s="230">
        <v>0</v>
      </c>
      <c r="Q44" s="229"/>
      <c r="R44" s="231">
        <v>-1307.3599999999999</v>
      </c>
      <c r="S44" s="229"/>
      <c r="T44" s="231">
        <v>0</v>
      </c>
      <c r="U44" s="229"/>
      <c r="V44" s="231">
        <v>0</v>
      </c>
      <c r="W44" s="229"/>
      <c r="X44" s="230">
        <v>0</v>
      </c>
      <c r="Y44" s="229"/>
      <c r="Z44" s="231">
        <v>0</v>
      </c>
      <c r="AA44" s="220"/>
      <c r="AB44" s="225"/>
      <c r="AC44" s="224"/>
      <c r="AD44" s="225"/>
      <c r="AE44" s="226"/>
      <c r="AF44" s="225"/>
      <c r="AG44" s="225"/>
      <c r="AH44" s="225"/>
      <c r="AI44" s="225"/>
      <c r="AJ44" s="225"/>
    </row>
    <row r="45" spans="1:36" s="227" customFormat="1" ht="15.75" customHeight="1">
      <c r="A45" s="221"/>
      <c r="B45" s="222" t="s">
        <v>52</v>
      </c>
      <c r="C45" s="222"/>
      <c r="D45" s="223">
        <f>SUM(D11,D34,D42:D44)</f>
        <v>54012.56</v>
      </c>
      <c r="E45" s="222"/>
      <c r="F45" s="223">
        <f t="shared" ref="F45:Z45" si="4">SUM(F11,F34,F42:F44)</f>
        <v>56970.55</v>
      </c>
      <c r="G45" s="222"/>
      <c r="H45" s="223">
        <f t="shared" si="4"/>
        <v>54673.99</v>
      </c>
      <c r="I45" s="222"/>
      <c r="J45" s="223">
        <f t="shared" si="4"/>
        <v>50999.58</v>
      </c>
      <c r="K45" s="222"/>
      <c r="L45" s="223">
        <f t="shared" si="4"/>
        <v>50236.590000000004</v>
      </c>
      <c r="M45" s="222"/>
      <c r="N45" s="223">
        <f t="shared" si="4"/>
        <v>59643.92</v>
      </c>
      <c r="O45" s="222"/>
      <c r="P45" s="223">
        <f t="shared" si="4"/>
        <v>58312.51</v>
      </c>
      <c r="Q45" s="222"/>
      <c r="R45" s="223">
        <f t="shared" si="4"/>
        <v>63547.42</v>
      </c>
      <c r="S45" s="222"/>
      <c r="T45" s="223">
        <f t="shared" si="4"/>
        <v>60227</v>
      </c>
      <c r="U45" s="222"/>
      <c r="V45" s="223">
        <f t="shared" si="4"/>
        <v>54267.97</v>
      </c>
      <c r="W45" s="222"/>
      <c r="X45" s="223">
        <f t="shared" si="4"/>
        <v>59153.340000000004</v>
      </c>
      <c r="Y45" s="222"/>
      <c r="Z45" s="223">
        <f t="shared" si="4"/>
        <v>68200.12</v>
      </c>
      <c r="AA45" s="223">
        <f>SUM(D45:Z45)</f>
        <v>690245.54999999993</v>
      </c>
      <c r="AB45" s="223">
        <f>AA45/12</f>
        <v>57520.462499999994</v>
      </c>
      <c r="AC45" s="224"/>
      <c r="AD45" s="224"/>
      <c r="AE45" s="226"/>
      <c r="AF45" s="225"/>
      <c r="AG45" s="225"/>
      <c r="AH45" s="225"/>
      <c r="AI45" s="225"/>
      <c r="AJ45" s="225"/>
    </row>
    <row r="46" spans="1:36" s="227" customFormat="1" ht="15.75" customHeight="1">
      <c r="A46" s="221"/>
      <c r="B46" s="232" t="s">
        <v>272</v>
      </c>
      <c r="C46" s="232"/>
      <c r="D46" s="218">
        <v>-37645.11</v>
      </c>
      <c r="E46" s="232"/>
      <c r="F46" s="218"/>
      <c r="G46" s="232"/>
      <c r="H46" s="218"/>
      <c r="I46" s="232"/>
      <c r="J46" s="218"/>
      <c r="K46" s="232"/>
      <c r="L46" s="218"/>
      <c r="M46" s="232"/>
      <c r="N46" s="218"/>
      <c r="O46" s="232"/>
      <c r="P46" s="218"/>
      <c r="Q46" s="232"/>
      <c r="R46" s="218"/>
      <c r="S46" s="232"/>
      <c r="T46" s="218"/>
      <c r="U46" s="232"/>
      <c r="V46" s="218"/>
      <c r="W46" s="232"/>
      <c r="X46" s="218"/>
      <c r="Y46" s="232"/>
      <c r="AA46" s="220"/>
      <c r="AB46" s="225"/>
      <c r="AC46" s="224"/>
      <c r="AD46" s="225"/>
      <c r="AE46" s="226"/>
      <c r="AF46" s="225"/>
      <c r="AG46" s="225"/>
      <c r="AH46" s="225"/>
      <c r="AI46" s="225"/>
      <c r="AJ46" s="225"/>
    </row>
    <row r="47" spans="1:36" s="227" customFormat="1" ht="15.75" customHeight="1">
      <c r="A47" s="221"/>
      <c r="B47" s="232" t="s">
        <v>273</v>
      </c>
      <c r="C47" s="232"/>
      <c r="D47" s="228"/>
      <c r="E47" s="232"/>
      <c r="F47" s="228"/>
      <c r="G47" s="232"/>
      <c r="H47" s="228"/>
      <c r="I47" s="232"/>
      <c r="J47" s="228"/>
      <c r="K47" s="232"/>
      <c r="L47" s="228"/>
      <c r="M47" s="232"/>
      <c r="N47" s="228"/>
      <c r="O47" s="232"/>
      <c r="P47" s="228"/>
      <c r="Q47" s="232"/>
      <c r="R47" s="228"/>
      <c r="S47" s="232"/>
      <c r="T47" s="228"/>
      <c r="U47" s="232"/>
      <c r="V47" s="228"/>
      <c r="W47" s="232"/>
      <c r="X47" s="218"/>
      <c r="Y47" s="232"/>
      <c r="Z47" s="233">
        <v>51738.02</v>
      </c>
      <c r="AA47" s="220"/>
      <c r="AB47" s="225"/>
      <c r="AC47" s="224"/>
      <c r="AD47" s="225"/>
      <c r="AE47" s="226"/>
      <c r="AF47" s="225"/>
      <c r="AG47" s="225"/>
      <c r="AH47" s="225"/>
      <c r="AI47" s="225"/>
      <c r="AJ47" s="225"/>
    </row>
    <row r="48" spans="1:36" s="227" customFormat="1" ht="15.75" customHeight="1">
      <c r="A48" s="221"/>
      <c r="B48" s="232"/>
      <c r="C48" s="232"/>
      <c r="D48" s="228"/>
      <c r="E48" s="232"/>
      <c r="F48" s="228"/>
      <c r="G48" s="232"/>
      <c r="H48" s="228"/>
      <c r="I48" s="232"/>
      <c r="J48" s="228"/>
      <c r="K48" s="232"/>
      <c r="L48" s="228"/>
      <c r="M48" s="232"/>
      <c r="N48" s="228"/>
      <c r="O48" s="232"/>
      <c r="P48" s="228"/>
      <c r="Q48" s="232"/>
      <c r="R48" s="228"/>
      <c r="S48" s="232"/>
      <c r="T48" s="228"/>
      <c r="U48" s="232"/>
      <c r="V48" s="228"/>
      <c r="W48" s="232"/>
      <c r="X48" s="218"/>
      <c r="Y48" s="232"/>
      <c r="Z48" s="233"/>
      <c r="AA48" s="220"/>
      <c r="AB48" s="225"/>
      <c r="AC48" s="224"/>
      <c r="AD48" s="225"/>
      <c r="AE48" s="226"/>
      <c r="AF48" s="225"/>
      <c r="AG48" s="225"/>
      <c r="AH48" s="225"/>
      <c r="AI48" s="225"/>
      <c r="AJ48" s="225"/>
    </row>
    <row r="49" spans="1:36">
      <c r="C49" s="207" t="s">
        <v>274</v>
      </c>
      <c r="D49" s="208" t="s">
        <v>275</v>
      </c>
      <c r="E49" s="207" t="s">
        <v>274</v>
      </c>
      <c r="G49" s="207" t="s">
        <v>274</v>
      </c>
      <c r="I49" s="207" t="s">
        <v>274</v>
      </c>
      <c r="K49" s="207" t="s">
        <v>274</v>
      </c>
      <c r="L49" s="208" t="s">
        <v>275</v>
      </c>
      <c r="M49" s="207" t="s">
        <v>274</v>
      </c>
      <c r="O49" s="207" t="s">
        <v>274</v>
      </c>
      <c r="Q49" s="207" t="s">
        <v>274</v>
      </c>
      <c r="S49" s="207" t="s">
        <v>274</v>
      </c>
      <c r="U49" s="207" t="s">
        <v>274</v>
      </c>
      <c r="W49" s="207" t="s">
        <v>274</v>
      </c>
      <c r="Y49" s="207" t="s">
        <v>274</v>
      </c>
    </row>
    <row r="50" spans="1:36">
      <c r="B50" s="207" t="s">
        <v>276</v>
      </c>
      <c r="C50" s="234" t="s">
        <v>277</v>
      </c>
      <c r="D50" s="235">
        <v>0.69696999999999998</v>
      </c>
      <c r="G50" s="234"/>
      <c r="K50" s="207" t="s">
        <v>278</v>
      </c>
      <c r="L50" s="235">
        <v>0.66666700000000001</v>
      </c>
    </row>
    <row r="51" spans="1:36">
      <c r="C51" s="236" t="s">
        <v>278</v>
      </c>
      <c r="D51" s="235">
        <v>0.30303000000000002</v>
      </c>
      <c r="E51" s="234" t="s">
        <v>278</v>
      </c>
      <c r="G51" s="234" t="s">
        <v>278</v>
      </c>
      <c r="I51" s="234" t="s">
        <v>278</v>
      </c>
      <c r="K51" s="234">
        <v>1.978</v>
      </c>
      <c r="L51" s="235">
        <v>0.33333299999999999</v>
      </c>
      <c r="M51" s="234">
        <v>1.978</v>
      </c>
      <c r="O51" s="234">
        <v>1.978</v>
      </c>
      <c r="Q51" s="234">
        <v>1.978</v>
      </c>
      <c r="S51" s="234">
        <v>1.978</v>
      </c>
      <c r="U51" s="234">
        <v>1.978</v>
      </c>
      <c r="W51" s="234">
        <v>1.978</v>
      </c>
      <c r="Y51" s="234">
        <v>1.978</v>
      </c>
    </row>
    <row r="52" spans="1:36">
      <c r="B52" s="207" t="s">
        <v>279</v>
      </c>
      <c r="C52" s="236" t="s">
        <v>280</v>
      </c>
      <c r="D52" s="235">
        <v>0.69696999999999998</v>
      </c>
      <c r="E52" s="236"/>
      <c r="G52" s="236"/>
      <c r="I52" s="236"/>
      <c r="K52" s="236">
        <v>0.48499999999999999</v>
      </c>
      <c r="L52" s="235">
        <v>0.66666700000000001</v>
      </c>
      <c r="M52" s="236"/>
      <c r="O52" s="236"/>
      <c r="Q52" s="236"/>
      <c r="S52" s="236"/>
      <c r="U52" s="236"/>
      <c r="W52" s="236"/>
      <c r="Y52" s="236"/>
    </row>
    <row r="53" spans="1:36">
      <c r="C53" s="234" t="s">
        <v>281</v>
      </c>
      <c r="D53" s="235">
        <v>0.30303000000000002</v>
      </c>
      <c r="E53" s="236" t="s">
        <v>281</v>
      </c>
      <c r="G53" s="236" t="s">
        <v>281</v>
      </c>
      <c r="I53" s="236" t="s">
        <v>281</v>
      </c>
      <c r="K53" s="236">
        <v>0.68</v>
      </c>
      <c r="L53" s="235">
        <v>0.33333299999999999</v>
      </c>
      <c r="M53" s="236">
        <v>0.68</v>
      </c>
      <c r="O53" s="236">
        <v>0.68</v>
      </c>
      <c r="Q53" s="236">
        <v>0.68</v>
      </c>
      <c r="S53" s="236">
        <v>0.68</v>
      </c>
      <c r="U53" s="236">
        <v>0.68</v>
      </c>
      <c r="W53" s="236">
        <v>0.68</v>
      </c>
      <c r="Y53" s="236">
        <v>0.68</v>
      </c>
    </row>
    <row r="54" spans="1:36" s="227" customFormat="1" ht="15.75" customHeight="1">
      <c r="A54" s="221"/>
      <c r="B54" s="232"/>
      <c r="C54" s="232"/>
      <c r="D54" s="228"/>
      <c r="E54" s="232"/>
      <c r="F54" s="228"/>
      <c r="G54" s="237"/>
      <c r="H54" s="228"/>
      <c r="I54" s="232"/>
      <c r="J54" s="228"/>
      <c r="K54" s="232"/>
      <c r="L54" s="228"/>
      <c r="M54" s="232"/>
      <c r="N54" s="228"/>
      <c r="O54" s="232"/>
      <c r="P54" s="228"/>
      <c r="Q54" s="232"/>
      <c r="R54" s="228"/>
      <c r="S54" s="232"/>
      <c r="T54" s="228"/>
      <c r="U54" s="232"/>
      <c r="V54" s="228"/>
      <c r="W54" s="232"/>
      <c r="X54" s="218"/>
      <c r="Y54" s="232"/>
      <c r="Z54" s="233"/>
      <c r="AA54" s="220"/>
      <c r="AB54" s="225"/>
      <c r="AC54" s="224"/>
      <c r="AD54" s="225"/>
      <c r="AE54" s="226"/>
      <c r="AF54" s="225"/>
      <c r="AG54" s="225"/>
      <c r="AH54" s="225"/>
      <c r="AI54" s="225"/>
      <c r="AJ54" s="225"/>
    </row>
    <row r="55" spans="1:36" s="227" customFormat="1" ht="15.75" customHeight="1">
      <c r="A55" s="221"/>
      <c r="B55" s="232"/>
      <c r="C55" s="232"/>
      <c r="D55" s="228"/>
      <c r="E55" s="232"/>
      <c r="F55" s="228"/>
      <c r="G55" s="232"/>
      <c r="H55" s="228"/>
      <c r="I55" s="232"/>
      <c r="J55" s="228"/>
      <c r="K55" s="232"/>
      <c r="L55" s="228"/>
      <c r="M55" s="232"/>
      <c r="N55" s="228"/>
      <c r="O55" s="232"/>
      <c r="P55" s="228"/>
      <c r="Q55" s="232"/>
      <c r="R55" s="228"/>
      <c r="S55" s="232"/>
      <c r="T55" s="228"/>
      <c r="U55" s="232"/>
      <c r="V55" s="228"/>
      <c r="W55" s="232"/>
      <c r="X55" s="218"/>
      <c r="Y55" s="232"/>
      <c r="Z55" s="233"/>
      <c r="AA55" s="220"/>
      <c r="AB55" s="225"/>
      <c r="AC55" s="224"/>
      <c r="AD55" s="225"/>
      <c r="AE55" s="226"/>
      <c r="AF55" s="225"/>
      <c r="AG55" s="225"/>
      <c r="AH55" s="225"/>
      <c r="AI55" s="225"/>
      <c r="AJ55" s="225"/>
    </row>
    <row r="56" spans="1:36" s="227" customFormat="1" ht="15.75" customHeight="1">
      <c r="A56" s="206" t="s">
        <v>282</v>
      </c>
      <c r="B56" s="222"/>
      <c r="C56" s="222"/>
      <c r="D56" s="224"/>
      <c r="E56" s="222"/>
      <c r="F56" s="224"/>
      <c r="G56" s="222"/>
      <c r="H56" s="224"/>
      <c r="I56" s="222"/>
      <c r="J56" s="224"/>
      <c r="K56" s="222"/>
      <c r="L56" s="224"/>
      <c r="M56" s="222"/>
      <c r="N56" s="224"/>
      <c r="O56" s="222"/>
      <c r="P56" s="224"/>
      <c r="Q56" s="222"/>
      <c r="R56" s="224"/>
      <c r="S56" s="222"/>
      <c r="T56" s="224"/>
      <c r="U56" s="222"/>
      <c r="V56" s="224"/>
      <c r="W56" s="222"/>
      <c r="X56" s="223"/>
      <c r="Y56" s="222"/>
      <c r="Z56" s="223"/>
      <c r="AA56" s="220"/>
      <c r="AB56" s="224"/>
      <c r="AC56" s="224"/>
      <c r="AD56" s="226"/>
      <c r="AE56" s="225"/>
      <c r="AF56" s="225"/>
      <c r="AG56" s="225"/>
      <c r="AH56" s="225"/>
      <c r="AI56" s="225"/>
      <c r="AJ56" s="225"/>
    </row>
    <row r="57" spans="1:36" s="217" customFormat="1" ht="18" customHeight="1">
      <c r="A57" s="212"/>
      <c r="D57" s="214"/>
      <c r="F57" s="214"/>
      <c r="H57" s="214"/>
      <c r="J57" s="214"/>
      <c r="L57" s="214"/>
      <c r="N57" s="214"/>
      <c r="P57" s="214"/>
      <c r="R57" s="214"/>
      <c r="T57" s="214"/>
      <c r="V57" s="214"/>
      <c r="X57" s="214"/>
      <c r="Z57" s="214"/>
      <c r="AA57" s="220"/>
      <c r="AB57" s="210"/>
      <c r="AC57" s="210"/>
      <c r="AD57" s="215"/>
      <c r="AE57" s="209"/>
      <c r="AF57" s="209"/>
      <c r="AG57" s="216"/>
      <c r="AH57" s="216"/>
      <c r="AI57" s="216"/>
      <c r="AJ57" s="216"/>
    </row>
    <row r="58" spans="1:36" s="217" customFormat="1" ht="18" customHeight="1">
      <c r="A58" s="212"/>
      <c r="B58" t="s">
        <v>238</v>
      </c>
      <c r="C58" s="219">
        <v>35965</v>
      </c>
      <c r="D58" s="218">
        <v>24312.34</v>
      </c>
      <c r="E58" s="219">
        <f t="shared" ref="E58:G60" si="5">F58/$E$105</f>
        <v>34403.997005988022</v>
      </c>
      <c r="F58" s="218">
        <v>22981.87</v>
      </c>
      <c r="G58" s="219">
        <f t="shared" si="5"/>
        <v>32417.005988023953</v>
      </c>
      <c r="H58" s="218">
        <v>21654.560000000001</v>
      </c>
      <c r="I58" s="219">
        <f t="shared" ref="I58:I60" si="6">J58/$E$105</f>
        <v>29397.005988023953</v>
      </c>
      <c r="J58" s="218">
        <v>19637.2</v>
      </c>
      <c r="K58" s="219">
        <f t="shared" ref="K58:K60" si="7">L58/$E$105</f>
        <v>23271.002994011975</v>
      </c>
      <c r="L58" s="218">
        <v>15545.03</v>
      </c>
      <c r="M58" s="219">
        <f t="shared" ref="M58:M60" si="8">N58/$E$105</f>
        <v>21135</v>
      </c>
      <c r="N58" s="218">
        <v>14118.18</v>
      </c>
      <c r="O58" s="219">
        <f t="shared" ref="O58:O60" si="9">P58/$E$105</f>
        <v>24567.994011976043</v>
      </c>
      <c r="P58" s="218">
        <v>16411.419999999998</v>
      </c>
      <c r="Q58" s="219">
        <f t="shared" ref="Q58:Q60" si="10">R58/$E$105</f>
        <v>26527.994011976047</v>
      </c>
      <c r="R58" s="218">
        <v>17720.7</v>
      </c>
      <c r="S58" s="219">
        <f t="shared" ref="S58:S60" si="11">T58/$E$105</f>
        <v>23532.994011976047</v>
      </c>
      <c r="T58" s="218">
        <v>15720.04</v>
      </c>
      <c r="U58" s="219">
        <f t="shared" ref="U58:U60" si="12">V58/$E$105</f>
        <v>22683.997005988022</v>
      </c>
      <c r="V58" s="218">
        <v>15152.91</v>
      </c>
      <c r="W58" s="219">
        <f t="shared" ref="W58:Y60" si="13">X58/$E$105</f>
        <v>26756.002994011971</v>
      </c>
      <c r="X58" s="218">
        <v>17873.009999999998</v>
      </c>
      <c r="Y58" s="219">
        <f t="shared" si="13"/>
        <v>29832.00598802395</v>
      </c>
      <c r="Z58" s="218">
        <v>19927.78</v>
      </c>
      <c r="AA58" s="220"/>
      <c r="AB58" s="210"/>
      <c r="AC58" s="210"/>
      <c r="AD58" s="215"/>
      <c r="AE58" s="209"/>
      <c r="AF58" s="209"/>
      <c r="AG58" s="216"/>
      <c r="AH58" s="216"/>
      <c r="AI58" s="216"/>
      <c r="AJ58" s="216"/>
    </row>
    <row r="59" spans="1:36" s="217" customFormat="1" ht="18" customHeight="1">
      <c r="A59" s="212"/>
      <c r="B59" t="s">
        <v>239</v>
      </c>
      <c r="C59" s="219">
        <v>32734</v>
      </c>
      <c r="D59" s="218">
        <v>22128.18</v>
      </c>
      <c r="E59" s="219">
        <f t="shared" si="5"/>
        <v>25547.994011976047</v>
      </c>
      <c r="F59" s="218">
        <v>17066.060000000001</v>
      </c>
      <c r="G59" s="219">
        <f t="shared" si="5"/>
        <v>24472.994011976047</v>
      </c>
      <c r="H59" s="218">
        <v>16347.96</v>
      </c>
      <c r="I59" s="219">
        <f t="shared" si="6"/>
        <v>24969.999999999996</v>
      </c>
      <c r="J59" s="218">
        <v>16679.96</v>
      </c>
      <c r="K59" s="219">
        <f t="shared" si="7"/>
        <v>22037.994011976047</v>
      </c>
      <c r="L59" s="218">
        <v>14721.38</v>
      </c>
      <c r="M59" s="219">
        <f t="shared" si="8"/>
        <v>24479.999999999996</v>
      </c>
      <c r="N59" s="218">
        <v>16352.64</v>
      </c>
      <c r="O59" s="219">
        <f t="shared" si="9"/>
        <v>27920</v>
      </c>
      <c r="P59" s="218">
        <v>18650.560000000001</v>
      </c>
      <c r="Q59" s="219">
        <f t="shared" si="10"/>
        <v>27332.00598802395</v>
      </c>
      <c r="R59" s="218">
        <v>18257.78</v>
      </c>
      <c r="S59" s="219">
        <f t="shared" si="11"/>
        <v>23900</v>
      </c>
      <c r="T59" s="218">
        <v>15965.2</v>
      </c>
      <c r="U59" s="219">
        <f t="shared" si="12"/>
        <v>22117.00598802395</v>
      </c>
      <c r="V59" s="218">
        <v>14774.16</v>
      </c>
      <c r="W59" s="219">
        <f t="shared" si="13"/>
        <v>22942.00598802395</v>
      </c>
      <c r="X59" s="218">
        <v>15325.26</v>
      </c>
      <c r="Y59" s="219">
        <f t="shared" si="13"/>
        <v>25168.997005988022</v>
      </c>
      <c r="Z59" s="218">
        <v>16812.89</v>
      </c>
      <c r="AA59" s="220"/>
      <c r="AB59" s="210"/>
      <c r="AC59" s="210"/>
      <c r="AD59" s="215"/>
      <c r="AE59" s="209"/>
      <c r="AF59" s="209"/>
      <c r="AG59" s="216"/>
      <c r="AH59" s="216"/>
      <c r="AI59" s="216"/>
      <c r="AJ59" s="216"/>
    </row>
    <row r="60" spans="1:36" s="217" customFormat="1" ht="18" customHeight="1">
      <c r="A60" s="212"/>
      <c r="B60" t="s">
        <v>240</v>
      </c>
      <c r="C60" s="219">
        <v>10650</v>
      </c>
      <c r="D60" s="218">
        <v>7199.4</v>
      </c>
      <c r="E60" s="219">
        <f t="shared" si="5"/>
        <v>10607.994011976049</v>
      </c>
      <c r="F60" s="218">
        <v>7086.14</v>
      </c>
      <c r="G60" s="219">
        <f t="shared" si="5"/>
        <v>10342.005988023951</v>
      </c>
      <c r="H60" s="218">
        <v>6908.46</v>
      </c>
      <c r="I60" s="219">
        <f t="shared" si="6"/>
        <v>9262.0059880239514</v>
      </c>
      <c r="J60" s="218">
        <v>6187.02</v>
      </c>
      <c r="K60" s="219">
        <f t="shared" si="7"/>
        <v>7766.0029940119748</v>
      </c>
      <c r="L60" s="218">
        <v>5187.6899999999996</v>
      </c>
      <c r="M60" s="219">
        <f t="shared" si="8"/>
        <v>7408.9970059880234</v>
      </c>
      <c r="N60" s="218">
        <v>4949.21</v>
      </c>
      <c r="O60" s="219">
        <f t="shared" si="9"/>
        <v>8362.0059880239514</v>
      </c>
      <c r="P60" s="218">
        <v>5585.82</v>
      </c>
      <c r="Q60" s="219">
        <f t="shared" si="10"/>
        <v>8921.0029940119748</v>
      </c>
      <c r="R60" s="218">
        <v>5959.23</v>
      </c>
      <c r="S60" s="219">
        <f t="shared" si="11"/>
        <v>7762.0059880239523</v>
      </c>
      <c r="T60" s="218">
        <v>5185.0200000000004</v>
      </c>
      <c r="U60" s="219">
        <f t="shared" si="12"/>
        <v>7825</v>
      </c>
      <c r="V60" s="218">
        <v>5227.1000000000004</v>
      </c>
      <c r="W60" s="219">
        <f t="shared" si="13"/>
        <v>9238.9970059880234</v>
      </c>
      <c r="X60" s="218">
        <v>6171.65</v>
      </c>
      <c r="Y60" s="219">
        <f t="shared" si="13"/>
        <v>9855</v>
      </c>
      <c r="Z60" s="218">
        <v>6583.14</v>
      </c>
      <c r="AA60" s="220"/>
      <c r="AB60" s="210"/>
      <c r="AC60" s="210"/>
      <c r="AD60" s="215"/>
      <c r="AE60" s="209"/>
      <c r="AF60" s="209"/>
      <c r="AG60" s="216"/>
      <c r="AH60" s="216"/>
      <c r="AI60" s="216"/>
      <c r="AJ60" s="216"/>
    </row>
    <row r="61" spans="1:36" s="217" customFormat="1" ht="18" customHeight="1">
      <c r="A61" s="212"/>
      <c r="B61" t="s">
        <v>241</v>
      </c>
      <c r="C61" s="219">
        <v>10605</v>
      </c>
      <c r="D61" s="218">
        <v>7168.9800000000005</v>
      </c>
      <c r="E61" s="219">
        <f>F61/$E$105</f>
        <v>10572.994011976047</v>
      </c>
      <c r="F61" s="218">
        <v>7062.76</v>
      </c>
      <c r="G61" s="219">
        <f>H61/$E$105</f>
        <v>9978.9970059880234</v>
      </c>
      <c r="H61" s="218">
        <v>6665.97</v>
      </c>
      <c r="I61" s="219">
        <f>J61/$E$105</f>
        <v>9091.0029940119748</v>
      </c>
      <c r="J61" s="218">
        <v>6072.79</v>
      </c>
      <c r="K61" s="219">
        <f>L61/$E$105</f>
        <v>9040</v>
      </c>
      <c r="L61" s="218">
        <v>6038.72</v>
      </c>
      <c r="M61" s="219">
        <f>N61/$E$105</f>
        <v>9436.0029940119748</v>
      </c>
      <c r="N61" s="218">
        <v>6303.25</v>
      </c>
      <c r="O61" s="219">
        <f>P61/$E$105</f>
        <v>10146.002994011975</v>
      </c>
      <c r="P61" s="218">
        <v>6777.53</v>
      </c>
      <c r="Q61" s="219">
        <f>R61/$E$105</f>
        <v>8777.0059880239514</v>
      </c>
      <c r="R61" s="218">
        <v>5863.04</v>
      </c>
      <c r="S61" s="219">
        <f>T61/$E$105</f>
        <v>8079.9999999999991</v>
      </c>
      <c r="T61" s="218">
        <v>5397.44</v>
      </c>
      <c r="U61" s="219">
        <f>V61/$E$105</f>
        <v>9026.0029940119748</v>
      </c>
      <c r="V61" s="218">
        <v>6029.37</v>
      </c>
      <c r="W61" s="219">
        <f>X61/$E$105</f>
        <v>9792.9940119760486</v>
      </c>
      <c r="X61" s="218">
        <v>6541.72</v>
      </c>
      <c r="Y61" s="219">
        <f>Z61/$E$105</f>
        <v>10306.002994011975</v>
      </c>
      <c r="Z61" s="218">
        <v>6884.41</v>
      </c>
      <c r="AA61" s="220"/>
      <c r="AB61" s="210"/>
      <c r="AC61" s="210"/>
      <c r="AD61" s="215"/>
      <c r="AE61" s="209"/>
      <c r="AF61" s="209"/>
      <c r="AG61" s="216"/>
      <c r="AH61" s="216"/>
      <c r="AI61" s="216"/>
      <c r="AJ61" s="216"/>
    </row>
    <row r="62" spans="1:36" s="217" customFormat="1" ht="18" customHeight="1">
      <c r="A62" s="212"/>
      <c r="B62" s="213"/>
      <c r="C62" s="213"/>
      <c r="D62" s="214"/>
      <c r="E62" s="213"/>
      <c r="F62" s="214"/>
      <c r="G62" s="213"/>
      <c r="H62" s="214"/>
      <c r="I62" s="213"/>
      <c r="J62" s="214"/>
      <c r="K62" s="213"/>
      <c r="M62" s="213"/>
      <c r="N62" s="214"/>
      <c r="O62" s="213"/>
      <c r="P62" s="214"/>
      <c r="Q62" s="213"/>
      <c r="R62" s="214"/>
      <c r="S62" s="213"/>
      <c r="T62" s="214"/>
      <c r="U62" s="213"/>
      <c r="V62" s="214"/>
      <c r="W62" s="213"/>
      <c r="X62" s="214"/>
      <c r="Y62" s="213"/>
      <c r="Z62" s="214"/>
      <c r="AA62" s="220"/>
      <c r="AB62" s="210"/>
      <c r="AC62" s="210"/>
      <c r="AD62" s="215"/>
      <c r="AE62" s="209"/>
      <c r="AF62" s="209"/>
      <c r="AG62" s="216"/>
      <c r="AH62" s="216"/>
      <c r="AI62" s="216"/>
      <c r="AJ62" s="216"/>
    </row>
    <row r="63" spans="1:36" s="227" customFormat="1" ht="15.75" customHeight="1">
      <c r="A63" s="221"/>
      <c r="B63" s="222" t="s">
        <v>242</v>
      </c>
      <c r="C63" s="222"/>
      <c r="D63" s="223">
        <v>60808.9</v>
      </c>
      <c r="E63" s="222"/>
      <c r="F63" s="223">
        <v>54196.83</v>
      </c>
      <c r="G63" s="222"/>
      <c r="H63" s="223">
        <v>51576.95</v>
      </c>
      <c r="I63" s="222"/>
      <c r="J63" s="223">
        <v>48576.97</v>
      </c>
      <c r="K63" s="222"/>
      <c r="L63" s="223">
        <v>41492.82</v>
      </c>
      <c r="M63" s="222"/>
      <c r="N63" s="223">
        <v>41723.279999999999</v>
      </c>
      <c r="O63" s="222"/>
      <c r="P63" s="223">
        <v>47425.33</v>
      </c>
      <c r="Q63" s="222"/>
      <c r="R63" s="223">
        <v>47800.75</v>
      </c>
      <c r="S63" s="222"/>
      <c r="T63" s="223">
        <v>42267.7</v>
      </c>
      <c r="U63" s="222"/>
      <c r="V63" s="223">
        <v>41183.54</v>
      </c>
      <c r="W63" s="222"/>
      <c r="X63" s="223">
        <v>45911.64</v>
      </c>
      <c r="Y63" s="222"/>
      <c r="Z63" s="223">
        <f>SUM(Z58:Z62)</f>
        <v>50208.22</v>
      </c>
      <c r="AA63" s="223">
        <f>SUM(D63:Z63)</f>
        <v>573172.93000000005</v>
      </c>
      <c r="AB63" s="223">
        <f>AA63/12</f>
        <v>47764.410833333335</v>
      </c>
      <c r="AC63" s="225"/>
      <c r="AD63" s="226"/>
      <c r="AE63" s="225"/>
      <c r="AF63" s="225"/>
      <c r="AG63" s="225"/>
      <c r="AH63" s="225"/>
      <c r="AI63" s="225"/>
      <c r="AJ63" s="225"/>
    </row>
    <row r="64" spans="1:36" s="227" customFormat="1" ht="15.75" customHeight="1">
      <c r="A64" s="221"/>
      <c r="B64" s="222"/>
      <c r="C64" s="222"/>
      <c r="D64" s="218"/>
      <c r="E64" s="222"/>
      <c r="F64" s="218"/>
      <c r="G64" s="222"/>
      <c r="H64" s="218"/>
      <c r="I64" s="222"/>
      <c r="J64" s="218"/>
      <c r="K64" s="222"/>
      <c r="L64" s="218"/>
      <c r="M64" s="222"/>
      <c r="N64" s="218"/>
      <c r="O64" s="222"/>
      <c r="P64" s="218"/>
      <c r="Q64" s="222"/>
      <c r="R64" s="218"/>
      <c r="S64" s="222"/>
      <c r="T64" s="218"/>
      <c r="U64" s="222"/>
      <c r="V64" s="218"/>
      <c r="W64" s="222"/>
      <c r="X64" s="218"/>
      <c r="Y64" s="222"/>
      <c r="Z64" s="218"/>
      <c r="AA64" s="220"/>
      <c r="AB64" s="225"/>
      <c r="AC64" s="224"/>
      <c r="AD64" s="225"/>
      <c r="AE64" s="226"/>
      <c r="AF64" s="225"/>
      <c r="AG64" s="225"/>
      <c r="AH64" s="225"/>
      <c r="AI64" s="225"/>
      <c r="AJ64" s="225"/>
    </row>
    <row r="65" spans="1:36" s="227" customFormat="1" ht="15.75" customHeight="1">
      <c r="A65" s="221"/>
      <c r="B65" t="s">
        <v>243</v>
      </c>
      <c r="C65"/>
      <c r="D65" s="218">
        <v>296.02</v>
      </c>
      <c r="E65"/>
      <c r="F65" s="218">
        <v>292.56</v>
      </c>
      <c r="G65"/>
      <c r="H65" s="218">
        <v>292.56</v>
      </c>
      <c r="I65"/>
      <c r="J65" s="218">
        <v>292.56</v>
      </c>
      <c r="K65"/>
      <c r="L65" s="218">
        <v>292.56</v>
      </c>
      <c r="M65"/>
      <c r="N65" s="218">
        <v>292.56</v>
      </c>
      <c r="O65"/>
      <c r="P65" s="218">
        <v>292.56</v>
      </c>
      <c r="Q65"/>
      <c r="R65" s="218">
        <v>292.56</v>
      </c>
      <c r="S65"/>
      <c r="T65" s="218">
        <v>292.56</v>
      </c>
      <c r="U65"/>
      <c r="V65" s="218">
        <v>292.56</v>
      </c>
      <c r="W65"/>
      <c r="X65" s="218">
        <v>292.56</v>
      </c>
      <c r="Y65"/>
      <c r="Z65" s="218">
        <v>292.56</v>
      </c>
      <c r="AA65" s="220"/>
      <c r="AB65" s="225"/>
      <c r="AC65" s="224"/>
      <c r="AD65" s="225"/>
      <c r="AE65" s="226"/>
      <c r="AF65" s="225"/>
      <c r="AG65" s="225"/>
      <c r="AH65" s="225"/>
      <c r="AI65" s="225"/>
      <c r="AJ65" s="225"/>
    </row>
    <row r="66" spans="1:36" s="227" customFormat="1" ht="15.75" customHeight="1">
      <c r="A66" s="221"/>
      <c r="B66" t="s">
        <v>244</v>
      </c>
      <c r="C66"/>
      <c r="D66" s="218">
        <v>296.02</v>
      </c>
      <c r="E66"/>
      <c r="F66" s="218">
        <v>292.56</v>
      </c>
      <c r="G66"/>
      <c r="H66" s="218">
        <v>292.56</v>
      </c>
      <c r="I66"/>
      <c r="J66" s="218">
        <v>292.56</v>
      </c>
      <c r="K66"/>
      <c r="L66" s="218">
        <v>292.56</v>
      </c>
      <c r="M66"/>
      <c r="N66" s="218">
        <v>292.56</v>
      </c>
      <c r="O66"/>
      <c r="P66" s="218">
        <v>292.56</v>
      </c>
      <c r="Q66"/>
      <c r="R66" s="218">
        <v>292.56</v>
      </c>
      <c r="S66"/>
      <c r="T66" s="218">
        <v>292.56</v>
      </c>
      <c r="U66"/>
      <c r="V66" s="218">
        <v>292.56</v>
      </c>
      <c r="W66"/>
      <c r="X66" s="218">
        <v>292.56</v>
      </c>
      <c r="Y66"/>
      <c r="Z66" s="218">
        <v>292.56</v>
      </c>
      <c r="AA66" s="220"/>
      <c r="AB66" s="225"/>
      <c r="AC66" s="224"/>
      <c r="AD66" s="225"/>
      <c r="AE66" s="226"/>
      <c r="AF66" s="225"/>
      <c r="AG66" s="225"/>
      <c r="AH66" s="225"/>
      <c r="AI66" s="225"/>
      <c r="AJ66" s="225"/>
    </row>
    <row r="67" spans="1:36" s="227" customFormat="1" ht="15.75" customHeight="1">
      <c r="A67" s="221"/>
      <c r="B67" t="s">
        <v>245</v>
      </c>
      <c r="C67"/>
      <c r="D67" s="218">
        <v>296.02</v>
      </c>
      <c r="E67"/>
      <c r="F67" s="218">
        <v>292.56</v>
      </c>
      <c r="G67"/>
      <c r="H67" s="218">
        <v>292.56</v>
      </c>
      <c r="I67"/>
      <c r="J67" s="218">
        <v>292.56</v>
      </c>
      <c r="K67"/>
      <c r="L67" s="218">
        <v>292.56</v>
      </c>
      <c r="M67"/>
      <c r="N67" s="218">
        <v>292.56</v>
      </c>
      <c r="O67"/>
      <c r="P67" s="218">
        <v>292.56</v>
      </c>
      <c r="Q67"/>
      <c r="R67" s="218">
        <v>292.56</v>
      </c>
      <c r="S67"/>
      <c r="T67" s="218">
        <v>292.56</v>
      </c>
      <c r="U67"/>
      <c r="V67" s="218">
        <v>292.56</v>
      </c>
      <c r="W67"/>
      <c r="X67" s="218">
        <v>292.56</v>
      </c>
      <c r="Y67"/>
      <c r="Z67" s="218">
        <v>292.56</v>
      </c>
      <c r="AA67" s="220"/>
      <c r="AB67" s="225"/>
      <c r="AC67" s="224"/>
      <c r="AD67" s="225"/>
      <c r="AE67" s="226"/>
      <c r="AF67" s="225"/>
      <c r="AG67" s="225"/>
      <c r="AH67" s="225"/>
      <c r="AI67" s="225"/>
      <c r="AJ67" s="225"/>
    </row>
    <row r="68" spans="1:36" s="227" customFormat="1" ht="15.75" customHeight="1">
      <c r="A68" s="221"/>
      <c r="B68" t="s">
        <v>246</v>
      </c>
      <c r="C68"/>
      <c r="D68" s="218">
        <v>296.02</v>
      </c>
      <c r="E68"/>
      <c r="F68" s="218">
        <v>292.56</v>
      </c>
      <c r="G68"/>
      <c r="H68" s="218">
        <v>292.56</v>
      </c>
      <c r="I68"/>
      <c r="J68" s="218">
        <v>292.56</v>
      </c>
      <c r="K68"/>
      <c r="L68" s="218">
        <v>292.56</v>
      </c>
      <c r="M68"/>
      <c r="N68" s="218">
        <v>292.56</v>
      </c>
      <c r="O68"/>
      <c r="P68" s="218">
        <v>292.56</v>
      </c>
      <c r="Q68"/>
      <c r="R68" s="218">
        <v>292.56</v>
      </c>
      <c r="S68"/>
      <c r="T68" s="218">
        <v>292.56</v>
      </c>
      <c r="U68"/>
      <c r="V68" s="218">
        <v>292.56</v>
      </c>
      <c r="W68"/>
      <c r="X68" s="218">
        <v>292.56</v>
      </c>
      <c r="Y68"/>
      <c r="Z68" s="218">
        <v>292.56</v>
      </c>
      <c r="AA68" s="220"/>
      <c r="AB68" s="225"/>
      <c r="AC68" s="224"/>
      <c r="AD68" s="225"/>
      <c r="AE68" s="226"/>
      <c r="AF68" s="225"/>
      <c r="AG68" s="225"/>
      <c r="AH68" s="225"/>
      <c r="AI68" s="225"/>
      <c r="AJ68" s="225"/>
    </row>
    <row r="69" spans="1:36" s="227" customFormat="1" ht="15.75" customHeight="1">
      <c r="A69" s="221"/>
      <c r="B69" t="s">
        <v>247</v>
      </c>
      <c r="C69"/>
      <c r="D69" s="218">
        <v>296.02</v>
      </c>
      <c r="E69"/>
      <c r="F69" s="218">
        <v>292.56</v>
      </c>
      <c r="G69"/>
      <c r="H69" s="218">
        <v>292.56</v>
      </c>
      <c r="I69"/>
      <c r="J69" s="218">
        <v>292.56</v>
      </c>
      <c r="K69"/>
      <c r="L69" s="218">
        <v>292.56</v>
      </c>
      <c r="M69"/>
      <c r="N69" s="218">
        <v>292.56</v>
      </c>
      <c r="O69"/>
      <c r="P69" s="218">
        <v>292.56</v>
      </c>
      <c r="Q69"/>
      <c r="R69" s="218">
        <v>292.56</v>
      </c>
      <c r="S69"/>
      <c r="T69" s="218">
        <v>292.56</v>
      </c>
      <c r="U69"/>
      <c r="V69" s="218">
        <v>292.56</v>
      </c>
      <c r="W69"/>
      <c r="X69" s="218">
        <v>292.56</v>
      </c>
      <c r="Y69"/>
      <c r="Z69" s="218">
        <v>292.56</v>
      </c>
      <c r="AA69" s="220"/>
      <c r="AB69" s="225"/>
      <c r="AC69" s="224"/>
      <c r="AD69" s="225"/>
      <c r="AE69" s="226"/>
      <c r="AF69" s="225"/>
      <c r="AG69" s="225"/>
      <c r="AH69" s="225"/>
      <c r="AI69" s="225"/>
      <c r="AJ69" s="225"/>
    </row>
    <row r="70" spans="1:36" s="227" customFormat="1" ht="15.75" customHeight="1">
      <c r="A70" s="221"/>
      <c r="B70" t="s">
        <v>248</v>
      </c>
      <c r="C70"/>
      <c r="D70" s="218">
        <v>296.02</v>
      </c>
      <c r="E70"/>
      <c r="F70" s="218">
        <v>292.56</v>
      </c>
      <c r="G70"/>
      <c r="H70" s="218">
        <v>292.56</v>
      </c>
      <c r="I70"/>
      <c r="J70" s="218">
        <v>292.56</v>
      </c>
      <c r="K70"/>
      <c r="L70" s="218">
        <v>292.56</v>
      </c>
      <c r="M70"/>
      <c r="N70" s="218">
        <v>292.56</v>
      </c>
      <c r="O70"/>
      <c r="P70" s="218">
        <v>292.56</v>
      </c>
      <c r="Q70"/>
      <c r="R70" s="218">
        <v>292.56</v>
      </c>
      <c r="S70"/>
      <c r="T70" s="218">
        <v>292.56</v>
      </c>
      <c r="U70"/>
      <c r="V70" s="218">
        <v>292.56</v>
      </c>
      <c r="W70"/>
      <c r="X70" s="218">
        <v>292.56</v>
      </c>
      <c r="Y70"/>
      <c r="Z70" s="218">
        <v>292.56</v>
      </c>
      <c r="AA70" s="220"/>
      <c r="AB70" s="225"/>
      <c r="AC70" s="224"/>
      <c r="AD70" s="225"/>
      <c r="AE70" s="226"/>
      <c r="AF70" s="225"/>
      <c r="AG70" s="225"/>
      <c r="AH70" s="225"/>
      <c r="AI70" s="225"/>
      <c r="AJ70" s="225"/>
    </row>
    <row r="71" spans="1:36" s="227" customFormat="1" ht="15.75" customHeight="1">
      <c r="A71" s="221"/>
      <c r="B71" t="s">
        <v>249</v>
      </c>
      <c r="C71"/>
      <c r="D71" s="218">
        <v>296.02</v>
      </c>
      <c r="E71"/>
      <c r="F71" s="218">
        <v>292.56</v>
      </c>
      <c r="G71"/>
      <c r="H71" s="218">
        <v>292.56</v>
      </c>
      <c r="I71"/>
      <c r="J71" s="218">
        <v>292.56</v>
      </c>
      <c r="K71"/>
      <c r="L71" s="218">
        <v>292.56</v>
      </c>
      <c r="M71"/>
      <c r="N71" s="218">
        <v>292.56</v>
      </c>
      <c r="O71"/>
      <c r="P71" s="218">
        <v>292.56</v>
      </c>
      <c r="Q71"/>
      <c r="R71" s="218">
        <v>292.56</v>
      </c>
      <c r="S71"/>
      <c r="T71" s="218">
        <v>292.56</v>
      </c>
      <c r="U71"/>
      <c r="V71" s="218">
        <v>292.56</v>
      </c>
      <c r="W71"/>
      <c r="X71" s="218">
        <v>292.56</v>
      </c>
      <c r="Y71"/>
      <c r="Z71" s="218">
        <v>292.56</v>
      </c>
      <c r="AA71" s="220"/>
      <c r="AB71" s="225"/>
      <c r="AC71" s="224"/>
      <c r="AD71" s="225"/>
      <c r="AE71" s="226"/>
      <c r="AF71" s="225"/>
      <c r="AG71" s="225"/>
      <c r="AH71" s="225"/>
      <c r="AI71" s="225"/>
      <c r="AJ71" s="225"/>
    </row>
    <row r="72" spans="1:36" s="227" customFormat="1" ht="15.75" customHeight="1">
      <c r="A72" s="221"/>
      <c r="B72" t="s">
        <v>250</v>
      </c>
      <c r="C72"/>
      <c r="D72" s="218">
        <v>296.02</v>
      </c>
      <c r="E72"/>
      <c r="F72" s="218">
        <v>292.56</v>
      </c>
      <c r="G72"/>
      <c r="H72" s="218">
        <v>292.56</v>
      </c>
      <c r="I72"/>
      <c r="J72" s="218">
        <v>292.56</v>
      </c>
      <c r="K72"/>
      <c r="L72" s="218">
        <v>292.56</v>
      </c>
      <c r="M72"/>
      <c r="N72" s="218">
        <v>292.56</v>
      </c>
      <c r="O72"/>
      <c r="P72" s="218">
        <v>292.56</v>
      </c>
      <c r="Q72"/>
      <c r="R72" s="218">
        <v>292.56</v>
      </c>
      <c r="S72"/>
      <c r="T72" s="218">
        <v>292.56</v>
      </c>
      <c r="U72"/>
      <c r="V72" s="218">
        <v>292.56</v>
      </c>
      <c r="W72"/>
      <c r="X72" s="218">
        <v>292.56</v>
      </c>
      <c r="Y72"/>
      <c r="Z72" s="218">
        <v>292.56</v>
      </c>
      <c r="AA72" s="220"/>
      <c r="AB72" s="225"/>
      <c r="AC72" s="224"/>
      <c r="AD72" s="225"/>
      <c r="AE72" s="226"/>
      <c r="AF72" s="225"/>
      <c r="AG72" s="225"/>
      <c r="AH72" s="225"/>
      <c r="AI72" s="225"/>
      <c r="AJ72" s="225"/>
    </row>
    <row r="73" spans="1:36" s="227" customFormat="1" ht="15.75" customHeight="1">
      <c r="A73" s="221"/>
      <c r="B73" t="s">
        <v>251</v>
      </c>
      <c r="C73"/>
      <c r="D73" s="218">
        <v>296.02</v>
      </c>
      <c r="E73"/>
      <c r="F73" s="218">
        <v>292.56</v>
      </c>
      <c r="G73"/>
      <c r="H73" s="218">
        <v>292.56</v>
      </c>
      <c r="I73"/>
      <c r="J73" s="218">
        <v>292.56</v>
      </c>
      <c r="K73"/>
      <c r="L73" s="218">
        <v>292.56</v>
      </c>
      <c r="M73"/>
      <c r="N73" s="218">
        <v>292.56</v>
      </c>
      <c r="O73"/>
      <c r="P73" s="218">
        <v>292.56</v>
      </c>
      <c r="Q73"/>
      <c r="R73" s="218">
        <v>292.56</v>
      </c>
      <c r="S73"/>
      <c r="T73" s="218">
        <v>292.56</v>
      </c>
      <c r="U73"/>
      <c r="V73" s="218">
        <v>292.56</v>
      </c>
      <c r="W73"/>
      <c r="X73" s="218">
        <v>292.56</v>
      </c>
      <c r="Y73"/>
      <c r="Z73" s="218">
        <v>292.56</v>
      </c>
      <c r="AA73" s="220"/>
      <c r="AB73" s="225"/>
      <c r="AC73" s="224"/>
      <c r="AD73" s="225"/>
      <c r="AE73" s="226"/>
      <c r="AF73" s="225"/>
      <c r="AG73" s="225"/>
      <c r="AH73" s="225"/>
      <c r="AI73" s="225"/>
      <c r="AJ73" s="225"/>
    </row>
    <row r="74" spans="1:36" s="227" customFormat="1" ht="15.75" customHeight="1">
      <c r="A74" s="221"/>
      <c r="B74" t="s">
        <v>252</v>
      </c>
      <c r="C74"/>
      <c r="D74" s="218">
        <v>296.02</v>
      </c>
      <c r="E74"/>
      <c r="F74" s="218">
        <v>292.56</v>
      </c>
      <c r="G74"/>
      <c r="H74" s="218">
        <v>292.56</v>
      </c>
      <c r="I74"/>
      <c r="J74" s="218">
        <v>292.56</v>
      </c>
      <c r="K74"/>
      <c r="L74" s="218">
        <v>292.56</v>
      </c>
      <c r="M74"/>
      <c r="N74" s="218">
        <v>292.56</v>
      </c>
      <c r="O74"/>
      <c r="P74" s="218">
        <v>292.56</v>
      </c>
      <c r="Q74"/>
      <c r="R74" s="218">
        <v>292.56</v>
      </c>
      <c r="S74"/>
      <c r="T74" s="218">
        <v>292.56</v>
      </c>
      <c r="U74"/>
      <c r="V74" s="218">
        <v>292.56</v>
      </c>
      <c r="W74"/>
      <c r="X74" s="218">
        <v>292.56</v>
      </c>
      <c r="Y74"/>
      <c r="Z74" s="218">
        <v>292.56</v>
      </c>
      <c r="AA74" s="220"/>
      <c r="AB74" s="225"/>
      <c r="AC74" s="224"/>
      <c r="AD74" s="225"/>
      <c r="AE74" s="226"/>
      <c r="AF74" s="225"/>
      <c r="AG74" s="225"/>
      <c r="AH74" s="225"/>
      <c r="AI74" s="225"/>
      <c r="AJ74" s="225"/>
    </row>
    <row r="75" spans="1:36" s="227" customFormat="1" ht="15.75" customHeight="1">
      <c r="A75" s="221"/>
      <c r="B75" t="s">
        <v>253</v>
      </c>
      <c r="C75"/>
      <c r="D75" s="218">
        <v>296.02</v>
      </c>
      <c r="E75"/>
      <c r="F75" s="218">
        <v>292.56</v>
      </c>
      <c r="G75"/>
      <c r="H75" s="218">
        <v>292.56</v>
      </c>
      <c r="I75"/>
      <c r="J75" s="218">
        <v>292.56</v>
      </c>
      <c r="K75"/>
      <c r="L75" s="218">
        <v>292.56</v>
      </c>
      <c r="M75"/>
      <c r="N75" s="218">
        <v>292.56</v>
      </c>
      <c r="O75"/>
      <c r="P75" s="218">
        <v>292.56</v>
      </c>
      <c r="Q75"/>
      <c r="R75" s="218">
        <v>292.56</v>
      </c>
      <c r="S75"/>
      <c r="T75" s="218">
        <v>292.56</v>
      </c>
      <c r="U75"/>
      <c r="V75" s="218">
        <v>292.56</v>
      </c>
      <c r="W75"/>
      <c r="X75" s="218">
        <v>292.56</v>
      </c>
      <c r="Y75"/>
      <c r="Z75" s="218">
        <v>292.56</v>
      </c>
      <c r="AA75" s="220"/>
      <c r="AB75" s="225"/>
      <c r="AC75" s="224"/>
      <c r="AD75" s="225"/>
      <c r="AE75" s="226"/>
      <c r="AF75" s="225"/>
      <c r="AG75" s="225"/>
      <c r="AH75" s="225"/>
      <c r="AI75" s="225"/>
      <c r="AJ75" s="225"/>
    </row>
    <row r="76" spans="1:36" s="227" customFormat="1" ht="15.75" customHeight="1">
      <c r="A76" s="221"/>
      <c r="B76" t="s">
        <v>254</v>
      </c>
      <c r="C76"/>
      <c r="D76" s="218">
        <v>296.02</v>
      </c>
      <c r="E76"/>
      <c r="F76" s="218">
        <v>292.56</v>
      </c>
      <c r="G76"/>
      <c r="H76" s="218">
        <v>292.56</v>
      </c>
      <c r="I76"/>
      <c r="J76" s="218">
        <v>292.56</v>
      </c>
      <c r="K76"/>
      <c r="L76" s="218">
        <v>292.56</v>
      </c>
      <c r="M76"/>
      <c r="N76" s="218">
        <v>292.56</v>
      </c>
      <c r="O76"/>
      <c r="P76" s="218">
        <v>292.56</v>
      </c>
      <c r="Q76"/>
      <c r="R76" s="218">
        <v>292.56</v>
      </c>
      <c r="S76"/>
      <c r="T76" s="218">
        <v>292.56</v>
      </c>
      <c r="U76"/>
      <c r="V76" s="218">
        <v>292.56</v>
      </c>
      <c r="W76"/>
      <c r="X76" s="218">
        <v>292.56</v>
      </c>
      <c r="Y76"/>
      <c r="Z76" s="218">
        <v>292.56</v>
      </c>
      <c r="AA76" s="220"/>
      <c r="AB76" s="225"/>
      <c r="AC76" s="224"/>
      <c r="AD76" s="225"/>
      <c r="AE76" s="226"/>
      <c r="AF76" s="225"/>
      <c r="AG76" s="225"/>
      <c r="AH76" s="225"/>
      <c r="AI76" s="225"/>
      <c r="AJ76" s="225"/>
    </row>
    <row r="77" spans="1:36" s="227" customFormat="1" ht="15.75" customHeight="1">
      <c r="A77" s="221"/>
      <c r="B77" t="s">
        <v>255</v>
      </c>
      <c r="C77"/>
      <c r="D77" s="218">
        <v>296.02</v>
      </c>
      <c r="E77"/>
      <c r="F77" s="218">
        <v>292.56</v>
      </c>
      <c r="G77"/>
      <c r="H77" s="218">
        <v>292.56</v>
      </c>
      <c r="I77"/>
      <c r="J77" s="218">
        <v>292.56</v>
      </c>
      <c r="K77"/>
      <c r="L77" s="218">
        <v>292.56</v>
      </c>
      <c r="M77"/>
      <c r="N77" s="218">
        <v>292.56</v>
      </c>
      <c r="O77"/>
      <c r="P77" s="218">
        <v>292.56</v>
      </c>
      <c r="Q77"/>
      <c r="R77" s="218">
        <v>292.56</v>
      </c>
      <c r="S77"/>
      <c r="T77" s="218">
        <v>292.56</v>
      </c>
      <c r="U77"/>
      <c r="V77" s="218">
        <v>292.56</v>
      </c>
      <c r="W77"/>
      <c r="X77" s="218">
        <v>292.56</v>
      </c>
      <c r="Y77"/>
      <c r="Z77" s="218">
        <v>292.56</v>
      </c>
      <c r="AA77" s="220"/>
      <c r="AB77" s="225"/>
      <c r="AC77" s="224"/>
      <c r="AD77" s="225"/>
      <c r="AE77" s="226"/>
      <c r="AF77" s="225"/>
      <c r="AG77" s="225"/>
      <c r="AH77" s="225"/>
      <c r="AI77" s="225"/>
      <c r="AJ77" s="225"/>
    </row>
    <row r="78" spans="1:36" s="227" customFormat="1" ht="15.75" customHeight="1">
      <c r="A78" s="221"/>
      <c r="B78" t="s">
        <v>256</v>
      </c>
      <c r="C78"/>
      <c r="D78" s="218">
        <v>296.02</v>
      </c>
      <c r="E78"/>
      <c r="F78" s="218">
        <v>292.56</v>
      </c>
      <c r="G78"/>
      <c r="H78" s="218">
        <v>292.56</v>
      </c>
      <c r="I78"/>
      <c r="J78" s="218">
        <v>292.56</v>
      </c>
      <c r="K78"/>
      <c r="L78" s="218">
        <v>292.56</v>
      </c>
      <c r="M78"/>
      <c r="N78" s="218">
        <v>292.56</v>
      </c>
      <c r="O78"/>
      <c r="P78" s="218">
        <v>292.56</v>
      </c>
      <c r="Q78"/>
      <c r="R78" s="218">
        <v>292.56</v>
      </c>
      <c r="S78"/>
      <c r="T78" s="218">
        <v>292.56</v>
      </c>
      <c r="U78"/>
      <c r="V78" s="218">
        <v>292.56</v>
      </c>
      <c r="W78"/>
      <c r="X78" s="218">
        <v>292.56</v>
      </c>
      <c r="Y78"/>
      <c r="Z78" s="218">
        <v>292.56</v>
      </c>
      <c r="AA78" s="220"/>
      <c r="AB78" s="225"/>
      <c r="AC78" s="224"/>
      <c r="AD78" s="225"/>
      <c r="AE78" s="226"/>
      <c r="AF78" s="225"/>
      <c r="AG78" s="225"/>
      <c r="AH78" s="225"/>
      <c r="AI78" s="225"/>
      <c r="AJ78" s="225"/>
    </row>
    <row r="79" spans="1:36" s="227" customFormat="1" ht="15.75" customHeight="1">
      <c r="A79" s="221"/>
      <c r="B79" t="s">
        <v>257</v>
      </c>
      <c r="C79"/>
      <c r="D79" s="218">
        <v>296.02</v>
      </c>
      <c r="E79"/>
      <c r="F79" s="218">
        <v>292.56</v>
      </c>
      <c r="G79"/>
      <c r="H79" s="218">
        <v>292.56</v>
      </c>
      <c r="I79"/>
      <c r="J79" s="218">
        <v>292.56</v>
      </c>
      <c r="K79"/>
      <c r="L79" s="218">
        <v>292.56</v>
      </c>
      <c r="M79"/>
      <c r="N79" s="218">
        <v>292.56</v>
      </c>
      <c r="O79"/>
      <c r="P79" s="218">
        <v>292.56</v>
      </c>
      <c r="Q79"/>
      <c r="R79" s="218">
        <v>292.56</v>
      </c>
      <c r="S79"/>
      <c r="T79" s="218">
        <v>292.56</v>
      </c>
      <c r="U79"/>
      <c r="V79" s="218">
        <v>292.56</v>
      </c>
      <c r="W79"/>
      <c r="X79" s="218">
        <v>292.56</v>
      </c>
      <c r="Y79"/>
      <c r="Z79" s="218">
        <v>292.56</v>
      </c>
      <c r="AA79" s="220"/>
      <c r="AB79" s="225"/>
      <c r="AC79" s="224"/>
      <c r="AD79" s="225"/>
      <c r="AE79" s="226"/>
      <c r="AF79" s="225"/>
      <c r="AG79" s="225"/>
      <c r="AH79" s="225"/>
      <c r="AI79" s="225"/>
      <c r="AJ79" s="225"/>
    </row>
    <row r="80" spans="1:36" s="227" customFormat="1" ht="15.75" customHeight="1">
      <c r="A80" s="221"/>
      <c r="B80" t="s">
        <v>258</v>
      </c>
      <c r="C80"/>
      <c r="D80" s="218">
        <v>296.02</v>
      </c>
      <c r="E80"/>
      <c r="F80" s="218">
        <v>292.56</v>
      </c>
      <c r="G80"/>
      <c r="H80" s="218">
        <v>292.56</v>
      </c>
      <c r="I80"/>
      <c r="J80" s="218">
        <v>292.56</v>
      </c>
      <c r="K80"/>
      <c r="L80" s="218">
        <v>292.56</v>
      </c>
      <c r="M80"/>
      <c r="N80" s="218">
        <v>292.56</v>
      </c>
      <c r="O80"/>
      <c r="P80" s="218">
        <v>292.56</v>
      </c>
      <c r="Q80"/>
      <c r="R80" s="218">
        <v>292.56</v>
      </c>
      <c r="S80"/>
      <c r="T80" s="218">
        <v>292.56</v>
      </c>
      <c r="U80"/>
      <c r="V80" s="218">
        <v>292.56</v>
      </c>
      <c r="W80"/>
      <c r="X80" s="218">
        <v>292.56</v>
      </c>
      <c r="Y80"/>
      <c r="Z80" s="218">
        <v>292.56</v>
      </c>
      <c r="AA80" s="220"/>
      <c r="AB80" s="225"/>
      <c r="AC80" s="224"/>
      <c r="AD80" s="225"/>
      <c r="AE80" s="226"/>
      <c r="AF80" s="225"/>
      <c r="AG80" s="225"/>
      <c r="AH80" s="225"/>
      <c r="AI80" s="225"/>
      <c r="AJ80" s="225"/>
    </row>
    <row r="81" spans="1:36" s="227" customFormat="1" ht="15.75" customHeight="1">
      <c r="A81" s="221"/>
      <c r="B81" t="s">
        <v>259</v>
      </c>
      <c r="C81"/>
      <c r="D81" s="218">
        <v>296.02</v>
      </c>
      <c r="E81"/>
      <c r="F81" s="218">
        <v>292.56</v>
      </c>
      <c r="G81"/>
      <c r="H81" s="218">
        <v>292.56</v>
      </c>
      <c r="I81"/>
      <c r="J81" s="218">
        <v>292.56</v>
      </c>
      <c r="K81"/>
      <c r="L81" s="218">
        <v>292.56</v>
      </c>
      <c r="M81"/>
      <c r="N81" s="218">
        <v>292.56</v>
      </c>
      <c r="O81"/>
      <c r="P81" s="218">
        <v>292.56</v>
      </c>
      <c r="Q81"/>
      <c r="R81" s="218">
        <v>292.56</v>
      </c>
      <c r="S81"/>
      <c r="T81" s="218">
        <v>292.56</v>
      </c>
      <c r="U81"/>
      <c r="V81" s="218">
        <v>292.56</v>
      </c>
      <c r="W81"/>
      <c r="X81" s="218">
        <v>292.56</v>
      </c>
      <c r="Y81"/>
      <c r="Z81" s="218">
        <v>292.56</v>
      </c>
      <c r="AA81" s="220"/>
      <c r="AB81" s="225"/>
      <c r="AC81" s="224"/>
      <c r="AD81" s="225"/>
      <c r="AE81" s="226"/>
      <c r="AF81" s="225"/>
      <c r="AG81" s="225"/>
      <c r="AH81" s="225"/>
      <c r="AI81" s="225"/>
      <c r="AJ81" s="225"/>
    </row>
    <row r="82" spans="1:36" s="227" customFormat="1" ht="15.75" customHeight="1">
      <c r="A82" s="221"/>
      <c r="B82" t="s">
        <v>260</v>
      </c>
      <c r="C82"/>
      <c r="D82" s="218">
        <v>296.02</v>
      </c>
      <c r="E82"/>
      <c r="F82" s="218">
        <v>292.56</v>
      </c>
      <c r="G82"/>
      <c r="H82" s="218">
        <v>292.56</v>
      </c>
      <c r="I82"/>
      <c r="J82" s="218">
        <v>292.56</v>
      </c>
      <c r="K82"/>
      <c r="L82" s="218">
        <v>292.56</v>
      </c>
      <c r="M82"/>
      <c r="N82" s="218">
        <v>292.56</v>
      </c>
      <c r="O82"/>
      <c r="P82" s="218">
        <v>292.56</v>
      </c>
      <c r="Q82"/>
      <c r="R82" s="218">
        <v>292.56</v>
      </c>
      <c r="S82"/>
      <c r="T82" s="218">
        <v>292.56</v>
      </c>
      <c r="U82"/>
      <c r="V82" s="218">
        <v>292.56</v>
      </c>
      <c r="W82"/>
      <c r="X82" s="218">
        <v>292.56</v>
      </c>
      <c r="Y82"/>
      <c r="Z82" s="218">
        <v>292.56</v>
      </c>
      <c r="AA82" s="220"/>
      <c r="AB82" s="225"/>
      <c r="AC82" s="224"/>
      <c r="AD82" s="225"/>
      <c r="AE82" s="226"/>
      <c r="AF82" s="225"/>
      <c r="AG82" s="225"/>
      <c r="AH82" s="225"/>
      <c r="AI82" s="225"/>
      <c r="AJ82" s="225"/>
    </row>
    <row r="83" spans="1:36" s="227" customFormat="1" ht="15.75" customHeight="1">
      <c r="A83" s="221"/>
      <c r="B83" t="s">
        <v>261</v>
      </c>
      <c r="C83"/>
      <c r="D83" s="218">
        <v>296.02</v>
      </c>
      <c r="E83"/>
      <c r="F83" s="218">
        <v>292.56</v>
      </c>
      <c r="G83"/>
      <c r="H83" s="218">
        <v>292.56</v>
      </c>
      <c r="I83"/>
      <c r="J83" s="218">
        <v>292.56</v>
      </c>
      <c r="K83"/>
      <c r="L83" s="218">
        <v>292.56</v>
      </c>
      <c r="M83"/>
      <c r="N83" s="218">
        <v>292.56</v>
      </c>
      <c r="O83"/>
      <c r="P83" s="218">
        <v>292.56</v>
      </c>
      <c r="Q83"/>
      <c r="R83" s="218">
        <v>292.56</v>
      </c>
      <c r="S83"/>
      <c r="T83" s="218">
        <v>292.56</v>
      </c>
      <c r="U83"/>
      <c r="V83" s="218">
        <v>292.56</v>
      </c>
      <c r="W83"/>
      <c r="X83" s="218">
        <v>292.56</v>
      </c>
      <c r="Y83"/>
      <c r="Z83" s="218">
        <v>292.56</v>
      </c>
      <c r="AA83" s="220"/>
      <c r="AB83" s="225"/>
      <c r="AC83" s="224"/>
      <c r="AD83" s="225"/>
      <c r="AE83" s="226"/>
      <c r="AF83" s="225"/>
      <c r="AG83" s="225"/>
      <c r="AH83" s="225"/>
      <c r="AI83" s="225"/>
      <c r="AJ83" s="225"/>
    </row>
    <row r="84" spans="1:36" s="227" customFormat="1" ht="15.75" customHeight="1">
      <c r="A84" s="221"/>
      <c r="B84" t="s">
        <v>262</v>
      </c>
      <c r="C84"/>
      <c r="D84" s="218">
        <v>296.02</v>
      </c>
      <c r="E84"/>
      <c r="F84" s="218">
        <v>292.56</v>
      </c>
      <c r="G84"/>
      <c r="H84" s="218">
        <v>292.56</v>
      </c>
      <c r="I84"/>
      <c r="J84" s="218">
        <v>292.56</v>
      </c>
      <c r="K84"/>
      <c r="L84" s="218">
        <v>292.56</v>
      </c>
      <c r="M84"/>
      <c r="N84" s="218">
        <v>292.56</v>
      </c>
      <c r="O84"/>
      <c r="P84" s="218">
        <v>292.56</v>
      </c>
      <c r="Q84"/>
      <c r="R84" s="218">
        <v>292.56</v>
      </c>
      <c r="S84"/>
      <c r="T84" s="218">
        <v>292.56</v>
      </c>
      <c r="U84"/>
      <c r="V84" s="218">
        <v>292.56</v>
      </c>
      <c r="W84"/>
      <c r="X84" s="218">
        <v>292.56</v>
      </c>
      <c r="Y84"/>
      <c r="Z84" s="218">
        <v>292.56</v>
      </c>
      <c r="AA84" s="220"/>
      <c r="AB84" s="225"/>
      <c r="AC84" s="224"/>
      <c r="AD84" s="225"/>
      <c r="AE84" s="226"/>
      <c r="AF84" s="225"/>
      <c r="AG84" s="225"/>
      <c r="AH84" s="225"/>
      <c r="AI84" s="225"/>
      <c r="AJ84" s="225"/>
    </row>
    <row r="85" spans="1:36" s="227" customFormat="1" ht="15.75" customHeight="1">
      <c r="A85" s="221"/>
      <c r="B85" s="222"/>
      <c r="C85" s="222"/>
      <c r="D85" s="218"/>
      <c r="E85" s="222"/>
      <c r="F85" s="218"/>
      <c r="G85" s="222"/>
      <c r="H85" s="218"/>
      <c r="I85" s="222"/>
      <c r="J85" s="218"/>
      <c r="K85" s="222"/>
      <c r="L85" s="218"/>
      <c r="M85" s="222"/>
      <c r="N85" s="218"/>
      <c r="O85" s="222"/>
      <c r="P85" s="218"/>
      <c r="Q85" s="222"/>
      <c r="R85" s="218"/>
      <c r="S85" s="222"/>
      <c r="T85" s="218"/>
      <c r="U85" s="222"/>
      <c r="V85" s="218"/>
      <c r="W85" s="222"/>
      <c r="X85" s="218"/>
      <c r="Y85" s="222"/>
      <c r="Z85" s="218"/>
      <c r="AA85" s="220"/>
      <c r="AB85" s="225"/>
      <c r="AC85" s="224"/>
      <c r="AD85" s="225"/>
      <c r="AE85" s="226"/>
      <c r="AF85" s="225"/>
      <c r="AG85" s="225"/>
      <c r="AH85" s="225"/>
      <c r="AI85" s="225"/>
      <c r="AJ85" s="225"/>
    </row>
    <row r="86" spans="1:36" s="227" customFormat="1" ht="15.75" customHeight="1">
      <c r="A86" s="221"/>
      <c r="B86" s="222" t="s">
        <v>263</v>
      </c>
      <c r="C86" s="222"/>
      <c r="D86" s="223">
        <f>17435.23-D94</f>
        <v>5920.4</v>
      </c>
      <c r="E86" s="222"/>
      <c r="F86" s="223">
        <f>16900.89-F94</f>
        <v>5851.1999999999989</v>
      </c>
      <c r="G86" s="222"/>
      <c r="H86" s="223">
        <f>16539.31-H94</f>
        <v>5851.2000000000007</v>
      </c>
      <c r="I86" s="222"/>
      <c r="J86" s="223">
        <f>15246.55-J94</f>
        <v>5851.1999999999989</v>
      </c>
      <c r="K86" s="222"/>
      <c r="L86" s="223">
        <f>13963.52-L94</f>
        <v>5851.2000000000007</v>
      </c>
      <c r="M86" s="222"/>
      <c r="N86" s="223">
        <f>13028.44-N94</f>
        <v>5851.2000000000007</v>
      </c>
      <c r="O86" s="222"/>
      <c r="P86" s="223">
        <f>13747.72-P94</f>
        <v>5851.1999999999989</v>
      </c>
      <c r="Q86" s="222"/>
      <c r="R86" s="223">
        <f>14167.64-R94</f>
        <v>5851.1999999999989</v>
      </c>
      <c r="S86" s="222"/>
      <c r="T86" s="223">
        <f>13030.4-T94</f>
        <v>5851.2</v>
      </c>
      <c r="U86" s="222"/>
      <c r="V86" s="223">
        <f>13868.25-V94</f>
        <v>5851.2</v>
      </c>
      <c r="W86" s="222"/>
      <c r="X86" s="223">
        <f>14923.84-X94</f>
        <v>5851.2000000000007</v>
      </c>
      <c r="Y86" s="222"/>
      <c r="Z86" s="223">
        <f>SUM(Z65:Z85)</f>
        <v>5851.2000000000016</v>
      </c>
      <c r="AA86" s="223">
        <f>SUM(D86:Z86)</f>
        <v>70283.599999999991</v>
      </c>
      <c r="AB86" s="223">
        <f>AA86/12</f>
        <v>5856.9666666666662</v>
      </c>
      <c r="AC86" s="225"/>
      <c r="AD86" s="226"/>
      <c r="AE86" s="225"/>
      <c r="AF86" s="225"/>
      <c r="AG86" s="225"/>
      <c r="AH86" s="225"/>
      <c r="AI86" s="225"/>
      <c r="AJ86" s="225"/>
    </row>
    <row r="87" spans="1:36" s="227" customFormat="1" ht="15.75" customHeight="1">
      <c r="A87" s="221"/>
      <c r="B87" s="222"/>
      <c r="C87" s="222"/>
      <c r="D87" s="218"/>
      <c r="E87" s="222"/>
      <c r="F87" s="218"/>
      <c r="G87" s="222"/>
      <c r="H87" s="218"/>
      <c r="I87" s="222"/>
      <c r="J87" s="218"/>
      <c r="K87" s="222"/>
      <c r="L87" s="218"/>
      <c r="M87" s="222"/>
      <c r="N87" s="218"/>
      <c r="O87" s="222"/>
      <c r="P87" s="218"/>
      <c r="Q87" s="222"/>
      <c r="R87" s="218"/>
      <c r="S87" s="222"/>
      <c r="T87" s="218"/>
      <c r="U87" s="222"/>
      <c r="V87" s="218"/>
      <c r="W87" s="222"/>
      <c r="X87" s="218"/>
      <c r="Y87" s="222"/>
      <c r="Z87" s="218"/>
      <c r="AA87" s="220"/>
      <c r="AB87" s="225"/>
      <c r="AC87" s="224"/>
      <c r="AD87" s="225"/>
      <c r="AE87" s="226"/>
      <c r="AF87" s="225"/>
      <c r="AG87" s="225"/>
      <c r="AH87" s="225"/>
      <c r="AI87" s="225"/>
      <c r="AJ87" s="225"/>
    </row>
    <row r="88" spans="1:36" s="227" customFormat="1" ht="15.75" customHeight="1">
      <c r="A88" s="221"/>
      <c r="B88" t="s">
        <v>264</v>
      </c>
      <c r="C88">
        <v>1942</v>
      </c>
      <c r="D88" s="218">
        <v>3819.26</v>
      </c>
      <c r="E88">
        <f>F88/$E$103</f>
        <v>1822.9989711934156</v>
      </c>
      <c r="F88" s="218">
        <v>3543.91</v>
      </c>
      <c r="G88">
        <f>H88/$E$103</f>
        <v>1737.0010288065844</v>
      </c>
      <c r="H88" s="218">
        <v>3376.73</v>
      </c>
      <c r="I88">
        <f>J88/$E$103</f>
        <v>1607.9989711934156</v>
      </c>
      <c r="J88" s="218">
        <v>3125.95</v>
      </c>
      <c r="K88">
        <f>L88/$E$103</f>
        <v>1349.0020576131687</v>
      </c>
      <c r="L88" s="218">
        <v>2622.46</v>
      </c>
      <c r="M88">
        <f>N88/$E$103</f>
        <v>1254.002057613169</v>
      </c>
      <c r="N88" s="218">
        <v>2437.7800000000002</v>
      </c>
      <c r="O88">
        <f>P88/$E$103</f>
        <v>1487.9989711934156</v>
      </c>
      <c r="P88" s="218">
        <v>2892.67</v>
      </c>
      <c r="Q88">
        <f>R88/$E$103</f>
        <v>1514.0020576131687</v>
      </c>
      <c r="R88" s="218">
        <v>2943.22</v>
      </c>
      <c r="S88">
        <f>T88/$E$103</f>
        <v>1265</v>
      </c>
      <c r="T88" s="218">
        <v>2459.16</v>
      </c>
      <c r="U88">
        <f>V88/$E$103</f>
        <v>1410</v>
      </c>
      <c r="V88" s="218">
        <v>2741.04</v>
      </c>
      <c r="W88">
        <f>X88/$E$103</f>
        <v>1550.9979423868313</v>
      </c>
      <c r="X88" s="218">
        <v>3015.14</v>
      </c>
      <c r="Y88">
        <f>Z88/$E$103</f>
        <v>1794.0020576131687</v>
      </c>
      <c r="Z88" s="218">
        <v>3487.54</v>
      </c>
      <c r="AA88" s="220"/>
      <c r="AB88" s="225"/>
      <c r="AC88" s="224"/>
      <c r="AD88" s="225"/>
      <c r="AE88" s="226"/>
      <c r="AF88" s="225"/>
      <c r="AG88" s="225"/>
      <c r="AH88" s="225"/>
      <c r="AI88" s="225"/>
      <c r="AJ88" s="225"/>
    </row>
    <row r="89" spans="1:36" s="227" customFormat="1" ht="15.75" customHeight="1">
      <c r="A89" s="221"/>
      <c r="B89" t="s">
        <v>265</v>
      </c>
      <c r="C89">
        <v>1322</v>
      </c>
      <c r="D89" s="218">
        <v>2599.94</v>
      </c>
      <c r="E89">
        <f t="shared" ref="E89:G92" si="14">F89/$E$103</f>
        <v>1347.0010288065844</v>
      </c>
      <c r="F89" s="218">
        <v>2618.5700000000002</v>
      </c>
      <c r="G89">
        <f t="shared" si="14"/>
        <v>1220.9979423868313</v>
      </c>
      <c r="H89" s="218">
        <v>2373.62</v>
      </c>
      <c r="I89">
        <f t="shared" ref="I89:I92" si="15">J89/$E$103</f>
        <v>1025.9979423868313</v>
      </c>
      <c r="J89" s="218">
        <v>1994.54</v>
      </c>
      <c r="K89">
        <f t="shared" ref="K89:K92" si="16">L89/$E$103</f>
        <v>770.99794238683126</v>
      </c>
      <c r="L89" s="218">
        <v>1498.82</v>
      </c>
      <c r="M89">
        <f t="shared" ref="M89:M92" si="17">N89/$E$103</f>
        <v>690.99794238683126</v>
      </c>
      <c r="N89" s="218">
        <v>1343.3</v>
      </c>
      <c r="O89">
        <f t="shared" ref="O89:O92" si="18">P89/$E$103</f>
        <v>722.99897119341563</v>
      </c>
      <c r="P89" s="218">
        <v>1405.51</v>
      </c>
      <c r="Q89">
        <f t="shared" ref="Q89:Q92" si="19">R89/$E$103</f>
        <v>805.00000000000011</v>
      </c>
      <c r="R89" s="218">
        <v>1564.92</v>
      </c>
      <c r="S89">
        <f t="shared" ref="S89:S92" si="20">T89/$E$103</f>
        <v>702.00102880658437</v>
      </c>
      <c r="T89" s="218">
        <v>1364.69</v>
      </c>
      <c r="U89">
        <f t="shared" ref="U89:U92" si="21">V89/$E$103</f>
        <v>830</v>
      </c>
      <c r="V89" s="218">
        <v>1613.52</v>
      </c>
      <c r="W89">
        <f t="shared" ref="W89:Y92" si="22">X89/$E$103</f>
        <v>1010</v>
      </c>
      <c r="X89" s="218">
        <v>1963.44</v>
      </c>
      <c r="Y89">
        <f t="shared" si="22"/>
        <v>1150.9979423868313</v>
      </c>
      <c r="Z89" s="218">
        <v>2237.54</v>
      </c>
      <c r="AA89" s="220"/>
      <c r="AB89" s="225"/>
      <c r="AC89" s="224"/>
      <c r="AD89" s="225"/>
      <c r="AE89" s="226"/>
      <c r="AF89" s="225"/>
      <c r="AG89" s="225"/>
      <c r="AH89" s="225"/>
      <c r="AI89" s="225"/>
      <c r="AJ89" s="225"/>
    </row>
    <row r="90" spans="1:36" s="227" customFormat="1" ht="15.75" customHeight="1">
      <c r="A90" s="221"/>
      <c r="B90" t="s">
        <v>266</v>
      </c>
      <c r="C90">
        <v>1265</v>
      </c>
      <c r="D90" s="218">
        <v>2487.83</v>
      </c>
      <c r="E90">
        <f t="shared" si="14"/>
        <v>1177.9989711934159</v>
      </c>
      <c r="F90" s="218">
        <v>2290.0300000000002</v>
      </c>
      <c r="G90">
        <f t="shared" si="14"/>
        <v>1199.0020576131687</v>
      </c>
      <c r="H90" s="218">
        <v>2330.86</v>
      </c>
      <c r="I90">
        <f t="shared" si="15"/>
        <v>1037.0010288065844</v>
      </c>
      <c r="J90" s="218">
        <v>2015.93</v>
      </c>
      <c r="K90">
        <f t="shared" si="16"/>
        <v>984.00205761316874</v>
      </c>
      <c r="L90" s="218">
        <v>1912.9</v>
      </c>
      <c r="M90">
        <f t="shared" si="17"/>
        <v>852.99897119341563</v>
      </c>
      <c r="N90" s="218">
        <v>1658.23</v>
      </c>
      <c r="O90">
        <f t="shared" si="18"/>
        <v>910.99794238683126</v>
      </c>
      <c r="P90" s="218">
        <v>1770.98</v>
      </c>
      <c r="Q90">
        <f t="shared" si="19"/>
        <v>960.99794238683137</v>
      </c>
      <c r="R90" s="218">
        <v>1868.18</v>
      </c>
      <c r="S90">
        <f t="shared" si="20"/>
        <v>854.00205761316874</v>
      </c>
      <c r="T90" s="218">
        <v>1660.18</v>
      </c>
      <c r="U90">
        <f t="shared" si="21"/>
        <v>900</v>
      </c>
      <c r="V90" s="218">
        <v>1749.6</v>
      </c>
      <c r="W90">
        <f t="shared" si="22"/>
        <v>1005.9979423868314</v>
      </c>
      <c r="X90" s="218">
        <v>1955.66</v>
      </c>
      <c r="Y90">
        <f t="shared" si="22"/>
        <v>1100</v>
      </c>
      <c r="Z90" s="218">
        <v>2138.4</v>
      </c>
      <c r="AA90" s="220"/>
      <c r="AB90" s="225"/>
      <c r="AC90" s="224"/>
      <c r="AD90" s="225"/>
      <c r="AE90" s="226"/>
      <c r="AF90" s="225"/>
      <c r="AG90" s="225"/>
      <c r="AH90" s="225"/>
      <c r="AI90" s="225"/>
      <c r="AJ90" s="225"/>
    </row>
    <row r="91" spans="1:36" s="227" customFormat="1" ht="15.75" customHeight="1">
      <c r="A91" s="221"/>
      <c r="B91" t="s">
        <v>267</v>
      </c>
      <c r="C91">
        <v>887</v>
      </c>
      <c r="D91" s="218">
        <v>1744.44</v>
      </c>
      <c r="E91">
        <f t="shared" si="14"/>
        <v>895.00000000000011</v>
      </c>
      <c r="F91" s="218">
        <v>1739.88</v>
      </c>
      <c r="G91">
        <f t="shared" si="14"/>
        <v>917.99897119341563</v>
      </c>
      <c r="H91" s="218">
        <v>1784.59</v>
      </c>
      <c r="I91">
        <f t="shared" si="15"/>
        <v>780</v>
      </c>
      <c r="J91" s="218">
        <v>1516.32</v>
      </c>
      <c r="K91">
        <f t="shared" si="16"/>
        <v>770.00000000000011</v>
      </c>
      <c r="L91" s="218">
        <v>1496.88</v>
      </c>
      <c r="M91">
        <f t="shared" si="17"/>
        <v>627.99897119341563</v>
      </c>
      <c r="N91" s="218">
        <v>1220.83</v>
      </c>
      <c r="O91">
        <f t="shared" si="18"/>
        <v>645.99794238683126</v>
      </c>
      <c r="P91" s="218">
        <v>1255.82</v>
      </c>
      <c r="Q91">
        <f t="shared" si="19"/>
        <v>704.00205761316874</v>
      </c>
      <c r="R91" s="218">
        <v>1368.58</v>
      </c>
      <c r="S91">
        <f t="shared" si="20"/>
        <v>605</v>
      </c>
      <c r="T91" s="218">
        <v>1176.1199999999999</v>
      </c>
      <c r="U91">
        <f t="shared" si="21"/>
        <v>690.99794238683126</v>
      </c>
      <c r="V91" s="218">
        <v>1343.3</v>
      </c>
      <c r="W91">
        <f t="shared" si="22"/>
        <v>765.99794238683126</v>
      </c>
      <c r="X91" s="218">
        <v>1489.1</v>
      </c>
      <c r="Y91">
        <f t="shared" si="22"/>
        <v>830</v>
      </c>
      <c r="Z91" s="218">
        <v>1613.52</v>
      </c>
      <c r="AA91" s="220"/>
      <c r="AB91" s="225"/>
      <c r="AC91" s="224"/>
      <c r="AD91" s="225"/>
      <c r="AE91" s="226"/>
      <c r="AF91" s="225"/>
      <c r="AG91" s="225"/>
      <c r="AH91" s="225"/>
      <c r="AI91" s="225"/>
      <c r="AJ91" s="225"/>
    </row>
    <row r="92" spans="1:36" s="227" customFormat="1" ht="15.75" customHeight="1">
      <c r="A92" s="221"/>
      <c r="B92" t="s">
        <v>268</v>
      </c>
      <c r="C92">
        <v>439</v>
      </c>
      <c r="D92" s="218">
        <v>863.36</v>
      </c>
      <c r="E92">
        <f t="shared" si="14"/>
        <v>440.99794238683126</v>
      </c>
      <c r="F92" s="218">
        <v>857.3</v>
      </c>
      <c r="G92">
        <f t="shared" si="14"/>
        <v>422.99897119341563</v>
      </c>
      <c r="H92" s="218">
        <v>822.31</v>
      </c>
      <c r="I92">
        <f t="shared" si="15"/>
        <v>382.00102880658437</v>
      </c>
      <c r="J92" s="218">
        <v>742.61</v>
      </c>
      <c r="K92">
        <f t="shared" si="16"/>
        <v>299.00205761316874</v>
      </c>
      <c r="L92" s="218">
        <v>581.26</v>
      </c>
      <c r="M92">
        <f t="shared" si="17"/>
        <v>265.99794238683131</v>
      </c>
      <c r="N92" s="218">
        <v>517.1</v>
      </c>
      <c r="O92">
        <f t="shared" si="18"/>
        <v>294.00205761316869</v>
      </c>
      <c r="P92" s="218">
        <v>571.54</v>
      </c>
      <c r="Q92">
        <f t="shared" si="19"/>
        <v>294.00205761316869</v>
      </c>
      <c r="R92" s="218">
        <v>571.54</v>
      </c>
      <c r="S92">
        <f t="shared" si="20"/>
        <v>267.00102880658437</v>
      </c>
      <c r="T92" s="218">
        <v>519.04999999999995</v>
      </c>
      <c r="U92">
        <f t="shared" si="21"/>
        <v>292.99897119341568</v>
      </c>
      <c r="V92" s="218">
        <v>569.59</v>
      </c>
      <c r="W92">
        <f t="shared" si="22"/>
        <v>334.00205761316869</v>
      </c>
      <c r="X92" s="218">
        <v>649.29999999999995</v>
      </c>
      <c r="Y92">
        <f t="shared" si="22"/>
        <v>397.00102880658437</v>
      </c>
      <c r="Z92" s="218">
        <v>771.77</v>
      </c>
      <c r="AA92" s="220"/>
      <c r="AB92" s="225"/>
      <c r="AC92" s="224"/>
      <c r="AD92" s="225"/>
      <c r="AE92" s="226"/>
      <c r="AF92" s="225"/>
      <c r="AG92" s="225"/>
      <c r="AH92" s="225"/>
      <c r="AI92" s="225"/>
      <c r="AJ92" s="225"/>
    </row>
    <row r="93" spans="1:36" s="227" customFormat="1" ht="15.75" customHeight="1">
      <c r="A93" s="221"/>
      <c r="B93" s="222"/>
      <c r="C93" s="222"/>
      <c r="D93" s="218"/>
      <c r="E93" s="222"/>
      <c r="F93" s="218"/>
      <c r="G93" s="222"/>
      <c r="H93" s="218"/>
      <c r="I93" s="222"/>
      <c r="J93" s="218"/>
      <c r="K93" s="222"/>
      <c r="L93" s="218"/>
      <c r="M93" s="222"/>
      <c r="N93" s="218"/>
      <c r="O93" s="222"/>
      <c r="P93" s="218"/>
      <c r="Q93" s="222"/>
      <c r="R93" s="218"/>
      <c r="S93" s="222"/>
      <c r="T93" s="218"/>
      <c r="U93" s="222"/>
      <c r="V93" s="218"/>
      <c r="W93" s="222"/>
      <c r="X93" s="218"/>
      <c r="Y93" s="222"/>
      <c r="Z93" s="218"/>
      <c r="AA93" s="220"/>
      <c r="AB93" s="225"/>
      <c r="AC93" s="224"/>
      <c r="AD93" s="225"/>
      <c r="AE93" s="226"/>
      <c r="AF93" s="225"/>
      <c r="AG93" s="225"/>
      <c r="AH93" s="225"/>
      <c r="AI93" s="225"/>
      <c r="AJ93" s="225"/>
    </row>
    <row r="94" spans="1:36" s="227" customFormat="1" ht="15.75" customHeight="1">
      <c r="A94" s="221"/>
      <c r="B94" s="222" t="s">
        <v>269</v>
      </c>
      <c r="C94" s="222"/>
      <c r="D94" s="223">
        <v>11514.83</v>
      </c>
      <c r="E94" s="222"/>
      <c r="F94" s="223">
        <v>11049.69</v>
      </c>
      <c r="G94" s="222"/>
      <c r="H94" s="223">
        <v>10688.11</v>
      </c>
      <c r="I94" s="222"/>
      <c r="J94" s="223">
        <f>8652.74+742.61</f>
        <v>9395.35</v>
      </c>
      <c r="K94" s="222"/>
      <c r="L94" s="223">
        <v>8112.32</v>
      </c>
      <c r="M94" s="222"/>
      <c r="N94" s="223">
        <v>7177.24</v>
      </c>
      <c r="O94" s="222"/>
      <c r="P94" s="223">
        <v>7896.52</v>
      </c>
      <c r="Q94" s="222"/>
      <c r="R94" s="223">
        <v>8316.44</v>
      </c>
      <c r="S94" s="222"/>
      <c r="T94" s="223">
        <v>7179.2</v>
      </c>
      <c r="U94" s="222"/>
      <c r="V94" s="223">
        <v>8017.05</v>
      </c>
      <c r="W94" s="222"/>
      <c r="X94" s="223">
        <v>9072.64</v>
      </c>
      <c r="Y94" s="222"/>
      <c r="Z94" s="223">
        <f>SUM(Z88:Z93)</f>
        <v>10248.77</v>
      </c>
      <c r="AA94" s="223">
        <f>SUM(D94:Z94)</f>
        <v>108668.16</v>
      </c>
      <c r="AB94" s="223">
        <f>AA94/12</f>
        <v>9055.68</v>
      </c>
      <c r="AC94" s="225"/>
      <c r="AD94" s="226"/>
      <c r="AE94" s="225"/>
      <c r="AF94" s="225"/>
      <c r="AG94" s="225"/>
      <c r="AH94" s="225"/>
      <c r="AI94" s="225"/>
      <c r="AJ94" s="225"/>
    </row>
    <row r="95" spans="1:36" s="227" customFormat="1" ht="15.75" customHeight="1">
      <c r="A95" s="221"/>
      <c r="B95" s="222" t="s">
        <v>270</v>
      </c>
      <c r="C95" s="222"/>
      <c r="D95" s="233">
        <v>0</v>
      </c>
      <c r="E95" s="222"/>
      <c r="F95" s="233">
        <v>0</v>
      </c>
      <c r="G95" s="222"/>
      <c r="H95" s="233">
        <v>0</v>
      </c>
      <c r="I95" s="222"/>
      <c r="J95" s="233">
        <v>0</v>
      </c>
      <c r="K95" s="222"/>
      <c r="L95" s="233">
        <v>0</v>
      </c>
      <c r="M95" s="222"/>
      <c r="N95" s="233">
        <v>0</v>
      </c>
      <c r="O95" s="222"/>
      <c r="P95" s="233">
        <v>0</v>
      </c>
      <c r="Q95" s="222"/>
      <c r="R95" s="233">
        <v>0</v>
      </c>
      <c r="S95" s="222"/>
      <c r="T95" s="233">
        <v>0</v>
      </c>
      <c r="U95" s="222"/>
      <c r="V95" s="233">
        <v>0</v>
      </c>
      <c r="W95" s="222"/>
      <c r="X95" s="233">
        <v>0</v>
      </c>
      <c r="Y95" s="222"/>
      <c r="Z95" s="223">
        <v>0</v>
      </c>
      <c r="AA95" s="220"/>
      <c r="AB95" s="224"/>
      <c r="AC95" s="225"/>
      <c r="AD95" s="226"/>
      <c r="AE95" s="225"/>
      <c r="AF95" s="225"/>
      <c r="AG95" s="225"/>
      <c r="AH95" s="225"/>
      <c r="AI95" s="225"/>
      <c r="AJ95" s="225"/>
    </row>
    <row r="96" spans="1:36" s="227" customFormat="1" ht="15.75" customHeight="1">
      <c r="A96" s="221"/>
      <c r="B96" s="229" t="s">
        <v>271</v>
      </c>
      <c r="C96" s="229"/>
      <c r="D96" s="238">
        <v>0</v>
      </c>
      <c r="E96" s="229"/>
      <c r="F96" s="238">
        <v>-3605.84</v>
      </c>
      <c r="G96" s="229"/>
      <c r="H96" s="238">
        <v>2443.41</v>
      </c>
      <c r="I96" s="229"/>
      <c r="J96" s="238">
        <v>-2443.41</v>
      </c>
      <c r="K96" s="229"/>
      <c r="L96" s="238">
        <v>0</v>
      </c>
      <c r="M96" s="229"/>
      <c r="N96" s="238">
        <v>0</v>
      </c>
      <c r="O96" s="229"/>
      <c r="P96" s="238">
        <v>0</v>
      </c>
      <c r="Q96" s="229"/>
      <c r="R96" s="238">
        <v>0</v>
      </c>
      <c r="S96" s="229"/>
      <c r="T96" s="238">
        <v>0</v>
      </c>
      <c r="U96" s="229"/>
      <c r="V96" s="238">
        <v>0</v>
      </c>
      <c r="W96" s="229"/>
      <c r="X96" s="238">
        <v>0</v>
      </c>
      <c r="Y96" s="229"/>
      <c r="Z96" s="230">
        <v>0</v>
      </c>
      <c r="AA96" s="220"/>
      <c r="AB96" s="224"/>
      <c r="AC96" s="225"/>
      <c r="AD96" s="226"/>
      <c r="AE96" s="225"/>
      <c r="AF96" s="225"/>
      <c r="AG96" s="225"/>
      <c r="AH96" s="225"/>
      <c r="AI96" s="225"/>
      <c r="AJ96" s="225"/>
    </row>
    <row r="97" spans="1:39" s="227" customFormat="1" ht="15.75" customHeight="1">
      <c r="A97" s="221"/>
      <c r="B97" s="222"/>
      <c r="C97" s="222"/>
      <c r="D97" s="223">
        <f>SUM(D63,D86,D94:D96)</f>
        <v>78244.13</v>
      </c>
      <c r="E97" s="222"/>
      <c r="F97" s="223">
        <f t="shared" ref="F97:Z97" si="23">SUM(F63,F86,F94:F96)</f>
        <v>67491.88</v>
      </c>
      <c r="G97" s="222"/>
      <c r="H97" s="223">
        <f t="shared" si="23"/>
        <v>70559.67</v>
      </c>
      <c r="I97" s="222"/>
      <c r="J97" s="223">
        <f t="shared" si="23"/>
        <v>61380.11</v>
      </c>
      <c r="K97" s="222"/>
      <c r="L97" s="223">
        <f t="shared" si="23"/>
        <v>55456.340000000004</v>
      </c>
      <c r="M97" s="222"/>
      <c r="N97" s="223">
        <f t="shared" si="23"/>
        <v>54751.719999999994</v>
      </c>
      <c r="O97" s="222"/>
      <c r="P97" s="223">
        <f t="shared" si="23"/>
        <v>61173.05</v>
      </c>
      <c r="Q97" s="222"/>
      <c r="R97" s="223">
        <f t="shared" si="23"/>
        <v>61968.39</v>
      </c>
      <c r="S97" s="222"/>
      <c r="T97" s="223">
        <f t="shared" si="23"/>
        <v>55298.099999999991</v>
      </c>
      <c r="U97" s="222"/>
      <c r="V97" s="223">
        <f t="shared" si="23"/>
        <v>55051.79</v>
      </c>
      <c r="W97" s="222"/>
      <c r="X97" s="223">
        <f t="shared" si="23"/>
        <v>60835.479999999996</v>
      </c>
      <c r="Y97" s="222"/>
      <c r="Z97" s="223">
        <f t="shared" si="23"/>
        <v>66308.19</v>
      </c>
      <c r="AA97" s="223">
        <f>SUM(D97:Z97)</f>
        <v>748518.85000000009</v>
      </c>
      <c r="AB97" s="223">
        <f>AA97/12</f>
        <v>62376.570833333339</v>
      </c>
      <c r="AC97" s="224"/>
      <c r="AD97" s="226"/>
      <c r="AE97" s="225"/>
      <c r="AF97" s="225"/>
      <c r="AG97" s="225"/>
      <c r="AH97" s="225"/>
      <c r="AI97" s="225"/>
      <c r="AJ97" s="225"/>
    </row>
    <row r="98" spans="1:39" s="227" customFormat="1" ht="15.75" customHeight="1">
      <c r="A98" s="221"/>
      <c r="B98" s="232" t="s">
        <v>272</v>
      </c>
      <c r="C98" s="232"/>
      <c r="D98" s="233">
        <v>-51738.02</v>
      </c>
      <c r="E98" s="232"/>
      <c r="F98" s="233"/>
      <c r="G98" s="232"/>
      <c r="H98" s="233"/>
      <c r="I98" s="232"/>
      <c r="J98" s="233"/>
      <c r="K98" s="232"/>
      <c r="M98" s="232"/>
      <c r="N98" s="233"/>
      <c r="O98" s="232"/>
      <c r="P98" s="233"/>
      <c r="Q98" s="232"/>
      <c r="R98" s="233"/>
      <c r="S98" s="232"/>
      <c r="T98" s="233"/>
      <c r="U98" s="232"/>
      <c r="V98" s="233"/>
      <c r="W98" s="232"/>
      <c r="X98" s="233"/>
      <c r="Y98" s="232"/>
      <c r="Z98" s="223">
        <v>0</v>
      </c>
      <c r="AA98" s="225"/>
      <c r="AB98" s="224"/>
      <c r="AC98" s="225"/>
      <c r="AD98" s="226"/>
      <c r="AE98" s="225"/>
      <c r="AF98" s="225"/>
      <c r="AG98" s="225"/>
      <c r="AH98" s="225"/>
      <c r="AI98" s="225"/>
      <c r="AJ98" s="225"/>
    </row>
    <row r="99" spans="1:39" s="227" customFormat="1" ht="15.75" customHeight="1">
      <c r="A99" s="221"/>
      <c r="B99" s="232" t="s">
        <v>273</v>
      </c>
      <c r="C99" s="232"/>
      <c r="D99" s="220"/>
      <c r="E99" s="232"/>
      <c r="F99" s="220"/>
      <c r="G99" s="232"/>
      <c r="H99" s="220"/>
      <c r="I99" s="232"/>
      <c r="J99" s="220"/>
      <c r="K99" s="232"/>
      <c r="L99" s="220"/>
      <c r="M99" s="232"/>
      <c r="N99" s="220"/>
      <c r="O99" s="232"/>
      <c r="P99" s="220"/>
      <c r="Q99" s="232"/>
      <c r="R99" s="220"/>
      <c r="S99" s="232"/>
      <c r="T99" s="220"/>
      <c r="U99" s="232"/>
      <c r="V99" s="220"/>
      <c r="W99" s="232"/>
      <c r="Y99" s="232"/>
      <c r="Z99" s="220">
        <v>44053.279999999999</v>
      </c>
      <c r="AA99" s="225"/>
      <c r="AB99" s="224"/>
      <c r="AC99" s="225"/>
      <c r="AD99" s="226"/>
      <c r="AE99" s="225"/>
      <c r="AF99" s="225"/>
      <c r="AG99" s="225"/>
      <c r="AH99" s="225"/>
      <c r="AI99" s="225"/>
      <c r="AJ99" s="225"/>
    </row>
    <row r="100" spans="1:39" s="227" customFormat="1" ht="15">
      <c r="A100" s="239"/>
      <c r="B100" s="222"/>
      <c r="C100" s="232"/>
      <c r="D100" s="224"/>
      <c r="E100" s="222"/>
      <c r="F100" s="224"/>
      <c r="G100" s="222"/>
      <c r="H100" s="224"/>
      <c r="I100" s="222"/>
      <c r="J100" s="224"/>
      <c r="K100" s="222"/>
      <c r="L100" s="224"/>
      <c r="M100" s="222"/>
      <c r="N100" s="224"/>
      <c r="O100" s="222"/>
      <c r="P100" s="224"/>
      <c r="Q100" s="222"/>
      <c r="R100" s="224"/>
      <c r="S100" s="222"/>
      <c r="T100" s="224"/>
      <c r="U100" s="222"/>
      <c r="V100" s="224"/>
      <c r="W100" s="222"/>
      <c r="X100" s="224"/>
      <c r="Y100" s="222"/>
      <c r="Z100" s="224"/>
      <c r="AA100" s="223"/>
      <c r="AB100" s="223"/>
      <c r="AC100" s="223"/>
      <c r="AD100" s="226"/>
      <c r="AJ100" s="240"/>
      <c r="AK100" s="240"/>
      <c r="AL100" s="240"/>
      <c r="AM100" s="240"/>
    </row>
    <row r="101" spans="1:39">
      <c r="C101" s="207" t="s">
        <v>274</v>
      </c>
      <c r="D101" s="208" t="s">
        <v>275</v>
      </c>
      <c r="E101" s="207" t="s">
        <v>274</v>
      </c>
      <c r="G101" s="207" t="s">
        <v>274</v>
      </c>
      <c r="I101" s="207" t="s">
        <v>274</v>
      </c>
      <c r="K101" s="207" t="s">
        <v>274</v>
      </c>
      <c r="M101" s="207" t="s">
        <v>274</v>
      </c>
      <c r="O101" s="207" t="s">
        <v>274</v>
      </c>
      <c r="Q101" s="207" t="s">
        <v>274</v>
      </c>
      <c r="S101" s="207" t="s">
        <v>274</v>
      </c>
      <c r="U101" s="207" t="s">
        <v>274</v>
      </c>
      <c r="W101" s="207" t="s">
        <v>274</v>
      </c>
      <c r="Y101" s="207" t="s">
        <v>274</v>
      </c>
    </row>
    <row r="102" spans="1:39">
      <c r="B102" s="207" t="s">
        <v>283</v>
      </c>
      <c r="C102" s="207" t="s">
        <v>284</v>
      </c>
      <c r="D102" s="235">
        <v>0.66666669999999995</v>
      </c>
      <c r="E102" s="234"/>
    </row>
    <row r="103" spans="1:39">
      <c r="C103" s="207" t="s">
        <v>285</v>
      </c>
      <c r="D103" s="235">
        <v>0.33333332999999998</v>
      </c>
      <c r="E103" s="234">
        <v>1.944</v>
      </c>
      <c r="G103" s="234">
        <v>1.944</v>
      </c>
      <c r="I103" s="234">
        <v>1.944</v>
      </c>
      <c r="K103" s="234">
        <v>1.944</v>
      </c>
      <c r="M103" s="234">
        <v>1.944</v>
      </c>
      <c r="O103" s="234">
        <v>1.944</v>
      </c>
      <c r="Q103" s="234">
        <v>1.944</v>
      </c>
      <c r="S103" s="234">
        <v>1.944</v>
      </c>
      <c r="U103" s="234">
        <v>1.944</v>
      </c>
      <c r="W103" s="234">
        <v>1.944</v>
      </c>
      <c r="Y103" s="234">
        <v>1.944</v>
      </c>
    </row>
    <row r="104" spans="1:39">
      <c r="B104" s="207" t="s">
        <v>286</v>
      </c>
      <c r="C104" s="207" t="s">
        <v>287</v>
      </c>
      <c r="D104" s="235">
        <v>0.66666669999999995</v>
      </c>
      <c r="E104" s="236"/>
      <c r="G104" s="236"/>
      <c r="I104" s="236"/>
      <c r="K104" s="236"/>
      <c r="M104" s="236"/>
      <c r="O104" s="236"/>
      <c r="Q104" s="236"/>
      <c r="S104" s="236"/>
      <c r="U104" s="236"/>
      <c r="W104" s="236"/>
      <c r="Y104" s="236"/>
    </row>
    <row r="105" spans="1:39">
      <c r="C105" s="207" t="s">
        <v>288</v>
      </c>
      <c r="D105" s="235">
        <v>0.33333332999999998</v>
      </c>
      <c r="E105" s="236">
        <v>0.66800000000000004</v>
      </c>
      <c r="G105" s="236">
        <v>0.66800000000000004</v>
      </c>
      <c r="I105" s="236">
        <v>0.66800000000000004</v>
      </c>
      <c r="K105" s="236">
        <v>0.66800000000000004</v>
      </c>
      <c r="M105" s="236">
        <v>0.66800000000000004</v>
      </c>
      <c r="O105" s="236">
        <v>0.66800000000000004</v>
      </c>
      <c r="Q105" s="236">
        <v>0.66800000000000004</v>
      </c>
      <c r="S105" s="236">
        <v>0.66800000000000004</v>
      </c>
      <c r="U105" s="236">
        <v>0.66800000000000004</v>
      </c>
      <c r="W105" s="236">
        <v>0.66800000000000004</v>
      </c>
      <c r="Y105" s="236">
        <v>0.66800000000000004</v>
      </c>
    </row>
    <row r="106" spans="1:39">
      <c r="B106" s="205"/>
      <c r="D106" s="235"/>
    </row>
    <row r="107" spans="1:39" s="207" customFormat="1">
      <c r="A107" s="199"/>
      <c r="D107" s="235"/>
      <c r="F107" s="208"/>
      <c r="H107" s="208"/>
      <c r="J107" s="208"/>
      <c r="L107" s="208"/>
      <c r="N107" s="208"/>
      <c r="P107" s="208"/>
      <c r="R107" s="208"/>
      <c r="T107" s="208"/>
      <c r="V107" s="208"/>
      <c r="X107" s="208"/>
      <c r="Z107" s="208"/>
      <c r="AA107" s="208"/>
      <c r="AB107" s="208"/>
      <c r="AC107" s="208"/>
      <c r="AD107" s="211"/>
      <c r="AE107" s="205"/>
      <c r="AF107" s="205"/>
      <c r="AG107" s="205"/>
      <c r="AH107" s="205"/>
      <c r="AI107" s="205"/>
      <c r="AJ107" s="205"/>
      <c r="AK107" s="205"/>
      <c r="AL107" s="205"/>
      <c r="AM107" s="205"/>
    </row>
    <row r="118" spans="1:39" s="207" customFormat="1">
      <c r="A118" s="199"/>
      <c r="D118" s="235"/>
      <c r="F118" s="208"/>
      <c r="H118" s="208"/>
      <c r="J118" s="208"/>
      <c r="L118" s="208"/>
      <c r="N118" s="208"/>
      <c r="P118" s="208"/>
      <c r="R118" s="208"/>
      <c r="T118" s="208"/>
      <c r="V118" s="208"/>
      <c r="X118" s="208"/>
      <c r="Z118" s="208"/>
      <c r="AA118" s="208"/>
      <c r="AB118" s="208"/>
      <c r="AC118" s="208"/>
      <c r="AD118" s="211"/>
      <c r="AE118" s="205"/>
      <c r="AF118" s="205"/>
      <c r="AG118" s="205"/>
      <c r="AH118" s="205"/>
      <c r="AI118" s="205"/>
      <c r="AJ118" s="205"/>
      <c r="AK118" s="205"/>
      <c r="AL118" s="205"/>
      <c r="AM118" s="205"/>
    </row>
    <row r="127" spans="1:39" s="227" customFormat="1" ht="15.75" hidden="1" customHeight="1">
      <c r="A127" s="206" t="s">
        <v>289</v>
      </c>
      <c r="B127" s="222"/>
      <c r="C127" s="222"/>
      <c r="D127" s="224"/>
      <c r="E127" s="222"/>
      <c r="F127" s="224"/>
      <c r="G127" s="222"/>
      <c r="H127" s="224"/>
      <c r="I127" s="222"/>
      <c r="J127" s="224"/>
      <c r="K127" s="222"/>
      <c r="L127" s="224"/>
      <c r="M127" s="222"/>
      <c r="N127" s="224"/>
      <c r="O127" s="222"/>
      <c r="P127" s="224"/>
      <c r="Q127" s="222"/>
      <c r="R127" s="224"/>
      <c r="S127" s="222"/>
      <c r="T127" s="224"/>
      <c r="U127" s="222"/>
      <c r="V127" s="224"/>
      <c r="W127" s="222"/>
      <c r="X127" s="223"/>
      <c r="Y127" s="222"/>
      <c r="Z127" s="223"/>
      <c r="AA127" s="220"/>
      <c r="AB127" s="224"/>
      <c r="AC127" s="224"/>
      <c r="AD127" s="226"/>
      <c r="AE127" s="225"/>
      <c r="AF127" s="225"/>
      <c r="AG127" s="225"/>
      <c r="AH127" s="225"/>
      <c r="AI127" s="225"/>
      <c r="AJ127" s="225"/>
    </row>
    <row r="128" spans="1:39" hidden="1">
      <c r="B128" s="205"/>
      <c r="D128" s="235"/>
    </row>
    <row r="129" spans="1:36" s="217" customFormat="1" ht="18" hidden="1" customHeight="1">
      <c r="A129" s="212"/>
      <c r="B129" t="s">
        <v>238</v>
      </c>
      <c r="C129">
        <f>(C58+C6)/2</f>
        <v>37598</v>
      </c>
      <c r="D129" s="218">
        <f>C129*$C$171</f>
        <v>25115.464</v>
      </c>
      <c r="E129">
        <f>(E58+E6)/2</f>
        <v>36513.998502994014</v>
      </c>
      <c r="F129" s="218">
        <f>E129*$C$171</f>
        <v>24391.351000000002</v>
      </c>
      <c r="G129">
        <f>(G58+G6)/2</f>
        <v>34323.008148651155</v>
      </c>
      <c r="H129" s="218">
        <f>G129*$C$171</f>
        <v>22927.769443298974</v>
      </c>
      <c r="I129">
        <f>(I58+I6)/2</f>
        <v>31278.008148651155</v>
      </c>
      <c r="J129" s="218">
        <f>I129*$C$171</f>
        <v>20893.709443298972</v>
      </c>
      <c r="K129">
        <f>(K58+K6)/2</f>
        <v>24971.001497005986</v>
      </c>
      <c r="L129" s="218">
        <f>K129*$C$171</f>
        <v>16680.629000000001</v>
      </c>
      <c r="M129">
        <f>(M58+M6)/2</f>
        <v>22202</v>
      </c>
      <c r="N129" s="218">
        <f>M129*$C$171</f>
        <v>14830.936000000002</v>
      </c>
      <c r="O129">
        <f>(O58+O6)/2</f>
        <v>24087.497005988022</v>
      </c>
      <c r="P129" s="218">
        <f>O129*$C$171</f>
        <v>16090.447999999999</v>
      </c>
      <c r="Q129">
        <f>(Q58+Q6)/2</f>
        <v>26639.997005988022</v>
      </c>
      <c r="R129" s="218">
        <f>Q129*$C$171</f>
        <v>17795.518</v>
      </c>
      <c r="S129">
        <f>(S58+S6)/2</f>
        <v>24377.997005988022</v>
      </c>
      <c r="T129" s="218">
        <f>S129*$C$171</f>
        <v>16284.501999999999</v>
      </c>
      <c r="U129">
        <f>(U58+U6)/2</f>
        <v>21954.998502994011</v>
      </c>
      <c r="V129" s="218">
        <f>U129*$C$171</f>
        <v>14665.939</v>
      </c>
      <c r="W129">
        <f>(W58+W6)/2</f>
        <v>25498.001497005986</v>
      </c>
      <c r="X129" s="218">
        <f>W129*$C$171</f>
        <v>17032.665000000001</v>
      </c>
      <c r="Y129">
        <f>(Y58+Y6)/2</f>
        <v>30177.502994011971</v>
      </c>
      <c r="Z129" s="218">
        <f>Y129*$C$171</f>
        <v>20158.571999999996</v>
      </c>
      <c r="AA129" s="220"/>
      <c r="AB129" s="210"/>
      <c r="AC129" s="210"/>
      <c r="AD129" s="215"/>
      <c r="AE129" s="209"/>
      <c r="AF129" s="209"/>
      <c r="AG129" s="216"/>
      <c r="AH129" s="216"/>
      <c r="AI129" s="216"/>
      <c r="AJ129" s="216"/>
    </row>
    <row r="130" spans="1:36" s="217" customFormat="1" ht="18" hidden="1" customHeight="1">
      <c r="A130" s="212"/>
      <c r="B130" t="s">
        <v>239</v>
      </c>
      <c r="C130">
        <f>(C59+C7)/2</f>
        <v>29906.5</v>
      </c>
      <c r="D130" s="218">
        <f>C130*$C$171</f>
        <v>19977.542000000001</v>
      </c>
      <c r="E130">
        <f>(E59+E7)/2</f>
        <v>26149.497005988022</v>
      </c>
      <c r="F130" s="218">
        <f>E130*$C$171</f>
        <v>17467.863999999998</v>
      </c>
      <c r="G130">
        <f>(G59+G7)/2</f>
        <v>25253.002160627198</v>
      </c>
      <c r="H130" s="218">
        <f>G130*$C$171</f>
        <v>16869.005443298971</v>
      </c>
      <c r="I130">
        <f>(I59+I7)/2</f>
        <v>25501.505154639173</v>
      </c>
      <c r="J130" s="218">
        <f>I130*$C$171</f>
        <v>17035.005443298967</v>
      </c>
      <c r="K130">
        <f>(K59+K7)/2</f>
        <v>23675.997005988022</v>
      </c>
      <c r="L130" s="218">
        <f>K130*$C$171</f>
        <v>15815.565999999999</v>
      </c>
      <c r="M130">
        <f>(M59+M7)/2</f>
        <v>25389.999999999996</v>
      </c>
      <c r="N130" s="218">
        <f>M130*$C$171</f>
        <v>16960.519999999997</v>
      </c>
      <c r="O130">
        <f>(O59+O7)/2</f>
        <v>26868.5</v>
      </c>
      <c r="P130" s="218">
        <f>O130*$C$171</f>
        <v>17948.157999999999</v>
      </c>
      <c r="Q130">
        <f>(Q59+Q7)/2</f>
        <v>27617.002994011975</v>
      </c>
      <c r="R130" s="218">
        <f>Q130*$C$171</f>
        <v>18448.157999999999</v>
      </c>
      <c r="S130">
        <f>(S59+S7)/2</f>
        <v>24838</v>
      </c>
      <c r="T130" s="218">
        <f>S130*$C$171</f>
        <v>16591.784</v>
      </c>
      <c r="U130">
        <f>(U59+U7)/2</f>
        <v>22147.502994011975</v>
      </c>
      <c r="V130" s="218">
        <f>U130*$C$171</f>
        <v>14794.531999999999</v>
      </c>
      <c r="W130">
        <f>(W59+W7)/2</f>
        <v>22988.002994011975</v>
      </c>
      <c r="X130" s="218">
        <f>W130*$C$171</f>
        <v>15355.986000000001</v>
      </c>
      <c r="Y130">
        <f>(Y59+Y7)/2</f>
        <v>25439.498502994007</v>
      </c>
      <c r="Z130" s="218">
        <f>Y130*$C$171</f>
        <v>16993.584999999999</v>
      </c>
      <c r="AA130" s="220"/>
      <c r="AB130" s="210"/>
      <c r="AC130" s="210"/>
      <c r="AD130" s="215"/>
      <c r="AE130" s="209"/>
      <c r="AF130" s="209"/>
      <c r="AG130" s="216"/>
      <c r="AH130" s="216"/>
      <c r="AI130" s="216"/>
      <c r="AJ130" s="216"/>
    </row>
    <row r="131" spans="1:36" s="217" customFormat="1" ht="18" hidden="1" customHeight="1">
      <c r="A131" s="212"/>
      <c r="B131" t="s">
        <v>240</v>
      </c>
      <c r="C131">
        <f>(C60+C8)/2</f>
        <v>11115</v>
      </c>
      <c r="D131" s="218">
        <f>C131*$C$171</f>
        <v>7424.8200000000006</v>
      </c>
      <c r="E131">
        <f>(E60+E8)/2</f>
        <v>10947.997005988025</v>
      </c>
      <c r="F131" s="218">
        <f>E131*$C$171</f>
        <v>7313.2620000000015</v>
      </c>
      <c r="G131">
        <f>(G60+G8)/2</f>
        <v>10645.002994011975</v>
      </c>
      <c r="H131" s="218">
        <f>G131*$C$171</f>
        <v>7110.8619999999992</v>
      </c>
      <c r="I131">
        <f>(I60+I8)/2</f>
        <v>9537.5081486511517</v>
      </c>
      <c r="J131" s="218">
        <f>I131*$C$171</f>
        <v>6371.0554432989693</v>
      </c>
      <c r="K131">
        <f>(K60+K8)/2</f>
        <v>8126.0014970059874</v>
      </c>
      <c r="L131" s="218">
        <f>K131*$C$171</f>
        <v>5428.1689999999999</v>
      </c>
      <c r="M131">
        <f>(M60+M8)/2</f>
        <v>7907.4985029940117</v>
      </c>
      <c r="N131" s="218">
        <f>M131*$C$171</f>
        <v>5282.2089999999998</v>
      </c>
      <c r="O131">
        <f>(O60+O8)/2</f>
        <v>8078.5029940119757</v>
      </c>
      <c r="P131" s="218">
        <f>O131*$C$171</f>
        <v>5396.4400000000005</v>
      </c>
      <c r="Q131">
        <f>(Q60+Q8)/2</f>
        <v>9058.0014970059874</v>
      </c>
      <c r="R131" s="218">
        <f>Q131*$C$171</f>
        <v>6050.7449999999999</v>
      </c>
      <c r="S131">
        <f>(S60+S8)/2</f>
        <v>8089.0029940119766</v>
      </c>
      <c r="T131" s="218">
        <f>S131*$C$171</f>
        <v>5403.4540000000006</v>
      </c>
      <c r="U131">
        <f>(U60+U8)/2</f>
        <v>7564.5</v>
      </c>
      <c r="V131" s="218">
        <f>U131*$C$171</f>
        <v>5053.0860000000002</v>
      </c>
      <c r="W131">
        <f>(W60+W8)/2</f>
        <v>8860.9985029940108</v>
      </c>
      <c r="X131" s="218">
        <f>W131*$C$171</f>
        <v>5919.1469999999999</v>
      </c>
      <c r="Y131">
        <f>(Y60+Y8)/2</f>
        <v>9820.5</v>
      </c>
      <c r="Z131" s="218">
        <f>Y131*$C$171</f>
        <v>6560.0940000000001</v>
      </c>
      <c r="AA131" s="220"/>
      <c r="AB131" s="210"/>
      <c r="AC131" s="210"/>
      <c r="AD131" s="215"/>
      <c r="AE131" s="209"/>
      <c r="AF131" s="209"/>
      <c r="AG131" s="216"/>
      <c r="AH131" s="216"/>
      <c r="AI131" s="216"/>
      <c r="AJ131" s="216"/>
    </row>
    <row r="132" spans="1:36" s="217" customFormat="1" ht="18" hidden="1" customHeight="1">
      <c r="A132" s="212"/>
      <c r="B132" t="s">
        <v>241</v>
      </c>
      <c r="C132">
        <f>(C61+C9)/2</f>
        <v>10936.5</v>
      </c>
      <c r="D132" s="218">
        <f>C132*$C$171</f>
        <v>7305.5820000000003</v>
      </c>
      <c r="E132">
        <f>(E61+E9)/2</f>
        <v>10781.997005988023</v>
      </c>
      <c r="F132" s="218">
        <f>E132*$C$171</f>
        <v>7202.3739999999998</v>
      </c>
      <c r="G132">
        <f>(G61+G9)/2</f>
        <v>10345.003657633188</v>
      </c>
      <c r="H132" s="218">
        <f>G132*$C$171</f>
        <v>6910.4624432989694</v>
      </c>
      <c r="I132">
        <f>(I61+I9)/2</f>
        <v>9356.5014970059874</v>
      </c>
      <c r="J132" s="218">
        <f>I132*$C$171</f>
        <v>6250.143</v>
      </c>
      <c r="K132">
        <f>(K61+K9)/2</f>
        <v>9109</v>
      </c>
      <c r="L132" s="218">
        <f>K132*$C$171</f>
        <v>6084.8119999999999</v>
      </c>
      <c r="M132">
        <f>(M61+M9)/2</f>
        <v>9454.0014970059874</v>
      </c>
      <c r="N132" s="218">
        <f>M132*$C$171</f>
        <v>6315.2730000000001</v>
      </c>
      <c r="O132">
        <f>(O61+O9)/2</f>
        <v>9416.0014970059856</v>
      </c>
      <c r="P132" s="218">
        <f>O132*$C$171</f>
        <v>6289.8889999999983</v>
      </c>
      <c r="Q132">
        <f>(Q61+Q9)/2</f>
        <v>9620.5029940119748</v>
      </c>
      <c r="R132" s="218">
        <f>Q132*$C$171</f>
        <v>6426.4959999999992</v>
      </c>
      <c r="S132">
        <f>(S61+S9)/2</f>
        <v>8620</v>
      </c>
      <c r="T132" s="218">
        <f>S132*$C$171</f>
        <v>5758.1600000000008</v>
      </c>
      <c r="U132">
        <f>(U61+U9)/2</f>
        <v>8964.5014970059874</v>
      </c>
      <c r="V132" s="218">
        <f>U132*$C$171</f>
        <v>5988.2870000000003</v>
      </c>
      <c r="W132">
        <f>(W61+W9)/2</f>
        <v>9496.4970059880252</v>
      </c>
      <c r="X132" s="218">
        <f>W132*$C$171</f>
        <v>6343.6600000000008</v>
      </c>
      <c r="Y132">
        <f>(Y61+Y9)/2</f>
        <v>10222.501497005987</v>
      </c>
      <c r="Z132" s="218">
        <f>Y132*$C$171</f>
        <v>6828.6310000000003</v>
      </c>
      <c r="AA132" s="220"/>
      <c r="AB132" s="210"/>
      <c r="AC132" s="210"/>
      <c r="AD132" s="215"/>
      <c r="AE132" s="209"/>
      <c r="AF132" s="209"/>
      <c r="AG132" s="216"/>
      <c r="AH132" s="216"/>
      <c r="AI132" s="216"/>
      <c r="AJ132" s="216"/>
    </row>
    <row r="133" spans="1:36" s="217" customFormat="1" ht="18" hidden="1" customHeight="1">
      <c r="A133" s="212"/>
      <c r="B133" s="213"/>
      <c r="C133" s="213"/>
      <c r="D133" s="214"/>
      <c r="E133" s="213"/>
      <c r="F133" s="214"/>
      <c r="G133" s="213"/>
      <c r="H133" s="214"/>
      <c r="I133" s="213"/>
      <c r="J133" s="214"/>
      <c r="K133" s="213"/>
      <c r="M133" s="213"/>
      <c r="N133" s="214"/>
      <c r="O133" s="213"/>
      <c r="P133" s="214"/>
      <c r="Q133" s="213"/>
      <c r="R133" s="214"/>
      <c r="S133" s="213"/>
      <c r="T133" s="214"/>
      <c r="U133" s="213"/>
      <c r="V133" s="214"/>
      <c r="W133" s="213"/>
      <c r="X133" s="214"/>
      <c r="Y133" s="213"/>
      <c r="Z133" s="214"/>
      <c r="AA133" s="220"/>
      <c r="AB133" s="210"/>
      <c r="AC133" s="210"/>
      <c r="AD133" s="215"/>
      <c r="AE133" s="209"/>
      <c r="AF133" s="209"/>
      <c r="AG133" s="216"/>
      <c r="AH133" s="216"/>
      <c r="AI133" s="216"/>
      <c r="AJ133" s="216"/>
    </row>
    <row r="134" spans="1:36" s="227" customFormat="1" ht="15.75" hidden="1" customHeight="1">
      <c r="A134" s="221"/>
      <c r="B134" s="222" t="s">
        <v>242</v>
      </c>
      <c r="C134" s="222"/>
      <c r="D134" s="223">
        <f>SUM(D129:D133)</f>
        <v>59823.408000000003</v>
      </c>
      <c r="E134" s="222"/>
      <c r="F134" s="223">
        <f>SUM(F129:F133)</f>
        <v>56374.850999999995</v>
      </c>
      <c r="G134" s="222"/>
      <c r="H134" s="223">
        <f>SUM(H129:H133)</f>
        <v>53818.099329896912</v>
      </c>
      <c r="I134" s="222"/>
      <c r="J134" s="223">
        <f>SUM(J129:J133)</f>
        <v>50549.91332989691</v>
      </c>
      <c r="K134" s="222"/>
      <c r="L134" s="223">
        <f>SUM(L129:L133)</f>
        <v>44009.175999999999</v>
      </c>
      <c r="M134" s="222"/>
      <c r="N134" s="223">
        <f>SUM(N129:N132)</f>
        <v>43388.938000000002</v>
      </c>
      <c r="O134" s="222"/>
      <c r="P134" s="223">
        <f>SUM(P129:P133)</f>
        <v>45724.934999999998</v>
      </c>
      <c r="Q134" s="222"/>
      <c r="R134" s="223">
        <f>SUM(R129:R133)</f>
        <v>48720.917000000001</v>
      </c>
      <c r="S134" s="222"/>
      <c r="T134" s="223">
        <f>SUM(T129:T133)</f>
        <v>44037.9</v>
      </c>
      <c r="U134" s="222"/>
      <c r="V134" s="223">
        <f>SUM(V129:V133)</f>
        <v>40501.843999999997</v>
      </c>
      <c r="W134" s="222"/>
      <c r="X134" s="223">
        <f>SUM(X129:X133)</f>
        <v>44651.458000000006</v>
      </c>
      <c r="Y134" s="222"/>
      <c r="Z134" s="223">
        <f>SUM(Z129:Z133)</f>
        <v>50540.881999999991</v>
      </c>
      <c r="AA134" s="223">
        <f>SUM(D134:Z134)</f>
        <v>582142.32165979384</v>
      </c>
      <c r="AB134" s="223">
        <f>AA134/12</f>
        <v>48511.860138316151</v>
      </c>
      <c r="AC134" s="224"/>
      <c r="AD134" s="225"/>
      <c r="AE134" s="226"/>
      <c r="AF134" s="225"/>
      <c r="AG134" s="225"/>
      <c r="AH134" s="225"/>
      <c r="AI134" s="225"/>
      <c r="AJ134" s="225"/>
    </row>
    <row r="135" spans="1:36" s="227" customFormat="1" ht="15.75" hidden="1" customHeight="1">
      <c r="A135" s="221"/>
      <c r="B135" s="222"/>
      <c r="C135" s="222"/>
      <c r="D135" s="218"/>
      <c r="E135" s="222"/>
      <c r="F135" s="218"/>
      <c r="G135" s="222"/>
      <c r="H135" s="218"/>
      <c r="I135" s="222"/>
      <c r="J135" s="218"/>
      <c r="K135" s="222"/>
      <c r="L135" s="218"/>
      <c r="M135" s="222"/>
      <c r="N135" s="218"/>
      <c r="O135" s="222"/>
      <c r="P135" s="218"/>
      <c r="Q135" s="222"/>
      <c r="R135" s="218"/>
      <c r="S135" s="222"/>
      <c r="T135" s="218"/>
      <c r="U135" s="222"/>
      <c r="V135" s="218"/>
      <c r="W135" s="222"/>
      <c r="X135" s="218"/>
      <c r="Y135" s="222"/>
      <c r="Z135" s="218"/>
      <c r="AA135" s="220"/>
      <c r="AB135" s="220"/>
      <c r="AC135" s="224"/>
      <c r="AD135" s="225"/>
      <c r="AE135" s="226"/>
      <c r="AF135" s="225"/>
      <c r="AG135" s="225"/>
      <c r="AH135" s="225"/>
      <c r="AI135" s="225"/>
      <c r="AJ135" s="225"/>
    </row>
    <row r="136" spans="1:36" s="227" customFormat="1" ht="15.75" hidden="1" customHeight="1">
      <c r="A136" s="221"/>
      <c r="B136" t="s">
        <v>243</v>
      </c>
      <c r="C136"/>
      <c r="D136" s="218">
        <f t="shared" ref="D136:D155" si="24">F65</f>
        <v>292.56</v>
      </c>
      <c r="E136"/>
      <c r="F136" s="218">
        <f t="shared" ref="F136:F155" si="25">H65</f>
        <v>292.56</v>
      </c>
      <c r="G136"/>
      <c r="H136" s="218">
        <f t="shared" ref="H136:H155" si="26">J65</f>
        <v>292.56</v>
      </c>
      <c r="I136"/>
      <c r="J136" s="218">
        <f t="shared" ref="J136:J155" si="27">L65</f>
        <v>292.56</v>
      </c>
      <c r="K136"/>
      <c r="L136" s="218">
        <f t="shared" ref="L136:L155" si="28">N65</f>
        <v>292.56</v>
      </c>
      <c r="M136"/>
      <c r="N136" s="218">
        <f t="shared" ref="N136:N155" si="29">P65</f>
        <v>292.56</v>
      </c>
      <c r="O136"/>
      <c r="P136" s="218">
        <f t="shared" ref="P136:P155" si="30">R65</f>
        <v>292.56</v>
      </c>
      <c r="Q136"/>
      <c r="R136" s="218">
        <f t="shared" ref="R136:R155" si="31">T65</f>
        <v>292.56</v>
      </c>
      <c r="S136"/>
      <c r="T136" s="218">
        <f t="shared" ref="T136:T155" si="32">V65</f>
        <v>292.56</v>
      </c>
      <c r="U136"/>
      <c r="V136" s="218">
        <f t="shared" ref="V136:V155" si="33">X65</f>
        <v>292.56</v>
      </c>
      <c r="W136"/>
      <c r="X136" s="218">
        <f t="shared" ref="X136:X155" si="34">Z65</f>
        <v>292.56</v>
      </c>
      <c r="Y136"/>
      <c r="Z136" s="218">
        <f>Z65</f>
        <v>292.56</v>
      </c>
      <c r="AA136" s="220"/>
      <c r="AB136" s="220"/>
      <c r="AC136" s="224"/>
      <c r="AD136" s="225"/>
      <c r="AE136" s="226"/>
      <c r="AF136" s="225"/>
      <c r="AG136" s="225"/>
      <c r="AH136" s="225"/>
      <c r="AI136" s="225"/>
      <c r="AJ136" s="225"/>
    </row>
    <row r="137" spans="1:36" s="227" customFormat="1" ht="15.75" hidden="1" customHeight="1">
      <c r="A137" s="221"/>
      <c r="B137" t="s">
        <v>244</v>
      </c>
      <c r="C137"/>
      <c r="D137" s="218">
        <f t="shared" si="24"/>
        <v>292.56</v>
      </c>
      <c r="E137"/>
      <c r="F137" s="218">
        <f t="shared" si="25"/>
        <v>292.56</v>
      </c>
      <c r="G137"/>
      <c r="H137" s="218">
        <f t="shared" si="26"/>
        <v>292.56</v>
      </c>
      <c r="I137"/>
      <c r="J137" s="218">
        <f t="shared" si="27"/>
        <v>292.56</v>
      </c>
      <c r="K137"/>
      <c r="L137" s="218">
        <f t="shared" si="28"/>
        <v>292.56</v>
      </c>
      <c r="M137"/>
      <c r="N137" s="218">
        <f t="shared" si="29"/>
        <v>292.56</v>
      </c>
      <c r="O137"/>
      <c r="P137" s="218">
        <f t="shared" si="30"/>
        <v>292.56</v>
      </c>
      <c r="Q137"/>
      <c r="R137" s="218">
        <f t="shared" si="31"/>
        <v>292.56</v>
      </c>
      <c r="S137"/>
      <c r="T137" s="218">
        <f t="shared" si="32"/>
        <v>292.56</v>
      </c>
      <c r="U137"/>
      <c r="V137" s="218">
        <f t="shared" si="33"/>
        <v>292.56</v>
      </c>
      <c r="W137"/>
      <c r="X137" s="218">
        <f t="shared" si="34"/>
        <v>292.56</v>
      </c>
      <c r="Y137"/>
      <c r="Z137" s="218">
        <f t="shared" ref="Z137:Z155" si="35">Z66</f>
        <v>292.56</v>
      </c>
      <c r="AA137" s="220"/>
      <c r="AB137" s="220"/>
      <c r="AC137" s="224"/>
      <c r="AD137" s="225"/>
      <c r="AE137" s="226"/>
      <c r="AF137" s="225"/>
      <c r="AG137" s="225"/>
      <c r="AH137" s="225"/>
      <c r="AI137" s="225"/>
      <c r="AJ137" s="225"/>
    </row>
    <row r="138" spans="1:36" s="227" customFormat="1" ht="15.75" hidden="1" customHeight="1">
      <c r="A138" s="221"/>
      <c r="B138" t="s">
        <v>245</v>
      </c>
      <c r="C138"/>
      <c r="D138" s="218">
        <f t="shared" si="24"/>
        <v>292.56</v>
      </c>
      <c r="E138"/>
      <c r="F138" s="218">
        <f t="shared" si="25"/>
        <v>292.56</v>
      </c>
      <c r="G138"/>
      <c r="H138" s="218">
        <f t="shared" si="26"/>
        <v>292.56</v>
      </c>
      <c r="I138"/>
      <c r="J138" s="218">
        <f t="shared" si="27"/>
        <v>292.56</v>
      </c>
      <c r="K138"/>
      <c r="L138" s="218">
        <f t="shared" si="28"/>
        <v>292.56</v>
      </c>
      <c r="M138"/>
      <c r="N138" s="218">
        <f t="shared" si="29"/>
        <v>292.56</v>
      </c>
      <c r="O138"/>
      <c r="P138" s="218">
        <f t="shared" si="30"/>
        <v>292.56</v>
      </c>
      <c r="Q138"/>
      <c r="R138" s="218">
        <f t="shared" si="31"/>
        <v>292.56</v>
      </c>
      <c r="S138"/>
      <c r="T138" s="218">
        <f t="shared" si="32"/>
        <v>292.56</v>
      </c>
      <c r="U138"/>
      <c r="V138" s="218">
        <f t="shared" si="33"/>
        <v>292.56</v>
      </c>
      <c r="W138"/>
      <c r="X138" s="218">
        <f t="shared" si="34"/>
        <v>292.56</v>
      </c>
      <c r="Y138"/>
      <c r="Z138" s="218">
        <f t="shared" si="35"/>
        <v>292.56</v>
      </c>
      <c r="AA138" s="220"/>
      <c r="AB138" s="220"/>
      <c r="AC138" s="224"/>
      <c r="AD138" s="225"/>
      <c r="AE138" s="226"/>
      <c r="AF138" s="225"/>
      <c r="AG138" s="225"/>
      <c r="AH138" s="225"/>
      <c r="AI138" s="225"/>
      <c r="AJ138" s="225"/>
    </row>
    <row r="139" spans="1:36" s="227" customFormat="1" ht="15.75" hidden="1" customHeight="1">
      <c r="A139" s="221"/>
      <c r="B139" t="s">
        <v>246</v>
      </c>
      <c r="C139"/>
      <c r="D139" s="218">
        <f t="shared" si="24"/>
        <v>292.56</v>
      </c>
      <c r="E139"/>
      <c r="F139" s="218">
        <f t="shared" si="25"/>
        <v>292.56</v>
      </c>
      <c r="G139"/>
      <c r="H139" s="218">
        <f t="shared" si="26"/>
        <v>292.56</v>
      </c>
      <c r="I139"/>
      <c r="J139" s="218">
        <f t="shared" si="27"/>
        <v>292.56</v>
      </c>
      <c r="K139"/>
      <c r="L139" s="218">
        <f t="shared" si="28"/>
        <v>292.56</v>
      </c>
      <c r="M139"/>
      <c r="N139" s="218">
        <f t="shared" si="29"/>
        <v>292.56</v>
      </c>
      <c r="O139"/>
      <c r="P139" s="218">
        <f t="shared" si="30"/>
        <v>292.56</v>
      </c>
      <c r="Q139"/>
      <c r="R139" s="218">
        <f t="shared" si="31"/>
        <v>292.56</v>
      </c>
      <c r="S139"/>
      <c r="T139" s="218">
        <f t="shared" si="32"/>
        <v>292.56</v>
      </c>
      <c r="U139"/>
      <c r="V139" s="218">
        <f t="shared" si="33"/>
        <v>292.56</v>
      </c>
      <c r="W139"/>
      <c r="X139" s="218">
        <f t="shared" si="34"/>
        <v>292.56</v>
      </c>
      <c r="Y139"/>
      <c r="Z139" s="218">
        <f t="shared" si="35"/>
        <v>292.56</v>
      </c>
      <c r="AA139" s="220"/>
      <c r="AB139" s="220"/>
      <c r="AC139" s="224"/>
      <c r="AD139" s="225"/>
      <c r="AE139" s="226"/>
      <c r="AF139" s="225"/>
      <c r="AG139" s="225"/>
      <c r="AH139" s="225"/>
      <c r="AI139" s="225"/>
      <c r="AJ139" s="225"/>
    </row>
    <row r="140" spans="1:36" s="227" customFormat="1" ht="15.75" hidden="1" customHeight="1">
      <c r="A140" s="221"/>
      <c r="B140" t="s">
        <v>247</v>
      </c>
      <c r="C140"/>
      <c r="D140" s="218">
        <f t="shared" si="24"/>
        <v>292.56</v>
      </c>
      <c r="E140"/>
      <c r="F140" s="218">
        <f t="shared" si="25"/>
        <v>292.56</v>
      </c>
      <c r="G140"/>
      <c r="H140" s="218">
        <f t="shared" si="26"/>
        <v>292.56</v>
      </c>
      <c r="I140"/>
      <c r="J140" s="218">
        <f t="shared" si="27"/>
        <v>292.56</v>
      </c>
      <c r="K140"/>
      <c r="L140" s="218">
        <f t="shared" si="28"/>
        <v>292.56</v>
      </c>
      <c r="M140"/>
      <c r="N140" s="218">
        <f t="shared" si="29"/>
        <v>292.56</v>
      </c>
      <c r="O140"/>
      <c r="P140" s="218">
        <f t="shared" si="30"/>
        <v>292.56</v>
      </c>
      <c r="Q140"/>
      <c r="R140" s="218">
        <f t="shared" si="31"/>
        <v>292.56</v>
      </c>
      <c r="S140"/>
      <c r="T140" s="218">
        <f t="shared" si="32"/>
        <v>292.56</v>
      </c>
      <c r="U140"/>
      <c r="V140" s="218">
        <f t="shared" si="33"/>
        <v>292.56</v>
      </c>
      <c r="W140"/>
      <c r="X140" s="218">
        <f t="shared" si="34"/>
        <v>292.56</v>
      </c>
      <c r="Y140"/>
      <c r="Z140" s="218">
        <f t="shared" si="35"/>
        <v>292.56</v>
      </c>
      <c r="AA140" s="220"/>
      <c r="AB140" s="220"/>
      <c r="AC140" s="224"/>
      <c r="AD140" s="225"/>
      <c r="AE140" s="226"/>
      <c r="AF140" s="225"/>
      <c r="AG140" s="225"/>
      <c r="AH140" s="225"/>
      <c r="AI140" s="225"/>
      <c r="AJ140" s="225"/>
    </row>
    <row r="141" spans="1:36" s="227" customFormat="1" ht="15.75" hidden="1" customHeight="1">
      <c r="A141" s="221"/>
      <c r="B141" t="s">
        <v>248</v>
      </c>
      <c r="C141"/>
      <c r="D141" s="218">
        <f t="shared" si="24"/>
        <v>292.56</v>
      </c>
      <c r="E141"/>
      <c r="F141" s="218">
        <f t="shared" si="25"/>
        <v>292.56</v>
      </c>
      <c r="G141"/>
      <c r="H141" s="218">
        <f t="shared" si="26"/>
        <v>292.56</v>
      </c>
      <c r="I141"/>
      <c r="J141" s="218">
        <f t="shared" si="27"/>
        <v>292.56</v>
      </c>
      <c r="K141"/>
      <c r="L141" s="218">
        <f t="shared" si="28"/>
        <v>292.56</v>
      </c>
      <c r="M141"/>
      <c r="N141" s="218">
        <f t="shared" si="29"/>
        <v>292.56</v>
      </c>
      <c r="O141"/>
      <c r="P141" s="218">
        <f t="shared" si="30"/>
        <v>292.56</v>
      </c>
      <c r="Q141"/>
      <c r="R141" s="218">
        <f t="shared" si="31"/>
        <v>292.56</v>
      </c>
      <c r="S141"/>
      <c r="T141" s="218">
        <f t="shared" si="32"/>
        <v>292.56</v>
      </c>
      <c r="U141"/>
      <c r="V141" s="218">
        <f t="shared" si="33"/>
        <v>292.56</v>
      </c>
      <c r="W141"/>
      <c r="X141" s="218">
        <f t="shared" si="34"/>
        <v>292.56</v>
      </c>
      <c r="Y141"/>
      <c r="Z141" s="218">
        <f t="shared" si="35"/>
        <v>292.56</v>
      </c>
      <c r="AA141" s="220"/>
      <c r="AB141" s="220"/>
      <c r="AC141" s="224"/>
      <c r="AD141" s="225"/>
      <c r="AE141" s="226"/>
      <c r="AF141" s="225"/>
      <c r="AG141" s="225"/>
      <c r="AH141" s="225"/>
      <c r="AI141" s="225"/>
      <c r="AJ141" s="225"/>
    </row>
    <row r="142" spans="1:36" s="227" customFormat="1" ht="15.75" hidden="1" customHeight="1">
      <c r="A142" s="221"/>
      <c r="B142" t="s">
        <v>249</v>
      </c>
      <c r="C142"/>
      <c r="D142" s="218">
        <f t="shared" si="24"/>
        <v>292.56</v>
      </c>
      <c r="E142"/>
      <c r="F142" s="218">
        <f t="shared" si="25"/>
        <v>292.56</v>
      </c>
      <c r="G142"/>
      <c r="H142" s="218">
        <f t="shared" si="26"/>
        <v>292.56</v>
      </c>
      <c r="I142"/>
      <c r="J142" s="218">
        <f t="shared" si="27"/>
        <v>292.56</v>
      </c>
      <c r="K142"/>
      <c r="L142" s="218">
        <f t="shared" si="28"/>
        <v>292.56</v>
      </c>
      <c r="M142"/>
      <c r="N142" s="218">
        <f t="shared" si="29"/>
        <v>292.56</v>
      </c>
      <c r="O142"/>
      <c r="P142" s="218">
        <f t="shared" si="30"/>
        <v>292.56</v>
      </c>
      <c r="Q142"/>
      <c r="R142" s="218">
        <f t="shared" si="31"/>
        <v>292.56</v>
      </c>
      <c r="S142"/>
      <c r="T142" s="218">
        <f t="shared" si="32"/>
        <v>292.56</v>
      </c>
      <c r="U142"/>
      <c r="V142" s="218">
        <f t="shared" si="33"/>
        <v>292.56</v>
      </c>
      <c r="W142"/>
      <c r="X142" s="218">
        <f t="shared" si="34"/>
        <v>292.56</v>
      </c>
      <c r="Y142"/>
      <c r="Z142" s="218">
        <f t="shared" si="35"/>
        <v>292.56</v>
      </c>
      <c r="AA142" s="220"/>
      <c r="AB142" s="220"/>
      <c r="AC142" s="224"/>
      <c r="AD142" s="225"/>
      <c r="AE142" s="226"/>
      <c r="AF142" s="225"/>
      <c r="AG142" s="225"/>
      <c r="AH142" s="225"/>
      <c r="AI142" s="225"/>
      <c r="AJ142" s="225"/>
    </row>
    <row r="143" spans="1:36" s="227" customFormat="1" ht="15.75" hidden="1" customHeight="1">
      <c r="A143" s="221"/>
      <c r="B143" t="s">
        <v>250</v>
      </c>
      <c r="C143"/>
      <c r="D143" s="218">
        <f t="shared" si="24"/>
        <v>292.56</v>
      </c>
      <c r="E143"/>
      <c r="F143" s="218">
        <f t="shared" si="25"/>
        <v>292.56</v>
      </c>
      <c r="G143"/>
      <c r="H143" s="218">
        <f t="shared" si="26"/>
        <v>292.56</v>
      </c>
      <c r="I143"/>
      <c r="J143" s="218">
        <f t="shared" si="27"/>
        <v>292.56</v>
      </c>
      <c r="K143"/>
      <c r="L143" s="218">
        <f t="shared" si="28"/>
        <v>292.56</v>
      </c>
      <c r="M143"/>
      <c r="N143" s="218">
        <f t="shared" si="29"/>
        <v>292.56</v>
      </c>
      <c r="O143"/>
      <c r="P143" s="218">
        <f t="shared" si="30"/>
        <v>292.56</v>
      </c>
      <c r="Q143"/>
      <c r="R143" s="218">
        <f t="shared" si="31"/>
        <v>292.56</v>
      </c>
      <c r="S143"/>
      <c r="T143" s="218">
        <f t="shared" si="32"/>
        <v>292.56</v>
      </c>
      <c r="U143"/>
      <c r="V143" s="218">
        <f t="shared" si="33"/>
        <v>292.56</v>
      </c>
      <c r="W143"/>
      <c r="X143" s="218">
        <f t="shared" si="34"/>
        <v>292.56</v>
      </c>
      <c r="Y143"/>
      <c r="Z143" s="218">
        <f t="shared" si="35"/>
        <v>292.56</v>
      </c>
      <c r="AA143" s="220"/>
      <c r="AB143" s="220"/>
      <c r="AC143" s="224"/>
      <c r="AD143" s="225"/>
      <c r="AE143" s="226"/>
      <c r="AF143" s="225"/>
      <c r="AG143" s="225"/>
      <c r="AH143" s="225"/>
      <c r="AI143" s="225"/>
      <c r="AJ143" s="225"/>
    </row>
    <row r="144" spans="1:36" s="227" customFormat="1" ht="15.75" hidden="1" customHeight="1">
      <c r="A144" s="221"/>
      <c r="B144" t="s">
        <v>251</v>
      </c>
      <c r="C144"/>
      <c r="D144" s="218">
        <f t="shared" si="24"/>
        <v>292.56</v>
      </c>
      <c r="E144"/>
      <c r="F144" s="218">
        <f t="shared" si="25"/>
        <v>292.56</v>
      </c>
      <c r="G144"/>
      <c r="H144" s="218">
        <f t="shared" si="26"/>
        <v>292.56</v>
      </c>
      <c r="I144"/>
      <c r="J144" s="218">
        <f t="shared" si="27"/>
        <v>292.56</v>
      </c>
      <c r="K144"/>
      <c r="L144" s="218">
        <f t="shared" si="28"/>
        <v>292.56</v>
      </c>
      <c r="M144"/>
      <c r="N144" s="218">
        <f t="shared" si="29"/>
        <v>292.56</v>
      </c>
      <c r="O144"/>
      <c r="P144" s="218">
        <f t="shared" si="30"/>
        <v>292.56</v>
      </c>
      <c r="Q144"/>
      <c r="R144" s="218">
        <f t="shared" si="31"/>
        <v>292.56</v>
      </c>
      <c r="S144"/>
      <c r="T144" s="218">
        <f t="shared" si="32"/>
        <v>292.56</v>
      </c>
      <c r="U144"/>
      <c r="V144" s="218">
        <f t="shared" si="33"/>
        <v>292.56</v>
      </c>
      <c r="W144"/>
      <c r="X144" s="218">
        <f t="shared" si="34"/>
        <v>292.56</v>
      </c>
      <c r="Y144"/>
      <c r="Z144" s="218">
        <f t="shared" si="35"/>
        <v>292.56</v>
      </c>
      <c r="AA144" s="220"/>
      <c r="AB144" s="220"/>
      <c r="AC144" s="224"/>
      <c r="AD144" s="225"/>
      <c r="AE144" s="226"/>
      <c r="AF144" s="225"/>
      <c r="AG144" s="225"/>
      <c r="AH144" s="225"/>
      <c r="AI144" s="225"/>
      <c r="AJ144" s="225"/>
    </row>
    <row r="145" spans="1:36" s="227" customFormat="1" ht="15.75" hidden="1" customHeight="1">
      <c r="A145" s="221"/>
      <c r="B145" t="s">
        <v>252</v>
      </c>
      <c r="C145"/>
      <c r="D145" s="218">
        <f t="shared" si="24"/>
        <v>292.56</v>
      </c>
      <c r="E145"/>
      <c r="F145" s="218">
        <f t="shared" si="25"/>
        <v>292.56</v>
      </c>
      <c r="G145"/>
      <c r="H145" s="218">
        <f t="shared" si="26"/>
        <v>292.56</v>
      </c>
      <c r="I145"/>
      <c r="J145" s="218">
        <f t="shared" si="27"/>
        <v>292.56</v>
      </c>
      <c r="K145"/>
      <c r="L145" s="218">
        <f t="shared" si="28"/>
        <v>292.56</v>
      </c>
      <c r="M145"/>
      <c r="N145" s="218">
        <f t="shared" si="29"/>
        <v>292.56</v>
      </c>
      <c r="O145"/>
      <c r="P145" s="218">
        <f t="shared" si="30"/>
        <v>292.56</v>
      </c>
      <c r="Q145"/>
      <c r="R145" s="218">
        <f t="shared" si="31"/>
        <v>292.56</v>
      </c>
      <c r="S145"/>
      <c r="T145" s="218">
        <f t="shared" si="32"/>
        <v>292.56</v>
      </c>
      <c r="U145"/>
      <c r="V145" s="218">
        <f t="shared" si="33"/>
        <v>292.56</v>
      </c>
      <c r="W145"/>
      <c r="X145" s="218">
        <f t="shared" si="34"/>
        <v>292.56</v>
      </c>
      <c r="Y145"/>
      <c r="Z145" s="218">
        <f t="shared" si="35"/>
        <v>292.56</v>
      </c>
      <c r="AA145" s="220"/>
      <c r="AB145" s="220"/>
      <c r="AC145" s="224"/>
      <c r="AD145" s="225"/>
      <c r="AE145" s="226"/>
      <c r="AF145" s="225"/>
      <c r="AG145" s="225"/>
      <c r="AH145" s="225"/>
      <c r="AI145" s="225"/>
      <c r="AJ145" s="225"/>
    </row>
    <row r="146" spans="1:36" s="227" customFormat="1" ht="15.75" hidden="1" customHeight="1">
      <c r="A146" s="221"/>
      <c r="B146" t="s">
        <v>253</v>
      </c>
      <c r="C146"/>
      <c r="D146" s="218">
        <f t="shared" si="24"/>
        <v>292.56</v>
      </c>
      <c r="E146"/>
      <c r="F146" s="218">
        <f t="shared" si="25"/>
        <v>292.56</v>
      </c>
      <c r="G146"/>
      <c r="H146" s="218">
        <f t="shared" si="26"/>
        <v>292.56</v>
      </c>
      <c r="I146"/>
      <c r="J146" s="218">
        <f t="shared" si="27"/>
        <v>292.56</v>
      </c>
      <c r="K146"/>
      <c r="L146" s="218">
        <f t="shared" si="28"/>
        <v>292.56</v>
      </c>
      <c r="M146"/>
      <c r="N146" s="218">
        <f t="shared" si="29"/>
        <v>292.56</v>
      </c>
      <c r="O146"/>
      <c r="P146" s="218">
        <f t="shared" si="30"/>
        <v>292.56</v>
      </c>
      <c r="Q146"/>
      <c r="R146" s="218">
        <f t="shared" si="31"/>
        <v>292.56</v>
      </c>
      <c r="S146"/>
      <c r="T146" s="218">
        <f t="shared" si="32"/>
        <v>292.56</v>
      </c>
      <c r="U146"/>
      <c r="V146" s="218">
        <f t="shared" si="33"/>
        <v>292.56</v>
      </c>
      <c r="W146"/>
      <c r="X146" s="218">
        <f t="shared" si="34"/>
        <v>292.56</v>
      </c>
      <c r="Y146"/>
      <c r="Z146" s="218">
        <f t="shared" si="35"/>
        <v>292.56</v>
      </c>
      <c r="AA146" s="220"/>
      <c r="AB146" s="220"/>
      <c r="AC146" s="224"/>
      <c r="AD146" s="225"/>
      <c r="AE146" s="226"/>
      <c r="AF146" s="225"/>
      <c r="AG146" s="225"/>
      <c r="AH146" s="225"/>
      <c r="AI146" s="225"/>
      <c r="AJ146" s="225"/>
    </row>
    <row r="147" spans="1:36" s="227" customFormat="1" ht="15.75" hidden="1" customHeight="1">
      <c r="A147" s="221"/>
      <c r="B147" t="s">
        <v>254</v>
      </c>
      <c r="C147"/>
      <c r="D147" s="218">
        <f t="shared" si="24"/>
        <v>292.56</v>
      </c>
      <c r="E147"/>
      <c r="F147" s="218">
        <f t="shared" si="25"/>
        <v>292.56</v>
      </c>
      <c r="G147"/>
      <c r="H147" s="218">
        <f t="shared" si="26"/>
        <v>292.56</v>
      </c>
      <c r="I147"/>
      <c r="J147" s="218">
        <f t="shared" si="27"/>
        <v>292.56</v>
      </c>
      <c r="K147"/>
      <c r="L147" s="218">
        <f t="shared" si="28"/>
        <v>292.56</v>
      </c>
      <c r="M147"/>
      <c r="N147" s="218">
        <f t="shared" si="29"/>
        <v>292.56</v>
      </c>
      <c r="O147"/>
      <c r="P147" s="218">
        <f t="shared" si="30"/>
        <v>292.56</v>
      </c>
      <c r="Q147"/>
      <c r="R147" s="218">
        <f t="shared" si="31"/>
        <v>292.56</v>
      </c>
      <c r="S147"/>
      <c r="T147" s="218">
        <f t="shared" si="32"/>
        <v>292.56</v>
      </c>
      <c r="U147"/>
      <c r="V147" s="218">
        <f t="shared" si="33"/>
        <v>292.56</v>
      </c>
      <c r="W147"/>
      <c r="X147" s="218">
        <f t="shared" si="34"/>
        <v>292.56</v>
      </c>
      <c r="Y147"/>
      <c r="Z147" s="218">
        <f t="shared" si="35"/>
        <v>292.56</v>
      </c>
      <c r="AA147" s="220"/>
      <c r="AB147" s="220"/>
      <c r="AC147" s="224"/>
      <c r="AD147" s="225"/>
      <c r="AE147" s="226"/>
      <c r="AF147" s="225"/>
      <c r="AG147" s="225"/>
      <c r="AH147" s="225"/>
      <c r="AI147" s="225"/>
      <c r="AJ147" s="225"/>
    </row>
    <row r="148" spans="1:36" s="227" customFormat="1" ht="15.75" hidden="1" customHeight="1">
      <c r="A148" s="221"/>
      <c r="B148" t="s">
        <v>255</v>
      </c>
      <c r="C148"/>
      <c r="D148" s="218">
        <f t="shared" si="24"/>
        <v>292.56</v>
      </c>
      <c r="E148"/>
      <c r="F148" s="218">
        <f t="shared" si="25"/>
        <v>292.56</v>
      </c>
      <c r="G148"/>
      <c r="H148" s="218">
        <f t="shared" si="26"/>
        <v>292.56</v>
      </c>
      <c r="I148"/>
      <c r="J148" s="218">
        <f t="shared" si="27"/>
        <v>292.56</v>
      </c>
      <c r="K148"/>
      <c r="L148" s="218">
        <f t="shared" si="28"/>
        <v>292.56</v>
      </c>
      <c r="M148"/>
      <c r="N148" s="218">
        <f t="shared" si="29"/>
        <v>292.56</v>
      </c>
      <c r="O148"/>
      <c r="P148" s="218">
        <f t="shared" si="30"/>
        <v>292.56</v>
      </c>
      <c r="Q148"/>
      <c r="R148" s="218">
        <f t="shared" si="31"/>
        <v>292.56</v>
      </c>
      <c r="S148"/>
      <c r="T148" s="218">
        <f t="shared" si="32"/>
        <v>292.56</v>
      </c>
      <c r="U148"/>
      <c r="V148" s="218">
        <f t="shared" si="33"/>
        <v>292.56</v>
      </c>
      <c r="W148"/>
      <c r="X148" s="218">
        <f t="shared" si="34"/>
        <v>292.56</v>
      </c>
      <c r="Y148"/>
      <c r="Z148" s="218">
        <f t="shared" si="35"/>
        <v>292.56</v>
      </c>
      <c r="AA148" s="220"/>
      <c r="AB148" s="220"/>
      <c r="AC148" s="224"/>
      <c r="AD148" s="225"/>
      <c r="AE148" s="226"/>
      <c r="AF148" s="225"/>
      <c r="AG148" s="225"/>
      <c r="AH148" s="225"/>
      <c r="AI148" s="225"/>
      <c r="AJ148" s="225"/>
    </row>
    <row r="149" spans="1:36" s="227" customFormat="1" ht="15.75" hidden="1" customHeight="1">
      <c r="A149" s="221"/>
      <c r="B149" t="s">
        <v>256</v>
      </c>
      <c r="C149"/>
      <c r="D149" s="218">
        <f t="shared" si="24"/>
        <v>292.56</v>
      </c>
      <c r="E149"/>
      <c r="F149" s="218">
        <f t="shared" si="25"/>
        <v>292.56</v>
      </c>
      <c r="G149"/>
      <c r="H149" s="218">
        <f t="shared" si="26"/>
        <v>292.56</v>
      </c>
      <c r="I149"/>
      <c r="J149" s="218">
        <f t="shared" si="27"/>
        <v>292.56</v>
      </c>
      <c r="K149"/>
      <c r="L149" s="218">
        <f t="shared" si="28"/>
        <v>292.56</v>
      </c>
      <c r="M149"/>
      <c r="N149" s="218">
        <f t="shared" si="29"/>
        <v>292.56</v>
      </c>
      <c r="O149"/>
      <c r="P149" s="218">
        <f t="shared" si="30"/>
        <v>292.56</v>
      </c>
      <c r="Q149"/>
      <c r="R149" s="218">
        <f t="shared" si="31"/>
        <v>292.56</v>
      </c>
      <c r="S149"/>
      <c r="T149" s="218">
        <f t="shared" si="32"/>
        <v>292.56</v>
      </c>
      <c r="U149"/>
      <c r="V149" s="218">
        <f t="shared" si="33"/>
        <v>292.56</v>
      </c>
      <c r="W149"/>
      <c r="X149" s="218">
        <f t="shared" si="34"/>
        <v>292.56</v>
      </c>
      <c r="Y149"/>
      <c r="Z149" s="218">
        <f t="shared" si="35"/>
        <v>292.56</v>
      </c>
      <c r="AA149" s="220"/>
      <c r="AB149" s="220"/>
      <c r="AC149" s="224"/>
      <c r="AD149" s="225"/>
      <c r="AE149" s="226"/>
      <c r="AF149" s="225"/>
      <c r="AG149" s="225"/>
      <c r="AH149" s="225"/>
      <c r="AI149" s="225"/>
      <c r="AJ149" s="225"/>
    </row>
    <row r="150" spans="1:36" s="227" customFormat="1" ht="15.75" hidden="1" customHeight="1">
      <c r="A150" s="221"/>
      <c r="B150" t="s">
        <v>257</v>
      </c>
      <c r="C150"/>
      <c r="D150" s="218">
        <f t="shared" si="24"/>
        <v>292.56</v>
      </c>
      <c r="E150"/>
      <c r="F150" s="218">
        <f t="shared" si="25"/>
        <v>292.56</v>
      </c>
      <c r="G150"/>
      <c r="H150" s="218">
        <f t="shared" si="26"/>
        <v>292.56</v>
      </c>
      <c r="I150"/>
      <c r="J150" s="218">
        <f t="shared" si="27"/>
        <v>292.56</v>
      </c>
      <c r="K150"/>
      <c r="L150" s="218">
        <f t="shared" si="28"/>
        <v>292.56</v>
      </c>
      <c r="M150"/>
      <c r="N150" s="218">
        <f t="shared" si="29"/>
        <v>292.56</v>
      </c>
      <c r="O150"/>
      <c r="P150" s="218">
        <f t="shared" si="30"/>
        <v>292.56</v>
      </c>
      <c r="Q150"/>
      <c r="R150" s="218">
        <f t="shared" si="31"/>
        <v>292.56</v>
      </c>
      <c r="S150"/>
      <c r="T150" s="218">
        <f t="shared" si="32"/>
        <v>292.56</v>
      </c>
      <c r="U150"/>
      <c r="V150" s="218">
        <f t="shared" si="33"/>
        <v>292.56</v>
      </c>
      <c r="W150"/>
      <c r="X150" s="218">
        <f t="shared" si="34"/>
        <v>292.56</v>
      </c>
      <c r="Y150"/>
      <c r="Z150" s="218">
        <f t="shared" si="35"/>
        <v>292.56</v>
      </c>
      <c r="AA150" s="220"/>
      <c r="AB150" s="220"/>
      <c r="AC150" s="224"/>
      <c r="AD150" s="225"/>
      <c r="AE150" s="226"/>
      <c r="AF150" s="225"/>
      <c r="AG150" s="225"/>
      <c r="AH150" s="225"/>
      <c r="AI150" s="225"/>
      <c r="AJ150" s="225"/>
    </row>
    <row r="151" spans="1:36" s="227" customFormat="1" ht="15.75" hidden="1" customHeight="1">
      <c r="A151" s="221"/>
      <c r="B151" t="s">
        <v>258</v>
      </c>
      <c r="C151"/>
      <c r="D151" s="218">
        <f t="shared" si="24"/>
        <v>292.56</v>
      </c>
      <c r="E151"/>
      <c r="F151" s="218">
        <f t="shared" si="25"/>
        <v>292.56</v>
      </c>
      <c r="G151"/>
      <c r="H151" s="218">
        <f t="shared" si="26"/>
        <v>292.56</v>
      </c>
      <c r="I151"/>
      <c r="J151" s="218">
        <f t="shared" si="27"/>
        <v>292.56</v>
      </c>
      <c r="K151"/>
      <c r="L151" s="218">
        <f t="shared" si="28"/>
        <v>292.56</v>
      </c>
      <c r="M151"/>
      <c r="N151" s="218">
        <f t="shared" si="29"/>
        <v>292.56</v>
      </c>
      <c r="O151"/>
      <c r="P151" s="218">
        <f t="shared" si="30"/>
        <v>292.56</v>
      </c>
      <c r="Q151"/>
      <c r="R151" s="218">
        <f t="shared" si="31"/>
        <v>292.56</v>
      </c>
      <c r="S151"/>
      <c r="T151" s="218">
        <f t="shared" si="32"/>
        <v>292.56</v>
      </c>
      <c r="U151"/>
      <c r="V151" s="218">
        <f t="shared" si="33"/>
        <v>292.56</v>
      </c>
      <c r="W151"/>
      <c r="X151" s="218">
        <f t="shared" si="34"/>
        <v>292.56</v>
      </c>
      <c r="Y151"/>
      <c r="Z151" s="218">
        <f t="shared" si="35"/>
        <v>292.56</v>
      </c>
      <c r="AA151" s="220"/>
      <c r="AB151" s="220"/>
      <c r="AC151" s="224"/>
      <c r="AD151" s="225"/>
      <c r="AE151" s="226"/>
      <c r="AF151" s="225"/>
      <c r="AG151" s="225"/>
      <c r="AH151" s="225"/>
      <c r="AI151" s="225"/>
      <c r="AJ151" s="225"/>
    </row>
    <row r="152" spans="1:36" s="227" customFormat="1" ht="15.75" hidden="1" customHeight="1">
      <c r="A152" s="221"/>
      <c r="B152" t="s">
        <v>259</v>
      </c>
      <c r="C152"/>
      <c r="D152" s="218">
        <f t="shared" si="24"/>
        <v>292.56</v>
      </c>
      <c r="E152"/>
      <c r="F152" s="218">
        <f t="shared" si="25"/>
        <v>292.56</v>
      </c>
      <c r="G152"/>
      <c r="H152" s="218">
        <f t="shared" si="26"/>
        <v>292.56</v>
      </c>
      <c r="I152"/>
      <c r="J152" s="218">
        <f t="shared" si="27"/>
        <v>292.56</v>
      </c>
      <c r="K152"/>
      <c r="L152" s="218">
        <f t="shared" si="28"/>
        <v>292.56</v>
      </c>
      <c r="M152"/>
      <c r="N152" s="218">
        <f t="shared" si="29"/>
        <v>292.56</v>
      </c>
      <c r="O152"/>
      <c r="P152" s="218">
        <f t="shared" si="30"/>
        <v>292.56</v>
      </c>
      <c r="Q152"/>
      <c r="R152" s="218">
        <f t="shared" si="31"/>
        <v>292.56</v>
      </c>
      <c r="S152"/>
      <c r="T152" s="218">
        <f t="shared" si="32"/>
        <v>292.56</v>
      </c>
      <c r="U152"/>
      <c r="V152" s="218">
        <f t="shared" si="33"/>
        <v>292.56</v>
      </c>
      <c r="W152"/>
      <c r="X152" s="218">
        <f t="shared" si="34"/>
        <v>292.56</v>
      </c>
      <c r="Y152"/>
      <c r="Z152" s="218">
        <f t="shared" si="35"/>
        <v>292.56</v>
      </c>
      <c r="AA152" s="220"/>
      <c r="AB152" s="220"/>
      <c r="AC152" s="224"/>
      <c r="AD152" s="225"/>
      <c r="AE152" s="226"/>
      <c r="AF152" s="225"/>
      <c r="AG152" s="225"/>
      <c r="AH152" s="225"/>
      <c r="AI152" s="225"/>
      <c r="AJ152" s="225"/>
    </row>
    <row r="153" spans="1:36" s="227" customFormat="1" ht="15.75" hidden="1" customHeight="1">
      <c r="A153" s="221"/>
      <c r="B153" t="s">
        <v>260</v>
      </c>
      <c r="C153"/>
      <c r="D153" s="218">
        <f t="shared" si="24"/>
        <v>292.56</v>
      </c>
      <c r="E153"/>
      <c r="F153" s="218">
        <f t="shared" si="25"/>
        <v>292.56</v>
      </c>
      <c r="G153"/>
      <c r="H153" s="218">
        <f t="shared" si="26"/>
        <v>292.56</v>
      </c>
      <c r="I153"/>
      <c r="J153" s="218">
        <f t="shared" si="27"/>
        <v>292.56</v>
      </c>
      <c r="K153"/>
      <c r="L153" s="218">
        <f t="shared" si="28"/>
        <v>292.56</v>
      </c>
      <c r="M153"/>
      <c r="N153" s="218">
        <f t="shared" si="29"/>
        <v>292.56</v>
      </c>
      <c r="O153"/>
      <c r="P153" s="218">
        <f t="shared" si="30"/>
        <v>292.56</v>
      </c>
      <c r="Q153"/>
      <c r="R153" s="218">
        <f t="shared" si="31"/>
        <v>292.56</v>
      </c>
      <c r="S153"/>
      <c r="T153" s="218">
        <f t="shared" si="32"/>
        <v>292.56</v>
      </c>
      <c r="U153"/>
      <c r="V153" s="218">
        <f t="shared" si="33"/>
        <v>292.56</v>
      </c>
      <c r="W153"/>
      <c r="X153" s="218">
        <f t="shared" si="34"/>
        <v>292.56</v>
      </c>
      <c r="Y153"/>
      <c r="Z153" s="218">
        <f t="shared" si="35"/>
        <v>292.56</v>
      </c>
      <c r="AA153" s="220"/>
      <c r="AB153" s="220"/>
      <c r="AC153" s="224"/>
      <c r="AD153" s="225"/>
      <c r="AE153" s="226"/>
      <c r="AF153" s="225"/>
      <c r="AG153" s="225"/>
      <c r="AH153" s="225"/>
      <c r="AI153" s="225"/>
      <c r="AJ153" s="225"/>
    </row>
    <row r="154" spans="1:36" s="227" customFormat="1" ht="15.75" hidden="1" customHeight="1">
      <c r="A154" s="221"/>
      <c r="B154" t="s">
        <v>261</v>
      </c>
      <c r="C154"/>
      <c r="D154" s="218">
        <f t="shared" si="24"/>
        <v>292.56</v>
      </c>
      <c r="E154"/>
      <c r="F154" s="218">
        <f t="shared" si="25"/>
        <v>292.56</v>
      </c>
      <c r="G154"/>
      <c r="H154" s="218">
        <f t="shared" si="26"/>
        <v>292.56</v>
      </c>
      <c r="I154"/>
      <c r="J154" s="218">
        <f t="shared" si="27"/>
        <v>292.56</v>
      </c>
      <c r="K154"/>
      <c r="L154" s="218">
        <f t="shared" si="28"/>
        <v>292.56</v>
      </c>
      <c r="M154"/>
      <c r="N154" s="218">
        <f t="shared" si="29"/>
        <v>292.56</v>
      </c>
      <c r="O154"/>
      <c r="P154" s="218">
        <f t="shared" si="30"/>
        <v>292.56</v>
      </c>
      <c r="Q154"/>
      <c r="R154" s="218">
        <f t="shared" si="31"/>
        <v>292.56</v>
      </c>
      <c r="S154"/>
      <c r="T154" s="218">
        <f t="shared" si="32"/>
        <v>292.56</v>
      </c>
      <c r="U154"/>
      <c r="V154" s="218">
        <f t="shared" si="33"/>
        <v>292.56</v>
      </c>
      <c r="W154"/>
      <c r="X154" s="218">
        <f t="shared" si="34"/>
        <v>292.56</v>
      </c>
      <c r="Y154"/>
      <c r="Z154" s="218">
        <f t="shared" si="35"/>
        <v>292.56</v>
      </c>
      <c r="AA154" s="220"/>
      <c r="AB154" s="220"/>
      <c r="AC154" s="224"/>
      <c r="AD154" s="225"/>
      <c r="AE154" s="226"/>
      <c r="AF154" s="225"/>
      <c r="AG154" s="225"/>
      <c r="AH154" s="225"/>
      <c r="AI154" s="225"/>
      <c r="AJ154" s="225"/>
    </row>
    <row r="155" spans="1:36" s="227" customFormat="1" ht="15.75" hidden="1" customHeight="1">
      <c r="A155" s="221"/>
      <c r="B155" t="s">
        <v>262</v>
      </c>
      <c r="C155"/>
      <c r="D155" s="218">
        <f t="shared" si="24"/>
        <v>292.56</v>
      </c>
      <c r="E155"/>
      <c r="F155" s="218">
        <f t="shared" si="25"/>
        <v>292.56</v>
      </c>
      <c r="G155"/>
      <c r="H155" s="218">
        <f t="shared" si="26"/>
        <v>292.56</v>
      </c>
      <c r="I155"/>
      <c r="J155" s="218">
        <f t="shared" si="27"/>
        <v>292.56</v>
      </c>
      <c r="K155"/>
      <c r="L155" s="218">
        <f t="shared" si="28"/>
        <v>292.56</v>
      </c>
      <c r="M155"/>
      <c r="N155" s="218">
        <f t="shared" si="29"/>
        <v>292.56</v>
      </c>
      <c r="O155"/>
      <c r="P155" s="218">
        <f t="shared" si="30"/>
        <v>292.56</v>
      </c>
      <c r="Q155"/>
      <c r="R155" s="218">
        <f t="shared" si="31"/>
        <v>292.56</v>
      </c>
      <c r="S155"/>
      <c r="T155" s="218">
        <f t="shared" si="32"/>
        <v>292.56</v>
      </c>
      <c r="U155"/>
      <c r="V155" s="218">
        <f t="shared" si="33"/>
        <v>292.56</v>
      </c>
      <c r="W155"/>
      <c r="X155" s="218">
        <f t="shared" si="34"/>
        <v>292.56</v>
      </c>
      <c r="Y155"/>
      <c r="Z155" s="218">
        <f t="shared" si="35"/>
        <v>292.56</v>
      </c>
      <c r="AA155" s="220"/>
      <c r="AB155" s="220"/>
      <c r="AC155" s="224"/>
      <c r="AD155" s="225"/>
      <c r="AE155" s="226"/>
      <c r="AF155" s="225"/>
      <c r="AG155" s="225"/>
      <c r="AH155" s="225"/>
      <c r="AI155" s="225"/>
      <c r="AJ155" s="225"/>
    </row>
    <row r="156" spans="1:36" s="227" customFormat="1" ht="15.75" hidden="1" customHeight="1">
      <c r="A156" s="221"/>
      <c r="B156" s="222"/>
      <c r="C156" s="222"/>
      <c r="D156" s="218"/>
      <c r="E156" s="222"/>
      <c r="F156" s="218"/>
      <c r="G156" s="222"/>
      <c r="H156" s="218"/>
      <c r="I156" s="222"/>
      <c r="J156" s="218"/>
      <c r="K156" s="222"/>
      <c r="L156" s="218"/>
      <c r="M156" s="222"/>
      <c r="N156" s="218"/>
      <c r="O156" s="222"/>
      <c r="P156" s="218"/>
      <c r="Q156" s="222"/>
      <c r="R156" s="218"/>
      <c r="S156" s="222"/>
      <c r="T156" s="218"/>
      <c r="U156" s="222"/>
      <c r="V156" s="218"/>
      <c r="W156" s="222"/>
      <c r="X156" s="218"/>
      <c r="Y156" s="222"/>
      <c r="Z156" s="218"/>
      <c r="AA156" s="220"/>
      <c r="AB156" s="220"/>
      <c r="AC156" s="224"/>
      <c r="AD156" s="225"/>
      <c r="AE156" s="226"/>
      <c r="AF156" s="225"/>
      <c r="AG156" s="225"/>
      <c r="AH156" s="225"/>
      <c r="AI156" s="225"/>
      <c r="AJ156" s="225"/>
    </row>
    <row r="157" spans="1:36" s="227" customFormat="1" ht="15.75" hidden="1" customHeight="1">
      <c r="A157" s="221"/>
      <c r="B157" s="222" t="s">
        <v>263</v>
      </c>
      <c r="C157" s="222"/>
      <c r="D157" s="223">
        <f>SUM(D136:D156)</f>
        <v>5851.2000000000016</v>
      </c>
      <c r="E157" s="222"/>
      <c r="F157" s="223">
        <f>SUM(F136:F156)</f>
        <v>5851.2000000000016</v>
      </c>
      <c r="G157" s="222"/>
      <c r="H157" s="223">
        <f>SUM(H136:H156)</f>
        <v>5851.2000000000016</v>
      </c>
      <c r="I157" s="222"/>
      <c r="J157" s="223">
        <f>SUM(J136:J155)</f>
        <v>5851.2000000000016</v>
      </c>
      <c r="K157" s="222"/>
      <c r="L157" s="223">
        <f>SUM(L136:L155)</f>
        <v>5851.2000000000016</v>
      </c>
      <c r="M157" s="222"/>
      <c r="N157" s="223">
        <f>SUM(N136:N156)</f>
        <v>5851.2000000000016</v>
      </c>
      <c r="O157" s="222"/>
      <c r="P157" s="223">
        <f>SUM(P136:P156)</f>
        <v>5851.2000000000016</v>
      </c>
      <c r="Q157" s="222"/>
      <c r="R157" s="223">
        <f>SUM(R136:R156)</f>
        <v>5851.2000000000016</v>
      </c>
      <c r="S157" s="222"/>
      <c r="T157" s="223">
        <f>SUM(T136:T156)</f>
        <v>5851.2000000000016</v>
      </c>
      <c r="U157" s="222"/>
      <c r="V157" s="223">
        <f>SUM(V136:V156)</f>
        <v>5851.2000000000016</v>
      </c>
      <c r="W157" s="222"/>
      <c r="X157" s="223">
        <f>SUM(X136:X156)</f>
        <v>5851.2000000000016</v>
      </c>
      <c r="Y157" s="222"/>
      <c r="Z157" s="223">
        <f>SUM(Z136:Z156)</f>
        <v>5851.2000000000016</v>
      </c>
      <c r="AA157" s="223">
        <f>SUM(D157:Z157)</f>
        <v>70214.400000000038</v>
      </c>
      <c r="AB157" s="223">
        <f>AA157/12</f>
        <v>5851.2000000000035</v>
      </c>
      <c r="AC157" s="224"/>
      <c r="AD157" s="225"/>
      <c r="AE157" s="226"/>
      <c r="AF157" s="225"/>
      <c r="AG157" s="225"/>
      <c r="AH157" s="225"/>
      <c r="AI157" s="225"/>
      <c r="AJ157" s="225"/>
    </row>
    <row r="158" spans="1:36" s="227" customFormat="1" ht="15.75" hidden="1" customHeight="1">
      <c r="A158" s="221"/>
      <c r="B158" s="222"/>
      <c r="C158" s="222"/>
      <c r="D158" s="218"/>
      <c r="E158" s="222"/>
      <c r="F158" s="218"/>
      <c r="G158" s="222"/>
      <c r="H158" s="218"/>
      <c r="I158" s="222"/>
      <c r="J158" s="218"/>
      <c r="K158" s="222"/>
      <c r="L158" s="218"/>
      <c r="M158" s="222"/>
      <c r="N158" s="218"/>
      <c r="O158" s="222"/>
      <c r="P158" s="218"/>
      <c r="Q158" s="222"/>
      <c r="R158" s="218"/>
      <c r="S158" s="222"/>
      <c r="T158" s="218"/>
      <c r="U158" s="222"/>
      <c r="V158" s="218"/>
      <c r="W158" s="222"/>
      <c r="X158" s="218"/>
      <c r="Y158" s="222"/>
      <c r="Z158" s="218"/>
      <c r="AA158" s="220"/>
      <c r="AB158" s="220"/>
      <c r="AC158" s="224"/>
      <c r="AD158" s="225"/>
      <c r="AE158" s="226"/>
      <c r="AF158" s="225"/>
      <c r="AG158" s="225"/>
      <c r="AH158" s="225"/>
      <c r="AI158" s="225"/>
      <c r="AJ158" s="225"/>
    </row>
    <row r="159" spans="1:36" s="227" customFormat="1" ht="15.75" hidden="1" customHeight="1">
      <c r="A159" s="221"/>
      <c r="B159" t="s">
        <v>264</v>
      </c>
      <c r="C159">
        <f>(C88+C36)/2</f>
        <v>2001</v>
      </c>
      <c r="D159" s="218">
        <f>C159*$C$169</f>
        <v>3889.944</v>
      </c>
      <c r="E159">
        <f>(E88+E36)/2</f>
        <v>1897.9994855967079</v>
      </c>
      <c r="F159" s="218">
        <f>E159*$C$169</f>
        <v>3689.7110000000002</v>
      </c>
      <c r="G159">
        <f>(G88+G36)/2</f>
        <v>1835.4998684084601</v>
      </c>
      <c r="H159" s="218">
        <f>G159*$C$169</f>
        <v>3568.2117441860464</v>
      </c>
      <c r="I159">
        <f>(I88+I36)/2</f>
        <v>1626.4994855967079</v>
      </c>
      <c r="J159" s="218">
        <f>I159*$C$169</f>
        <v>3161.915</v>
      </c>
      <c r="K159">
        <f>(K88+K36)/2</f>
        <v>1395.0010288065844</v>
      </c>
      <c r="L159" s="218">
        <f>K159*$C$169</f>
        <v>2711.8820000000001</v>
      </c>
      <c r="M159">
        <f>(M88+M36)/2</f>
        <v>1307.0010288065846</v>
      </c>
      <c r="N159" s="218">
        <f>M159*$C$169</f>
        <v>2540.8100000000004</v>
      </c>
      <c r="O159">
        <f>(O88+O36)/2</f>
        <v>1398.9994855967079</v>
      </c>
      <c r="P159" s="218">
        <f>O159*$C$169</f>
        <v>2719.6550000000002</v>
      </c>
      <c r="Q159">
        <f>(Q88+Q36)/2</f>
        <v>1525.5020399289301</v>
      </c>
      <c r="R159" s="218">
        <f>Q159*$C$169</f>
        <v>2965.5759656218402</v>
      </c>
      <c r="S159">
        <f>(S88+S36)/2</f>
        <v>1311.498988877654</v>
      </c>
      <c r="T159" s="218">
        <f>S159*$C$169</f>
        <v>2549.5540343781595</v>
      </c>
      <c r="U159">
        <f>(U88+U36)/2</f>
        <v>1369.4994944388272</v>
      </c>
      <c r="V159" s="218">
        <f>U159*$C$169</f>
        <v>2662.3070171890799</v>
      </c>
      <c r="W159">
        <f>(W88+W36)/2</f>
        <v>1542.4984656322426</v>
      </c>
      <c r="X159" s="218">
        <f>W159*$C$169</f>
        <v>2998.6170171890794</v>
      </c>
      <c r="Y159">
        <f>(Y88+Y36)/2</f>
        <v>1794.5010288065846</v>
      </c>
      <c r="Z159" s="218">
        <f>Y159*$C$169</f>
        <v>3488.51</v>
      </c>
      <c r="AA159" s="220"/>
      <c r="AB159" s="220"/>
      <c r="AC159" s="224"/>
      <c r="AD159" s="225"/>
      <c r="AE159" s="226"/>
      <c r="AF159" s="225"/>
      <c r="AG159" s="225"/>
      <c r="AH159" s="225"/>
      <c r="AI159" s="225"/>
      <c r="AJ159" s="225"/>
    </row>
    <row r="160" spans="1:36" s="227" customFormat="1" ht="15.75" hidden="1" customHeight="1">
      <c r="A160" s="221"/>
      <c r="B160" t="s">
        <v>265</v>
      </c>
      <c r="C160">
        <f>(C89+C37)/2</f>
        <v>1352</v>
      </c>
      <c r="D160" s="218">
        <f>C160*$C$169</f>
        <v>2628.288</v>
      </c>
      <c r="E160">
        <f>(E89+E37)/2</f>
        <v>1411.0005144032921</v>
      </c>
      <c r="F160" s="218">
        <f>E160*$C$169</f>
        <v>2742.9849999999997</v>
      </c>
      <c r="G160">
        <f>(G89+G37)/2</f>
        <v>1271.9976792037514</v>
      </c>
      <c r="H160" s="218">
        <f>G160*$C$169</f>
        <v>2472.7634883720925</v>
      </c>
      <c r="I160">
        <f>(I89+I37)/2</f>
        <v>1066.9989711934156</v>
      </c>
      <c r="J160" s="218">
        <f>I160*$C$169</f>
        <v>2074.2460000000001</v>
      </c>
      <c r="K160">
        <f>(K89+K37)/2</f>
        <v>842.99897119341563</v>
      </c>
      <c r="L160" s="218">
        <f>K160*$C$169</f>
        <v>1638.79</v>
      </c>
      <c r="M160">
        <f>(M89+M37)/2</f>
        <v>702.49846563224264</v>
      </c>
      <c r="N160" s="218">
        <f>M160*$C$169</f>
        <v>1365.6570171890796</v>
      </c>
      <c r="O160">
        <f>(O89+O37)/2</f>
        <v>715.99898003553494</v>
      </c>
      <c r="P160" s="218">
        <f>O160*$C$169</f>
        <v>1391.90201718908</v>
      </c>
      <c r="Q160">
        <f>(Q89+Q37)/2</f>
        <v>797.5</v>
      </c>
      <c r="R160" s="218">
        <f>Q160*$C$169</f>
        <v>1550.34</v>
      </c>
      <c r="S160">
        <f>(S89+S37)/2</f>
        <v>698.50051440329219</v>
      </c>
      <c r="T160" s="218">
        <f>S160*$C$169</f>
        <v>1357.885</v>
      </c>
      <c r="U160">
        <f>(U89+U37)/2</f>
        <v>794.49949443882701</v>
      </c>
      <c r="V160" s="218">
        <f>U160*$C$169</f>
        <v>1544.5070171890798</v>
      </c>
      <c r="W160">
        <f>(W89+W37)/2</f>
        <v>991.49898887765426</v>
      </c>
      <c r="X160" s="218">
        <f>W160*$C$169</f>
        <v>1927.4740343781598</v>
      </c>
      <c r="Y160">
        <f>(Y89+Y37)/2</f>
        <v>1146.9979600710699</v>
      </c>
      <c r="Z160" s="218">
        <f>Y160*$C$169</f>
        <v>2229.76403437816</v>
      </c>
      <c r="AA160" s="220"/>
      <c r="AB160" s="220"/>
      <c r="AC160" s="224"/>
      <c r="AD160" s="225"/>
      <c r="AE160" s="226"/>
      <c r="AF160" s="225"/>
      <c r="AG160" s="225"/>
      <c r="AH160" s="225"/>
      <c r="AI160" s="225"/>
      <c r="AJ160" s="225"/>
    </row>
    <row r="161" spans="1:39" s="227" customFormat="1" ht="15.75" hidden="1" customHeight="1">
      <c r="A161" s="221"/>
      <c r="B161" t="s">
        <v>266</v>
      </c>
      <c r="C161">
        <f>(C90+C38)/2</f>
        <v>1296.5</v>
      </c>
      <c r="D161" s="218">
        <f>C161*$C$169</f>
        <v>2520.3959999999997</v>
      </c>
      <c r="E161">
        <f>(E90+E38)/2</f>
        <v>1243.4994855967079</v>
      </c>
      <c r="F161" s="218">
        <f>E161*$C$169</f>
        <v>2417.3630000000003</v>
      </c>
      <c r="G161">
        <f>(G90+G38)/2</f>
        <v>1247.0010288065844</v>
      </c>
      <c r="H161" s="218">
        <f>G161*$C$169</f>
        <v>2424.17</v>
      </c>
      <c r="I161">
        <f>(I90+I38)/2</f>
        <v>1084.5005144032921</v>
      </c>
      <c r="J161" s="218">
        <f>I161*$C$169</f>
        <v>2108.2689999999998</v>
      </c>
      <c r="K161">
        <f>(K90+K38)/2</f>
        <v>1003.0010288065844</v>
      </c>
      <c r="L161" s="218">
        <f>K161*$C$169</f>
        <v>1949.8340000000001</v>
      </c>
      <c r="M161">
        <f>(M90+M38)/2</f>
        <v>892.99847447436196</v>
      </c>
      <c r="N161" s="218">
        <f>M161*$C$169</f>
        <v>1735.9890343781597</v>
      </c>
      <c r="O161">
        <f>(O90+O38)/2</f>
        <v>909.99846563224276</v>
      </c>
      <c r="P161" s="218">
        <f>O161*$C$169</f>
        <v>1769.03701718908</v>
      </c>
      <c r="Q161">
        <f>(Q90+Q38)/2</f>
        <v>926.99796007106988</v>
      </c>
      <c r="R161" s="218">
        <f>Q161*$C$169</f>
        <v>1802.0840343781599</v>
      </c>
      <c r="S161">
        <f>(S90+S38)/2</f>
        <v>876.5005232454115</v>
      </c>
      <c r="T161" s="218">
        <f>S161*$C$169</f>
        <v>1703.9170171890798</v>
      </c>
      <c r="U161">
        <f>(U90+U38)/2</f>
        <v>908.00050556117287</v>
      </c>
      <c r="V161" s="218">
        <f>U161*$C$169</f>
        <v>1765.1529828109201</v>
      </c>
      <c r="W161">
        <f>(W90+W38)/2</f>
        <v>1002.9989711934156</v>
      </c>
      <c r="X161" s="218">
        <f>W161*$C$169</f>
        <v>1949.83</v>
      </c>
      <c r="Y161">
        <f>(Y90+Y38)/2</f>
        <v>1122.5</v>
      </c>
      <c r="Z161" s="218">
        <f>Y161*$C$169</f>
        <v>2182.14</v>
      </c>
      <c r="AA161" s="220"/>
      <c r="AB161" s="220"/>
      <c r="AC161" s="224"/>
      <c r="AD161" s="225"/>
      <c r="AE161" s="226"/>
      <c r="AF161" s="225"/>
      <c r="AG161" s="225"/>
      <c r="AH161" s="225"/>
      <c r="AI161" s="225"/>
      <c r="AJ161" s="225"/>
    </row>
    <row r="162" spans="1:39" s="227" customFormat="1" ht="15.75" hidden="1" customHeight="1">
      <c r="A162" s="221"/>
      <c r="B162" t="s">
        <v>267</v>
      </c>
      <c r="C162">
        <f>(C91+C39)/2</f>
        <v>926</v>
      </c>
      <c r="D162" s="218">
        <f>C162*$C$169</f>
        <v>1800.144</v>
      </c>
      <c r="E162">
        <f>(E91+E39)/2</f>
        <v>979</v>
      </c>
      <c r="F162" s="218">
        <f>E162*$C$169</f>
        <v>1903.1759999999999</v>
      </c>
      <c r="G162">
        <f>(G91+G39)/2</f>
        <v>976.49948559670781</v>
      </c>
      <c r="H162" s="218">
        <f>G162*$C$169</f>
        <v>1898.3150000000001</v>
      </c>
      <c r="I162">
        <f>(I91+I39)/2</f>
        <v>907.5</v>
      </c>
      <c r="J162" s="218">
        <f>I162*$C$169</f>
        <v>1764.18</v>
      </c>
      <c r="K162">
        <f>(K91+K39)/2</f>
        <v>783</v>
      </c>
      <c r="L162" s="218">
        <f>K162*$C$169</f>
        <v>1522.152</v>
      </c>
      <c r="M162">
        <f>(M91+M39)/2</f>
        <v>655.99898003553494</v>
      </c>
      <c r="N162" s="218">
        <f>M162*$C$169</f>
        <v>1275.2620171890799</v>
      </c>
      <c r="O162">
        <f>(O91+O39)/2</f>
        <v>634.49796007106988</v>
      </c>
      <c r="P162" s="218">
        <f>O162*$C$169</f>
        <v>1233.4640343781598</v>
      </c>
      <c r="Q162">
        <f>(Q91+Q39)/2</f>
        <v>705.50203992893012</v>
      </c>
      <c r="R162" s="218">
        <f>Q162*$C$169</f>
        <v>1371.49596562184</v>
      </c>
      <c r="S162">
        <f>(S91+S39)/2</f>
        <v>631.49898887765426</v>
      </c>
      <c r="T162" s="218">
        <f>S162*$C$169</f>
        <v>1227.6340343781599</v>
      </c>
      <c r="U162">
        <f>(U91+U39)/2</f>
        <v>671.99796007106988</v>
      </c>
      <c r="V162" s="218">
        <f>U162*$C$169</f>
        <v>1306.3640343781599</v>
      </c>
      <c r="W162">
        <f>(W91+W39)/2</f>
        <v>747.49846563224276</v>
      </c>
      <c r="X162" s="218">
        <f>W162*$C$169</f>
        <v>1453.1370171890799</v>
      </c>
      <c r="Y162">
        <f>(Y91+Y39)/2</f>
        <v>821.49898887765426</v>
      </c>
      <c r="Z162" s="218">
        <f>Y162*$C$169</f>
        <v>1596.9940343781598</v>
      </c>
      <c r="AA162" s="220"/>
      <c r="AB162" s="220"/>
      <c r="AC162" s="224"/>
      <c r="AD162" s="225"/>
      <c r="AE162" s="226"/>
      <c r="AF162" s="225"/>
      <c r="AG162" s="225"/>
      <c r="AH162" s="225"/>
      <c r="AI162" s="225"/>
      <c r="AJ162" s="225"/>
    </row>
    <row r="163" spans="1:39" s="227" customFormat="1" ht="15.75" hidden="1" customHeight="1">
      <c r="A163" s="221"/>
      <c r="B163" t="s">
        <v>268</v>
      </c>
      <c r="C163">
        <f>(C92+C40)/2</f>
        <v>457</v>
      </c>
      <c r="D163" s="218">
        <f>C163*$C$169</f>
        <v>888.40800000000002</v>
      </c>
      <c r="E163">
        <f>(E92+E40)/2</f>
        <v>481.99897119341563</v>
      </c>
      <c r="F163" s="218">
        <f>E163*$C$169</f>
        <v>937.00599999999997</v>
      </c>
      <c r="G163">
        <f>(G92+G40)/2</f>
        <v>432.5007775863719</v>
      </c>
      <c r="H163" s="218">
        <f>G163*$C$169</f>
        <v>840.78151162790698</v>
      </c>
      <c r="I163">
        <f>(I92+I40)/2</f>
        <v>388.00051440329219</v>
      </c>
      <c r="J163" s="218">
        <f>I163*$C$169</f>
        <v>754.27300000000002</v>
      </c>
      <c r="K163">
        <f>(K92+K40)/2</f>
        <v>330.50102880658437</v>
      </c>
      <c r="L163" s="218">
        <f>K163*$C$169</f>
        <v>642.49400000000003</v>
      </c>
      <c r="M163">
        <f>(M92+M40)/2</f>
        <v>265.49897119341563</v>
      </c>
      <c r="N163" s="218">
        <f>M163*$C$169</f>
        <v>516.13</v>
      </c>
      <c r="O163">
        <f>(O92+O40)/2</f>
        <v>278.00203992893012</v>
      </c>
      <c r="P163" s="218">
        <f>O163*$C$169</f>
        <v>540.43596562184018</v>
      </c>
      <c r="Q163">
        <f>(Q92+Q40)/2</f>
        <v>298.50001768423851</v>
      </c>
      <c r="R163" s="218">
        <f>Q163*$C$169</f>
        <v>580.28403437815962</v>
      </c>
      <c r="S163">
        <f>(S92+S40)/2</f>
        <v>259.99950328094639</v>
      </c>
      <c r="T163" s="218">
        <f>S163*$C$169</f>
        <v>505.43903437815976</v>
      </c>
      <c r="U163">
        <f>(U92+U40)/2</f>
        <v>283.99948559670781</v>
      </c>
      <c r="V163" s="218">
        <f>U163*$C$169</f>
        <v>552.09500000000003</v>
      </c>
      <c r="W163">
        <f>(W92+W40)/2</f>
        <v>331.00001768423851</v>
      </c>
      <c r="X163" s="218">
        <f>W163*$C$169</f>
        <v>643.46403437815968</v>
      </c>
      <c r="Y163">
        <f>(Y92+Y40)/2</f>
        <v>394.00101996446506</v>
      </c>
      <c r="Z163" s="218">
        <f>Y163*$C$169</f>
        <v>765.93798281092006</v>
      </c>
      <c r="AA163" s="220"/>
      <c r="AB163" s="220"/>
      <c r="AC163" s="224"/>
      <c r="AD163" s="225"/>
      <c r="AE163" s="226"/>
      <c r="AF163" s="225"/>
      <c r="AG163" s="225"/>
      <c r="AH163" s="225"/>
      <c r="AI163" s="225"/>
      <c r="AJ163" s="225"/>
    </row>
    <row r="164" spans="1:39" s="227" customFormat="1" ht="15.75" hidden="1" customHeight="1">
      <c r="A164" s="221"/>
      <c r="B164" s="222"/>
      <c r="C164" s="222"/>
      <c r="D164" s="218"/>
      <c r="E164" s="222"/>
      <c r="F164" s="218"/>
      <c r="G164" s="222"/>
      <c r="H164" s="218"/>
      <c r="I164" s="222"/>
      <c r="J164" s="218"/>
      <c r="K164" s="222"/>
      <c r="L164" s="218"/>
      <c r="M164" s="222"/>
      <c r="N164" s="218"/>
      <c r="O164" s="222"/>
      <c r="P164" s="218"/>
      <c r="Q164" s="222"/>
      <c r="R164" s="218"/>
      <c r="S164" s="222"/>
      <c r="T164" s="218"/>
      <c r="U164" s="222"/>
      <c r="V164" s="218"/>
      <c r="W164" s="222"/>
      <c r="X164" s="218"/>
      <c r="Y164" s="222"/>
      <c r="Z164" s="218"/>
      <c r="AA164" s="220"/>
      <c r="AB164" s="220"/>
      <c r="AC164" s="224"/>
      <c r="AD164" s="225"/>
      <c r="AE164" s="226"/>
      <c r="AF164" s="225"/>
      <c r="AG164" s="225"/>
      <c r="AH164" s="225"/>
      <c r="AI164" s="225"/>
      <c r="AJ164" s="225"/>
    </row>
    <row r="165" spans="1:39" s="227" customFormat="1" ht="15.75" hidden="1" customHeight="1">
      <c r="A165" s="221"/>
      <c r="B165" s="222" t="s">
        <v>269</v>
      </c>
      <c r="C165" s="222"/>
      <c r="D165" s="223">
        <f>SUM(D159:D163)</f>
        <v>11727.18</v>
      </c>
      <c r="E165" s="222"/>
      <c r="F165" s="223">
        <f>SUM(F159:F163)</f>
        <v>11690.241</v>
      </c>
      <c r="G165" s="222"/>
      <c r="H165" s="223">
        <f>SUM(H159:H163)</f>
        <v>11204.241744186047</v>
      </c>
      <c r="I165" s="222"/>
      <c r="J165" s="223">
        <f>SUM(J159:J163)</f>
        <v>9862.8829999999998</v>
      </c>
      <c r="K165" s="222"/>
      <c r="L165" s="223">
        <f>SUM(L159:L163)</f>
        <v>8465.152</v>
      </c>
      <c r="M165" s="222"/>
      <c r="N165" s="223">
        <f>SUM(N159:N163)</f>
        <v>7433.8480687563197</v>
      </c>
      <c r="O165" s="222"/>
      <c r="P165" s="223">
        <f>SUM(P159:P163)</f>
        <v>7654.49403437816</v>
      </c>
      <c r="Q165" s="222"/>
      <c r="R165" s="223">
        <f>SUM(R159:R163)</f>
        <v>8269.7799999999988</v>
      </c>
      <c r="S165" s="222"/>
      <c r="T165" s="223">
        <f>SUM(T159:T163)</f>
        <v>7344.4291203235589</v>
      </c>
      <c r="U165" s="222"/>
      <c r="V165" s="223">
        <f>SUM(V159:V163)</f>
        <v>7830.4260515672395</v>
      </c>
      <c r="W165" s="222"/>
      <c r="X165" s="223">
        <f>SUM(X159:X163)</f>
        <v>8972.522103134479</v>
      </c>
      <c r="Y165" s="222"/>
      <c r="Z165" s="223">
        <f>SUM(Z159:Z163)</f>
        <v>10263.34605156724</v>
      </c>
      <c r="AA165" s="223">
        <f>SUM(D165:Z165)</f>
        <v>110718.54317391304</v>
      </c>
      <c r="AB165" s="223">
        <f>AA165/12</f>
        <v>9226.5452644927536</v>
      </c>
      <c r="AC165" s="225"/>
      <c r="AD165" s="226"/>
      <c r="AE165" s="225"/>
      <c r="AF165" s="225"/>
      <c r="AG165" s="225"/>
      <c r="AH165" s="225"/>
      <c r="AI165" s="225"/>
      <c r="AJ165" s="225"/>
    </row>
    <row r="166" spans="1:39" s="227" customFormat="1" ht="15.75" hidden="1" customHeight="1">
      <c r="A166" s="221"/>
      <c r="B166" s="222" t="s">
        <v>290</v>
      </c>
      <c r="C166" s="232"/>
      <c r="D166" s="241">
        <f>D165+D157+D134</f>
        <v>77401.788</v>
      </c>
      <c r="E166" s="222"/>
      <c r="F166" s="241">
        <f>F165+F157+F134</f>
        <v>73916.292000000001</v>
      </c>
      <c r="G166" s="222"/>
      <c r="H166" s="241">
        <f>H165+H157+H134</f>
        <v>70873.541074082954</v>
      </c>
      <c r="I166" s="222"/>
      <c r="J166" s="241">
        <f>J165+J157+J134</f>
        <v>66263.996329896909</v>
      </c>
      <c r="K166" s="222"/>
      <c r="L166" s="241">
        <f>L165+L157+L134</f>
        <v>58325.528000000006</v>
      </c>
      <c r="M166" s="222"/>
      <c r="N166" s="241">
        <f>N165+N157+N134</f>
        <v>56673.98606875632</v>
      </c>
      <c r="O166" s="222"/>
      <c r="P166" s="241">
        <f>P165+P157+P134</f>
        <v>59230.629034378158</v>
      </c>
      <c r="Q166" s="222"/>
      <c r="R166" s="241">
        <f>R165+R157+R134</f>
        <v>62841.896999999997</v>
      </c>
      <c r="S166" s="222"/>
      <c r="T166" s="241">
        <f>T165+T157+T134</f>
        <v>57233.529120323561</v>
      </c>
      <c r="U166" s="222"/>
      <c r="V166" s="241">
        <f>V165+V157+V134</f>
        <v>54183.470051567238</v>
      </c>
      <c r="W166" s="222"/>
      <c r="X166" s="241">
        <f>X165+X157+X134</f>
        <v>59475.180103134488</v>
      </c>
      <c r="Y166" s="222"/>
      <c r="Z166" s="241">
        <f>Z165+Z157+Z134</f>
        <v>66655.428051567229</v>
      </c>
      <c r="AA166" s="241">
        <f>AA165+AA157+AA134</f>
        <v>763075.2648337069</v>
      </c>
      <c r="AB166" s="241">
        <f>AB165+AB157+AB134</f>
        <v>63589.605402808913</v>
      </c>
      <c r="AC166" s="224"/>
      <c r="AD166" s="225"/>
      <c r="AE166" s="226"/>
      <c r="AF166" s="225"/>
      <c r="AG166" s="225"/>
      <c r="AH166" s="225"/>
      <c r="AI166" s="225"/>
      <c r="AJ166" s="225"/>
    </row>
    <row r="167" spans="1:39" hidden="1">
      <c r="C167" s="207" t="s">
        <v>274</v>
      </c>
    </row>
    <row r="168" spans="1:39" hidden="1">
      <c r="B168" s="205"/>
      <c r="C168" s="234"/>
      <c r="D168" s="235"/>
      <c r="G168" s="234"/>
      <c r="L168" s="235"/>
    </row>
    <row r="169" spans="1:39" hidden="1">
      <c r="B169" s="207" t="s">
        <v>291</v>
      </c>
      <c r="C169" s="207" t="s">
        <v>285</v>
      </c>
      <c r="D169" s="235"/>
      <c r="L169" s="235"/>
    </row>
    <row r="170" spans="1:39" hidden="1">
      <c r="B170" s="205"/>
      <c r="D170" s="235"/>
      <c r="L170" s="235"/>
    </row>
    <row r="171" spans="1:39" s="207" customFormat="1" hidden="1">
      <c r="A171" s="199"/>
      <c r="B171" s="207" t="s">
        <v>292</v>
      </c>
      <c r="C171" s="207" t="s">
        <v>288</v>
      </c>
      <c r="D171" s="235"/>
      <c r="F171" s="208"/>
      <c r="H171" s="208"/>
      <c r="J171" s="208"/>
      <c r="L171" s="235"/>
      <c r="N171" s="208"/>
      <c r="P171" s="208"/>
      <c r="R171" s="208"/>
      <c r="T171" s="208"/>
      <c r="V171" s="208"/>
      <c r="X171" s="208"/>
      <c r="Z171" s="208"/>
      <c r="AA171" s="208"/>
      <c r="AB171" s="208"/>
      <c r="AC171" s="208"/>
      <c r="AD171" s="211"/>
      <c r="AE171" s="205"/>
      <c r="AF171" s="205"/>
      <c r="AG171" s="205"/>
      <c r="AH171" s="205"/>
      <c r="AI171" s="205"/>
      <c r="AJ171" s="205"/>
      <c r="AK171" s="205"/>
      <c r="AL171" s="205"/>
      <c r="AM171" s="205"/>
    </row>
    <row r="172" spans="1:39" s="207" customFormat="1">
      <c r="A172" s="199"/>
      <c r="B172" s="205"/>
      <c r="C172" s="205"/>
      <c r="D172" s="235"/>
      <c r="F172" s="208"/>
      <c r="H172" s="208"/>
      <c r="J172" s="208"/>
      <c r="L172" s="208"/>
      <c r="N172" s="208"/>
      <c r="P172" s="208"/>
      <c r="R172" s="208"/>
      <c r="T172" s="208"/>
      <c r="V172" s="208"/>
      <c r="X172" s="208"/>
      <c r="Z172" s="208"/>
      <c r="AA172" s="208"/>
      <c r="AB172" s="208"/>
      <c r="AC172" s="208"/>
      <c r="AD172" s="211"/>
      <c r="AE172" s="205"/>
      <c r="AF172" s="205"/>
      <c r="AG172" s="205"/>
      <c r="AH172" s="205"/>
      <c r="AI172" s="205"/>
      <c r="AJ172" s="205"/>
      <c r="AK172" s="205"/>
      <c r="AL172" s="205"/>
      <c r="AM172" s="205"/>
    </row>
    <row r="173" spans="1:39" s="207" customFormat="1">
      <c r="A173" s="199"/>
      <c r="D173" s="235"/>
      <c r="F173" s="208"/>
      <c r="H173" s="208"/>
      <c r="J173" s="208"/>
      <c r="L173" s="208"/>
      <c r="N173" s="208"/>
      <c r="P173" s="208"/>
      <c r="R173" s="208"/>
      <c r="T173" s="208"/>
      <c r="V173" s="208"/>
      <c r="X173" s="208"/>
      <c r="Z173" s="208"/>
      <c r="AA173" s="208"/>
      <c r="AB173" s="208"/>
      <c r="AC173" s="208"/>
      <c r="AD173" s="211"/>
      <c r="AE173" s="205"/>
      <c r="AF173" s="205"/>
      <c r="AG173" s="205"/>
      <c r="AH173" s="205"/>
      <c r="AI173" s="205"/>
      <c r="AJ173" s="205"/>
      <c r="AK173" s="205"/>
      <c r="AL173" s="205"/>
      <c r="AM173" s="205"/>
    </row>
  </sheetData>
  <printOptions horizontalCentered="1"/>
  <pageMargins left="3.937007874015748E-2" right="3.937007874015748E-2" top="1.3779527559055118" bottom="0.74803149606299213" header="0.31496062992125984" footer="0.19685039370078741"/>
  <pageSetup scale="41" fitToHeight="3" orientation="landscape" r:id="rId1"/>
  <headerFooter alignWithMargins="0"/>
  <rowBreaks count="3" manualBreakCount="3">
    <brk id="4" max="27" man="1"/>
    <brk id="54" max="16383" man="1"/>
    <brk id="105" max="16383" man="1"/>
  </rowBreaks>
  <legacyDrawing r:id="rId2"/>
</worksheet>
</file>

<file path=xl/worksheets/sheet6.xml><?xml version="1.0" encoding="utf-8"?>
<worksheet xmlns="http://schemas.openxmlformats.org/spreadsheetml/2006/main" xmlns:r="http://schemas.openxmlformats.org/officeDocument/2006/relationships">
  <sheetPr>
    <pageSetUpPr fitToPage="1"/>
  </sheetPr>
  <dimension ref="A2:P37"/>
  <sheetViews>
    <sheetView zoomScale="85" workbookViewId="0">
      <selection activeCell="A26" sqref="A26"/>
    </sheetView>
  </sheetViews>
  <sheetFormatPr defaultColWidth="8.85546875" defaultRowHeight="12.75"/>
  <cols>
    <col min="1" max="1" width="44.28515625" style="2" customWidth="1"/>
    <col min="2" max="2" width="14.7109375" style="2" bestFit="1" customWidth="1"/>
    <col min="3" max="5" width="12.85546875" style="2" bestFit="1" customWidth="1"/>
    <col min="6" max="13" width="12.5703125" style="2" bestFit="1" customWidth="1"/>
    <col min="14" max="14" width="14" style="2" bestFit="1" customWidth="1"/>
    <col min="15" max="15" width="8.85546875" style="2"/>
    <col min="16" max="16" width="12.7109375" style="2" customWidth="1"/>
    <col min="17" max="16384" width="8.85546875" style="2"/>
  </cols>
  <sheetData>
    <row r="2" spans="1:6" ht="15.75">
      <c r="A2" s="242" t="s">
        <v>293</v>
      </c>
      <c r="F2" s="243"/>
    </row>
    <row r="3" spans="1:6" ht="13.5" thickBot="1">
      <c r="E3" s="243"/>
    </row>
    <row r="4" spans="1:6" s="247" customFormat="1" ht="21" customHeight="1" thickBot="1">
      <c r="A4" s="244" t="s">
        <v>294</v>
      </c>
      <c r="B4" s="245">
        <v>2010</v>
      </c>
      <c r="C4" s="245">
        <v>2011</v>
      </c>
      <c r="D4" s="246">
        <v>2012</v>
      </c>
    </row>
    <row r="5" spans="1:6" s="6" customFormat="1">
      <c r="A5" s="248" t="s">
        <v>295</v>
      </c>
      <c r="B5" s="249">
        <v>470297718</v>
      </c>
      <c r="C5" s="249">
        <v>471649879</v>
      </c>
      <c r="D5" s="250">
        <v>459796451</v>
      </c>
    </row>
    <row r="6" spans="1:6" s="6" customFormat="1">
      <c r="A6" s="248"/>
      <c r="B6" s="249"/>
      <c r="C6" s="249"/>
      <c r="D6" s="250"/>
    </row>
    <row r="7" spans="1:6" s="6" customFormat="1">
      <c r="A7" s="248" t="s">
        <v>296</v>
      </c>
      <c r="B7" s="249">
        <v>882501</v>
      </c>
      <c r="C7" s="249">
        <v>885975.06185567006</v>
      </c>
      <c r="D7" s="250">
        <v>856966.0209580838</v>
      </c>
    </row>
    <row r="8" spans="1:6" s="6" customFormat="1">
      <c r="A8" s="248" t="s">
        <v>297</v>
      </c>
      <c r="B8" s="249">
        <v>57733</v>
      </c>
      <c r="C8" s="249">
        <v>58077</v>
      </c>
      <c r="D8" s="250">
        <v>55830.992798353902</v>
      </c>
    </row>
    <row r="9" spans="1:6" s="6" customFormat="1" ht="13.5" thickBot="1">
      <c r="A9" s="251"/>
      <c r="B9" s="252"/>
      <c r="C9" s="252"/>
      <c r="D9" s="253"/>
    </row>
    <row r="10" spans="1:6" s="6" customFormat="1">
      <c r="B10" s="254"/>
      <c r="C10" s="254"/>
      <c r="D10" s="243"/>
    </row>
    <row r="11" spans="1:6" s="6" customFormat="1">
      <c r="C11" s="254"/>
      <c r="D11" s="254"/>
      <c r="E11" s="243"/>
    </row>
    <row r="12" spans="1:6" s="6" customFormat="1" ht="13.5" thickBot="1">
      <c r="A12" s="4"/>
      <c r="C12" s="254"/>
      <c r="D12" s="254"/>
      <c r="E12" s="243"/>
    </row>
    <row r="13" spans="1:6" s="6" customFormat="1" ht="27" customHeight="1" thickBot="1">
      <c r="A13" s="255" t="s">
        <v>298</v>
      </c>
      <c r="B13" s="256"/>
      <c r="C13" s="257">
        <v>2010</v>
      </c>
      <c r="D13" s="257">
        <v>2011</v>
      </c>
      <c r="E13" s="246">
        <v>2012</v>
      </c>
      <c r="F13" s="258" t="s">
        <v>299</v>
      </c>
    </row>
    <row r="14" spans="1:6" s="6" customFormat="1">
      <c r="A14" s="248" t="s">
        <v>300</v>
      </c>
      <c r="B14" s="259"/>
      <c r="C14" s="260">
        <f>B7/$B$5</f>
        <v>1.876473064238853E-3</v>
      </c>
      <c r="D14" s="260">
        <f>C7/$C$5</f>
        <v>1.878459215836394E-3</v>
      </c>
      <c r="E14" s="260">
        <f>D7/$D$5</f>
        <v>1.8637943357202725E-3</v>
      </c>
      <c r="F14" s="261">
        <f>AVERAGE(C14:D14)</f>
        <v>1.8774661400376234E-3</v>
      </c>
    </row>
    <row r="15" spans="1:6" s="6" customFormat="1">
      <c r="A15" s="248" t="s">
        <v>301</v>
      </c>
      <c r="B15" s="262"/>
      <c r="C15" s="263">
        <f>B8/$B$5</f>
        <v>1.2275840981222877E-4</v>
      </c>
      <c r="D15" s="263">
        <f>C8/$C$5</f>
        <v>1.2313583144161051E-4</v>
      </c>
      <c r="E15" s="263">
        <f>D8/$D$5</f>
        <v>1.2142545397409756E-4</v>
      </c>
      <c r="F15" s="264">
        <f>AVERAGE(C15:D15)</f>
        <v>1.2294712062691963E-4</v>
      </c>
    </row>
    <row r="16" spans="1:6" s="6" customFormat="1" ht="13.5" thickBot="1">
      <c r="A16" s="265"/>
      <c r="B16" s="266"/>
      <c r="C16" s="267"/>
      <c r="D16" s="267"/>
      <c r="E16" s="267"/>
      <c r="F16" s="268"/>
    </row>
    <row r="19" spans="1:16" ht="15.75">
      <c r="A19" s="242" t="s">
        <v>302</v>
      </c>
    </row>
    <row r="20" spans="1:16" ht="13.5" thickBot="1"/>
    <row r="21" spans="1:16" ht="24.75" customHeight="1" thickBot="1">
      <c r="A21" s="269"/>
      <c r="B21" s="270" t="s">
        <v>303</v>
      </c>
      <c r="C21" s="270" t="s">
        <v>304</v>
      </c>
      <c r="D21" s="270" t="s">
        <v>305</v>
      </c>
      <c r="E21" s="270" t="s">
        <v>306</v>
      </c>
      <c r="F21" s="270" t="s">
        <v>307</v>
      </c>
      <c r="G21" s="270" t="s">
        <v>308</v>
      </c>
      <c r="H21" s="270" t="s">
        <v>309</v>
      </c>
      <c r="I21" s="270" t="s">
        <v>310</v>
      </c>
      <c r="J21" s="270" t="s">
        <v>311</v>
      </c>
      <c r="K21" s="270" t="s">
        <v>312</v>
      </c>
      <c r="L21" s="270" t="s">
        <v>313</v>
      </c>
      <c r="M21" s="270" t="s">
        <v>314</v>
      </c>
      <c r="N21" s="271" t="s">
        <v>52</v>
      </c>
      <c r="P21" s="272" t="s">
        <v>315</v>
      </c>
    </row>
    <row r="22" spans="1:16" s="276" customFormat="1">
      <c r="A22" s="273" t="s">
        <v>316</v>
      </c>
      <c r="B22" s="274">
        <f t="shared" ref="B22:M22" si="0">B23*$N$22</f>
        <v>46256206.477748081</v>
      </c>
      <c r="C22" s="274">
        <f t="shared" si="0"/>
        <v>49102137.757623725</v>
      </c>
      <c r="D22" s="274">
        <f t="shared" si="0"/>
        <v>46315041.653736293</v>
      </c>
      <c r="E22" s="274">
        <f t="shared" si="0"/>
        <v>42260797.317782454</v>
      </c>
      <c r="F22" s="274">
        <f t="shared" si="0"/>
        <v>35832600.523258045</v>
      </c>
      <c r="G22" s="274">
        <f t="shared" si="0"/>
        <v>29893819.858971704</v>
      </c>
      <c r="H22" s="274">
        <f t="shared" si="0"/>
        <v>36709624.737813085</v>
      </c>
      <c r="I22" s="274">
        <f t="shared" si="0"/>
        <v>36796705.303226158</v>
      </c>
      <c r="J22" s="274">
        <f t="shared" si="0"/>
        <v>37381846.97350844</v>
      </c>
      <c r="K22" s="274">
        <f t="shared" si="0"/>
        <v>34366306.330524288</v>
      </c>
      <c r="L22" s="274">
        <f t="shared" si="0"/>
        <v>35156195.589690894</v>
      </c>
      <c r="M22" s="274">
        <f t="shared" si="0"/>
        <v>38190489.476116858</v>
      </c>
      <c r="N22" s="275">
        <v>468261772</v>
      </c>
      <c r="P22" s="275">
        <v>441225880</v>
      </c>
    </row>
    <row r="23" spans="1:16" s="276" customFormat="1">
      <c r="A23" s="273" t="s">
        <v>317</v>
      </c>
      <c r="B23" s="277">
        <v>9.8782794675257163E-2</v>
      </c>
      <c r="C23" s="277">
        <v>0.10486044493425725</v>
      </c>
      <c r="D23" s="277">
        <v>9.8908440584247165E-2</v>
      </c>
      <c r="E23" s="277">
        <v>9.0250368158993038E-2</v>
      </c>
      <c r="F23" s="277">
        <v>7.6522583447743084E-2</v>
      </c>
      <c r="G23" s="277">
        <v>6.3839975087634754E-2</v>
      </c>
      <c r="H23" s="277">
        <v>7.8395519200771063E-2</v>
      </c>
      <c r="I23" s="277">
        <v>7.858148476665773E-2</v>
      </c>
      <c r="J23" s="277">
        <v>7.9831088525220126E-2</v>
      </c>
      <c r="K23" s="277">
        <v>7.3391227696725764E-2</v>
      </c>
      <c r="L23" s="277">
        <v>7.5078081730940216E-2</v>
      </c>
      <c r="M23" s="277">
        <v>8.1557991191552701E-2</v>
      </c>
      <c r="N23" s="278">
        <f>SUM(B23:M23)</f>
        <v>1</v>
      </c>
    </row>
    <row r="24" spans="1:16" s="276" customFormat="1">
      <c r="A24" s="273"/>
      <c r="B24" s="274"/>
      <c r="C24" s="274"/>
      <c r="D24" s="274"/>
      <c r="E24" s="274"/>
      <c r="F24" s="274"/>
      <c r="G24" s="274"/>
      <c r="H24" s="274"/>
      <c r="I24" s="274"/>
      <c r="J24" s="274"/>
      <c r="K24" s="274"/>
      <c r="L24" s="274"/>
      <c r="M24" s="274"/>
      <c r="N24" s="275"/>
    </row>
    <row r="25" spans="1:16" s="276" customFormat="1">
      <c r="A25" s="273" t="s">
        <v>318</v>
      </c>
      <c r="B25" s="274">
        <f>$F$14*B22</f>
        <v>86844.461428561001</v>
      </c>
      <c r="C25" s="274">
        <f t="shared" ref="C25:M25" si="1">$F$14*C22</f>
        <v>92187.601043401461</v>
      </c>
      <c r="D25" s="274">
        <f t="shared" si="1"/>
        <v>86954.92247932202</v>
      </c>
      <c r="E25" s="274">
        <f t="shared" si="1"/>
        <v>79343.216015129365</v>
      </c>
      <c r="F25" s="274">
        <f t="shared" si="1"/>
        <v>67274.494191911406</v>
      </c>
      <c r="G25" s="274">
        <f t="shared" si="1"/>
        <v>56124.634581603656</v>
      </c>
      <c r="H25" s="274">
        <f t="shared" si="1"/>
        <v>68921.077458731583</v>
      </c>
      <c r="I25" s="274">
        <f t="shared" si="1"/>
        <v>69084.568271749959</v>
      </c>
      <c r="J25" s="274">
        <f t="shared" si="1"/>
        <v>70183.15194483001</v>
      </c>
      <c r="K25" s="274">
        <f t="shared" si="1"/>
        <v>64521.576493719978</v>
      </c>
      <c r="L25" s="274">
        <f t="shared" si="1"/>
        <v>66004.566832184675</v>
      </c>
      <c r="M25" s="274">
        <f t="shared" si="1"/>
        <v>71701.350862872598</v>
      </c>
      <c r="N25" s="275"/>
    </row>
    <row r="26" spans="1:16" s="281" customFormat="1">
      <c r="A26" s="273" t="s">
        <v>319</v>
      </c>
      <c r="B26" s="279">
        <v>0.66800000000000004</v>
      </c>
      <c r="C26" s="279">
        <v>0.66800000000000004</v>
      </c>
      <c r="D26" s="279">
        <v>0.66800000000000004</v>
      </c>
      <c r="E26" s="279">
        <v>0.66800000000000004</v>
      </c>
      <c r="F26" s="279">
        <v>0.66800000000000004</v>
      </c>
      <c r="G26" s="279">
        <v>0.66800000000000004</v>
      </c>
      <c r="H26" s="279">
        <v>0.66800000000000004</v>
      </c>
      <c r="I26" s="279">
        <v>0.66800000000000004</v>
      </c>
      <c r="J26" s="279">
        <v>0.66800000000000004</v>
      </c>
      <c r="K26" s="279">
        <v>0.66800000000000004</v>
      </c>
      <c r="L26" s="279">
        <v>0.66800000000000004</v>
      </c>
      <c r="M26" s="279">
        <v>0.66800000000000004</v>
      </c>
      <c r="N26" s="280"/>
    </row>
    <row r="27" spans="1:16" s="284" customFormat="1">
      <c r="A27" s="273" t="s">
        <v>320</v>
      </c>
      <c r="B27" s="282">
        <f>B26*B25</f>
        <v>58012.100234278754</v>
      </c>
      <c r="C27" s="282">
        <f t="shared" ref="C27:M27" si="2">C26*C25</f>
        <v>61581.317496992182</v>
      </c>
      <c r="D27" s="282">
        <f t="shared" si="2"/>
        <v>58085.888216187115</v>
      </c>
      <c r="E27" s="282">
        <f t="shared" si="2"/>
        <v>53001.268298106421</v>
      </c>
      <c r="F27" s="282">
        <f t="shared" si="2"/>
        <v>44939.36212019682</v>
      </c>
      <c r="G27" s="282">
        <f t="shared" si="2"/>
        <v>37491.255900511242</v>
      </c>
      <c r="H27" s="282">
        <f t="shared" si="2"/>
        <v>46039.2797424327</v>
      </c>
      <c r="I27" s="282">
        <f t="shared" si="2"/>
        <v>46148.491605528972</v>
      </c>
      <c r="J27" s="282">
        <f t="shared" si="2"/>
        <v>46882.345499146446</v>
      </c>
      <c r="K27" s="282">
        <f t="shared" si="2"/>
        <v>43100.413097804951</v>
      </c>
      <c r="L27" s="282">
        <f t="shared" si="2"/>
        <v>44091.050643899369</v>
      </c>
      <c r="M27" s="282">
        <f t="shared" si="2"/>
        <v>47896.502376398901</v>
      </c>
      <c r="N27" s="283">
        <f>SUM(B27:M27)</f>
        <v>587269.27523148386</v>
      </c>
    </row>
    <row r="28" spans="1:16">
      <c r="A28" s="273"/>
      <c r="B28" s="3"/>
      <c r="C28" s="3"/>
      <c r="D28" s="3"/>
      <c r="E28" s="3"/>
      <c r="F28" s="3"/>
      <c r="G28" s="3"/>
      <c r="H28" s="3"/>
      <c r="I28" s="3"/>
      <c r="J28" s="3"/>
      <c r="K28" s="3"/>
      <c r="L28" s="3"/>
      <c r="M28" s="3"/>
      <c r="N28" s="285"/>
    </row>
    <row r="29" spans="1:16" s="276" customFormat="1">
      <c r="A29" s="273" t="s">
        <v>321</v>
      </c>
      <c r="B29" s="274">
        <f>B22*$F$15</f>
        <v>5687.0673975633945</v>
      </c>
      <c r="C29" s="274">
        <f t="shared" ref="C29:M29" si="3">C22*$F$15</f>
        <v>6036.9664539261885</v>
      </c>
      <c r="D29" s="274">
        <f t="shared" si="3"/>
        <v>5694.3010130427228</v>
      </c>
      <c r="E29" s="274">
        <f t="shared" si="3"/>
        <v>5195.8433456192006</v>
      </c>
      <c r="F29" s="274">
        <f t="shared" si="3"/>
        <v>4405.51505890923</v>
      </c>
      <c r="G29" s="274">
        <f t="shared" si="3"/>
        <v>3675.3590762003996</v>
      </c>
      <c r="H29" s="274">
        <f t="shared" si="3"/>
        <v>4513.3426608088585</v>
      </c>
      <c r="I29" s="274">
        <f t="shared" si="3"/>
        <v>4524.0489655889596</v>
      </c>
      <c r="J29" s="274">
        <f t="shared" si="3"/>
        <v>4595.9904491089928</v>
      </c>
      <c r="K29" s="274">
        <f t="shared" si="3"/>
        <v>4225.2384099206411</v>
      </c>
      <c r="L29" s="274">
        <f t="shared" si="3"/>
        <v>4322.3530199493061</v>
      </c>
      <c r="M29" s="274">
        <f t="shared" si="3"/>
        <v>4695.4107164212437</v>
      </c>
      <c r="N29" s="275"/>
    </row>
    <row r="30" spans="1:16" s="281" customFormat="1">
      <c r="A30" s="273" t="s">
        <v>322</v>
      </c>
      <c r="B30" s="279">
        <f>'[6]2013F'!B$45</f>
        <v>1.944</v>
      </c>
      <c r="C30" s="279">
        <f>'[6]2013F'!C$45</f>
        <v>1.944</v>
      </c>
      <c r="D30" s="279">
        <f>'[6]2013F'!D$45</f>
        <v>1.944</v>
      </c>
      <c r="E30" s="279">
        <f>'[6]2013F'!E$45</f>
        <v>1.944</v>
      </c>
      <c r="F30" s="279">
        <f>'[6]2013F'!F$45</f>
        <v>1.944</v>
      </c>
      <c r="G30" s="279">
        <f>'[6]2013F'!G$45</f>
        <v>1.944</v>
      </c>
      <c r="H30" s="279">
        <f>'[6]2013F'!H$45</f>
        <v>1.944</v>
      </c>
      <c r="I30" s="279">
        <f>'[6]2013F'!I$45</f>
        <v>1.944</v>
      </c>
      <c r="J30" s="279">
        <f>'[6]2013F'!J$45</f>
        <v>1.944</v>
      </c>
      <c r="K30" s="279">
        <f>'[6]2013F'!K$45</f>
        <v>1.944</v>
      </c>
      <c r="L30" s="279">
        <f>'[6]2013F'!L$45</f>
        <v>1.944</v>
      </c>
      <c r="M30" s="279">
        <f>'[6]2013F'!M$45</f>
        <v>1.944</v>
      </c>
      <c r="N30" s="280"/>
    </row>
    <row r="31" spans="1:16" s="284" customFormat="1">
      <c r="A31" s="273" t="s">
        <v>323</v>
      </c>
      <c r="B31" s="282">
        <f>B30*B29</f>
        <v>11055.659020863239</v>
      </c>
      <c r="C31" s="282">
        <f t="shared" ref="C31:M31" si="4">C30*C29</f>
        <v>11735.86278643251</v>
      </c>
      <c r="D31" s="282">
        <f t="shared" si="4"/>
        <v>11069.721169355053</v>
      </c>
      <c r="E31" s="282">
        <f t="shared" si="4"/>
        <v>10100.719463883726</v>
      </c>
      <c r="F31" s="282">
        <f t="shared" si="4"/>
        <v>8564.3212745195433</v>
      </c>
      <c r="G31" s="282">
        <f t="shared" si="4"/>
        <v>7144.8980441335771</v>
      </c>
      <c r="H31" s="282">
        <f t="shared" si="4"/>
        <v>8773.9381326124203</v>
      </c>
      <c r="I31" s="282">
        <f t="shared" si="4"/>
        <v>8794.751189104938</v>
      </c>
      <c r="J31" s="282">
        <f t="shared" si="4"/>
        <v>8934.6054330678817</v>
      </c>
      <c r="K31" s="282">
        <f t="shared" si="4"/>
        <v>8213.8634688857255</v>
      </c>
      <c r="L31" s="282">
        <f t="shared" si="4"/>
        <v>8402.6542707814515</v>
      </c>
      <c r="M31" s="282">
        <f t="shared" si="4"/>
        <v>9127.8784327228968</v>
      </c>
      <c r="N31" s="283">
        <f>SUM(B31:M31)</f>
        <v>111918.87268636296</v>
      </c>
    </row>
    <row r="32" spans="1:16">
      <c r="A32" s="273"/>
      <c r="B32" s="3"/>
      <c r="C32" s="3"/>
      <c r="D32" s="3"/>
      <c r="E32" s="3"/>
      <c r="F32" s="3"/>
      <c r="G32" s="3"/>
      <c r="H32" s="3"/>
      <c r="I32" s="3"/>
      <c r="J32" s="3"/>
      <c r="K32" s="3"/>
      <c r="L32" s="3"/>
      <c r="M32" s="3"/>
      <c r="N32" s="286"/>
    </row>
    <row r="33" spans="1:14" s="281" customFormat="1">
      <c r="A33" s="273" t="s">
        <v>324</v>
      </c>
      <c r="B33" s="279">
        <f>'[6]2013F'!B$44</f>
        <v>292.56</v>
      </c>
      <c r="C33" s="279">
        <f>'[6]2013F'!C$44</f>
        <v>292.56</v>
      </c>
      <c r="D33" s="279">
        <f>'[6]2013F'!D$44</f>
        <v>292.56</v>
      </c>
      <c r="E33" s="279">
        <f>'[6]2013F'!E$44</f>
        <v>292.56</v>
      </c>
      <c r="F33" s="279">
        <f>'[6]2013F'!F$44</f>
        <v>292.56</v>
      </c>
      <c r="G33" s="279">
        <f>'[6]2013F'!G$44</f>
        <v>292.56</v>
      </c>
      <c r="H33" s="279">
        <f>'[6]2013F'!H$44</f>
        <v>292.56</v>
      </c>
      <c r="I33" s="279">
        <f>'[6]2013F'!I$44</f>
        <v>292.56</v>
      </c>
      <c r="J33" s="279">
        <f>'[6]2013F'!J$44</f>
        <v>292.56</v>
      </c>
      <c r="K33" s="279">
        <f>'[6]2013F'!K$44</f>
        <v>292.56</v>
      </c>
      <c r="L33" s="279">
        <f>'[6]2013F'!L$44</f>
        <v>292.56</v>
      </c>
      <c r="M33" s="279">
        <f>'[6]2013F'!M$44</f>
        <v>292.56</v>
      </c>
      <c r="N33" s="280"/>
    </row>
    <row r="34" spans="1:14" s="284" customFormat="1">
      <c r="A34" s="273" t="s">
        <v>325</v>
      </c>
      <c r="B34" s="282">
        <f>B33*20</f>
        <v>5851.2</v>
      </c>
      <c r="C34" s="282">
        <f t="shared" ref="C34:M34" si="5">C33*20</f>
        <v>5851.2</v>
      </c>
      <c r="D34" s="282">
        <f t="shared" si="5"/>
        <v>5851.2</v>
      </c>
      <c r="E34" s="282">
        <f t="shared" si="5"/>
        <v>5851.2</v>
      </c>
      <c r="F34" s="282">
        <f t="shared" si="5"/>
        <v>5851.2</v>
      </c>
      <c r="G34" s="282">
        <f t="shared" si="5"/>
        <v>5851.2</v>
      </c>
      <c r="H34" s="282">
        <f t="shared" si="5"/>
        <v>5851.2</v>
      </c>
      <c r="I34" s="282">
        <f t="shared" si="5"/>
        <v>5851.2</v>
      </c>
      <c r="J34" s="282">
        <f t="shared" si="5"/>
        <v>5851.2</v>
      </c>
      <c r="K34" s="282">
        <f t="shared" si="5"/>
        <v>5851.2</v>
      </c>
      <c r="L34" s="282">
        <f t="shared" si="5"/>
        <v>5851.2</v>
      </c>
      <c r="M34" s="282">
        <f t="shared" si="5"/>
        <v>5851.2</v>
      </c>
      <c r="N34" s="283">
        <f>SUM(B34:M34)</f>
        <v>70214.39999999998</v>
      </c>
    </row>
    <row r="35" spans="1:14">
      <c r="A35" s="273"/>
      <c r="B35" s="3"/>
      <c r="C35" s="3"/>
      <c r="D35" s="3"/>
      <c r="E35" s="3"/>
      <c r="F35" s="3"/>
      <c r="G35" s="3"/>
      <c r="H35" s="3"/>
      <c r="I35" s="3"/>
      <c r="J35" s="3"/>
      <c r="K35" s="3"/>
      <c r="L35" s="3"/>
      <c r="M35" s="3"/>
      <c r="N35" s="283"/>
    </row>
    <row r="36" spans="1:14" s="4" customFormat="1" ht="13.5" thickBot="1">
      <c r="A36" s="273" t="s">
        <v>326</v>
      </c>
      <c r="B36" s="287">
        <f>SUM(B27,B31,B34)</f>
        <v>74918.959255141992</v>
      </c>
      <c r="C36" s="287">
        <f t="shared" ref="C36:N36" si="6">SUM(C27,C31,C34)</f>
        <v>79168.380283424689</v>
      </c>
      <c r="D36" s="287">
        <f t="shared" si="6"/>
        <v>75006.809385542161</v>
      </c>
      <c r="E36" s="287">
        <f t="shared" si="6"/>
        <v>68953.18776199015</v>
      </c>
      <c r="F36" s="287">
        <f t="shared" si="6"/>
        <v>59354.883394716358</v>
      </c>
      <c r="G36" s="287">
        <f t="shared" si="6"/>
        <v>50487.353944644812</v>
      </c>
      <c r="H36" s="287">
        <f t="shared" si="6"/>
        <v>60664.417875045117</v>
      </c>
      <c r="I36" s="287">
        <f t="shared" si="6"/>
        <v>60794.442794633906</v>
      </c>
      <c r="J36" s="287">
        <f t="shared" si="6"/>
        <v>61668.150932214325</v>
      </c>
      <c r="K36" s="287">
        <f t="shared" si="6"/>
        <v>57165.476566690675</v>
      </c>
      <c r="L36" s="287">
        <f t="shared" si="6"/>
        <v>58344.904914680817</v>
      </c>
      <c r="M36" s="287">
        <f t="shared" si="6"/>
        <v>62875.580809121791</v>
      </c>
      <c r="N36" s="288">
        <f t="shared" si="6"/>
        <v>769402.54791784682</v>
      </c>
    </row>
    <row r="37" spans="1:14" ht="14.25" thickTop="1" thickBot="1">
      <c r="A37" s="289"/>
      <c r="B37" s="290"/>
      <c r="C37" s="290"/>
      <c r="D37" s="290"/>
      <c r="E37" s="290"/>
      <c r="F37" s="290"/>
      <c r="G37" s="290"/>
      <c r="H37" s="290"/>
      <c r="I37" s="290"/>
      <c r="J37" s="290"/>
      <c r="K37" s="290"/>
      <c r="L37" s="290"/>
      <c r="M37" s="290"/>
      <c r="N37" s="291"/>
    </row>
  </sheetData>
  <pageMargins left="0.51181102362204722" right="0.51181102362204722" top="0.98425196850393704" bottom="0.51181102362204722" header="0.51181102362204722" footer="0.51181102362204722"/>
  <pageSetup scale="61"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K58"/>
  <sheetViews>
    <sheetView showGridLines="0" zoomScaleNormal="100" workbookViewId="0">
      <selection activeCell="I1" sqref="I1"/>
    </sheetView>
  </sheetViews>
  <sheetFormatPr defaultRowHeight="15"/>
  <cols>
    <col min="1" max="1" width="51.7109375" style="109" customWidth="1"/>
    <col min="2" max="2" width="14.140625" style="109" bestFit="1" customWidth="1"/>
    <col min="3" max="4" width="11.42578125" style="109" bestFit="1" customWidth="1"/>
    <col min="5" max="6" width="11.5703125" style="109" bestFit="1" customWidth="1"/>
    <col min="7" max="7" width="11.42578125" style="109" bestFit="1" customWidth="1"/>
    <col min="8" max="8" width="12.7109375" style="109" bestFit="1" customWidth="1"/>
    <col min="9" max="9" width="11.42578125" style="109" bestFit="1" customWidth="1"/>
    <col min="10" max="256" width="8.85546875" style="109"/>
    <col min="257" max="257" width="51.7109375" style="109" customWidth="1"/>
    <col min="258" max="263" width="8.85546875" style="109"/>
    <col min="264" max="264" width="10.85546875" style="109" customWidth="1"/>
    <col min="265" max="512" width="8.85546875" style="109"/>
    <col min="513" max="513" width="51.7109375" style="109" customWidth="1"/>
    <col min="514" max="519" width="8.85546875" style="109"/>
    <col min="520" max="520" width="10.85546875" style="109" customWidth="1"/>
    <col min="521" max="768" width="8.85546875" style="109"/>
    <col min="769" max="769" width="51.7109375" style="109" customWidth="1"/>
    <col min="770" max="775" width="8.85546875" style="109"/>
    <col min="776" max="776" width="10.85546875" style="109" customWidth="1"/>
    <col min="777" max="1024" width="8.85546875" style="109"/>
    <col min="1025" max="1025" width="51.7109375" style="109" customWidth="1"/>
    <col min="1026" max="1031" width="8.85546875" style="109"/>
    <col min="1032" max="1032" width="10.85546875" style="109" customWidth="1"/>
    <col min="1033" max="1280" width="8.85546875" style="109"/>
    <col min="1281" max="1281" width="51.7109375" style="109" customWidth="1"/>
    <col min="1282" max="1287" width="8.85546875" style="109"/>
    <col min="1288" max="1288" width="10.85546875" style="109" customWidth="1"/>
    <col min="1289" max="1536" width="8.85546875" style="109"/>
    <col min="1537" max="1537" width="51.7109375" style="109" customWidth="1"/>
    <col min="1538" max="1543" width="8.85546875" style="109"/>
    <col min="1544" max="1544" width="10.85546875" style="109" customWidth="1"/>
    <col min="1545" max="1792" width="8.85546875" style="109"/>
    <col min="1793" max="1793" width="51.7109375" style="109" customWidth="1"/>
    <col min="1794" max="1799" width="8.85546875" style="109"/>
    <col min="1800" max="1800" width="10.85546875" style="109" customWidth="1"/>
    <col min="1801" max="2048" width="8.85546875" style="109"/>
    <col min="2049" max="2049" width="51.7109375" style="109" customWidth="1"/>
    <col min="2050" max="2055" width="8.85546875" style="109"/>
    <col min="2056" max="2056" width="10.85546875" style="109" customWidth="1"/>
    <col min="2057" max="2304" width="8.85546875" style="109"/>
    <col min="2305" max="2305" width="51.7109375" style="109" customWidth="1"/>
    <col min="2306" max="2311" width="8.85546875" style="109"/>
    <col min="2312" max="2312" width="10.85546875" style="109" customWidth="1"/>
    <col min="2313" max="2560" width="8.85546875" style="109"/>
    <col min="2561" max="2561" width="51.7109375" style="109" customWidth="1"/>
    <col min="2562" max="2567" width="8.85546875" style="109"/>
    <col min="2568" max="2568" width="10.85546875" style="109" customWidth="1"/>
    <col min="2569" max="2816" width="8.85546875" style="109"/>
    <col min="2817" max="2817" width="51.7109375" style="109" customWidth="1"/>
    <col min="2818" max="2823" width="8.85546875" style="109"/>
    <col min="2824" max="2824" width="10.85546875" style="109" customWidth="1"/>
    <col min="2825" max="3072" width="8.85546875" style="109"/>
    <col min="3073" max="3073" width="51.7109375" style="109" customWidth="1"/>
    <col min="3074" max="3079" width="8.85546875" style="109"/>
    <col min="3080" max="3080" width="10.85546875" style="109" customWidth="1"/>
    <col min="3081" max="3328" width="8.85546875" style="109"/>
    <col min="3329" max="3329" width="51.7109375" style="109" customWidth="1"/>
    <col min="3330" max="3335" width="8.85546875" style="109"/>
    <col min="3336" max="3336" width="10.85546875" style="109" customWidth="1"/>
    <col min="3337" max="3584" width="8.85546875" style="109"/>
    <col min="3585" max="3585" width="51.7109375" style="109" customWidth="1"/>
    <col min="3586" max="3591" width="8.85546875" style="109"/>
    <col min="3592" max="3592" width="10.85546875" style="109" customWidth="1"/>
    <col min="3593" max="3840" width="8.85546875" style="109"/>
    <col min="3841" max="3841" width="51.7109375" style="109" customWidth="1"/>
    <col min="3842" max="3847" width="8.85546875" style="109"/>
    <col min="3848" max="3848" width="10.85546875" style="109" customWidth="1"/>
    <col min="3849" max="4096" width="8.85546875" style="109"/>
    <col min="4097" max="4097" width="51.7109375" style="109" customWidth="1"/>
    <col min="4098" max="4103" width="8.85546875" style="109"/>
    <col min="4104" max="4104" width="10.85546875" style="109" customWidth="1"/>
    <col min="4105" max="4352" width="8.85546875" style="109"/>
    <col min="4353" max="4353" width="51.7109375" style="109" customWidth="1"/>
    <col min="4354" max="4359" width="8.85546875" style="109"/>
    <col min="4360" max="4360" width="10.85546875" style="109" customWidth="1"/>
    <col min="4361" max="4608" width="8.85546875" style="109"/>
    <col min="4609" max="4609" width="51.7109375" style="109" customWidth="1"/>
    <col min="4610" max="4615" width="8.85546875" style="109"/>
    <col min="4616" max="4616" width="10.85546875" style="109" customWidth="1"/>
    <col min="4617" max="4864" width="8.85546875" style="109"/>
    <col min="4865" max="4865" width="51.7109375" style="109" customWidth="1"/>
    <col min="4866" max="4871" width="8.85546875" style="109"/>
    <col min="4872" max="4872" width="10.85546875" style="109" customWidth="1"/>
    <col min="4873" max="5120" width="8.85546875" style="109"/>
    <col min="5121" max="5121" width="51.7109375" style="109" customWidth="1"/>
    <col min="5122" max="5127" width="8.85546875" style="109"/>
    <col min="5128" max="5128" width="10.85546875" style="109" customWidth="1"/>
    <col min="5129" max="5376" width="8.85546875" style="109"/>
    <col min="5377" max="5377" width="51.7109375" style="109" customWidth="1"/>
    <col min="5378" max="5383" width="8.85546875" style="109"/>
    <col min="5384" max="5384" width="10.85546875" style="109" customWidth="1"/>
    <col min="5385" max="5632" width="8.85546875" style="109"/>
    <col min="5633" max="5633" width="51.7109375" style="109" customWidth="1"/>
    <col min="5634" max="5639" width="8.85546875" style="109"/>
    <col min="5640" max="5640" width="10.85546875" style="109" customWidth="1"/>
    <col min="5641" max="5888" width="8.85546875" style="109"/>
    <col min="5889" max="5889" width="51.7109375" style="109" customWidth="1"/>
    <col min="5890" max="5895" width="8.85546875" style="109"/>
    <col min="5896" max="5896" width="10.85546875" style="109" customWidth="1"/>
    <col min="5897" max="6144" width="8.85546875" style="109"/>
    <col min="6145" max="6145" width="51.7109375" style="109" customWidth="1"/>
    <col min="6146" max="6151" width="8.85546875" style="109"/>
    <col min="6152" max="6152" width="10.85546875" style="109" customWidth="1"/>
    <col min="6153" max="6400" width="8.85546875" style="109"/>
    <col min="6401" max="6401" width="51.7109375" style="109" customWidth="1"/>
    <col min="6402" max="6407" width="8.85546875" style="109"/>
    <col min="6408" max="6408" width="10.85546875" style="109" customWidth="1"/>
    <col min="6409" max="6656" width="8.85546875" style="109"/>
    <col min="6657" max="6657" width="51.7109375" style="109" customWidth="1"/>
    <col min="6658" max="6663" width="8.85546875" style="109"/>
    <col min="6664" max="6664" width="10.85546875" style="109" customWidth="1"/>
    <col min="6665" max="6912" width="8.85546875" style="109"/>
    <col min="6913" max="6913" width="51.7109375" style="109" customWidth="1"/>
    <col min="6914" max="6919" width="8.85546875" style="109"/>
    <col min="6920" max="6920" width="10.85546875" style="109" customWidth="1"/>
    <col min="6921" max="7168" width="8.85546875" style="109"/>
    <col min="7169" max="7169" width="51.7109375" style="109" customWidth="1"/>
    <col min="7170" max="7175" width="8.85546875" style="109"/>
    <col min="7176" max="7176" width="10.85546875" style="109" customWidth="1"/>
    <col min="7177" max="7424" width="8.85546875" style="109"/>
    <col min="7425" max="7425" width="51.7109375" style="109" customWidth="1"/>
    <col min="7426" max="7431" width="8.85546875" style="109"/>
    <col min="7432" max="7432" width="10.85546875" style="109" customWidth="1"/>
    <col min="7433" max="7680" width="8.85546875" style="109"/>
    <col min="7681" max="7681" width="51.7109375" style="109" customWidth="1"/>
    <col min="7682" max="7687" width="8.85546875" style="109"/>
    <col min="7688" max="7688" width="10.85546875" style="109" customWidth="1"/>
    <col min="7689" max="7936" width="8.85546875" style="109"/>
    <col min="7937" max="7937" width="51.7109375" style="109" customWidth="1"/>
    <col min="7938" max="7943" width="8.85546875" style="109"/>
    <col min="7944" max="7944" width="10.85546875" style="109" customWidth="1"/>
    <col min="7945" max="8192" width="8.85546875" style="109"/>
    <col min="8193" max="8193" width="51.7109375" style="109" customWidth="1"/>
    <col min="8194" max="8199" width="8.85546875" style="109"/>
    <col min="8200" max="8200" width="10.85546875" style="109" customWidth="1"/>
    <col min="8201" max="8448" width="8.85546875" style="109"/>
    <col min="8449" max="8449" width="51.7109375" style="109" customWidth="1"/>
    <col min="8450" max="8455" width="8.85546875" style="109"/>
    <col min="8456" max="8456" width="10.85546875" style="109" customWidth="1"/>
    <col min="8457" max="8704" width="8.85546875" style="109"/>
    <col min="8705" max="8705" width="51.7109375" style="109" customWidth="1"/>
    <col min="8706" max="8711" width="8.85546875" style="109"/>
    <col min="8712" max="8712" width="10.85546875" style="109" customWidth="1"/>
    <col min="8713" max="8960" width="8.85546875" style="109"/>
    <col min="8961" max="8961" width="51.7109375" style="109" customWidth="1"/>
    <col min="8962" max="8967" width="8.85546875" style="109"/>
    <col min="8968" max="8968" width="10.85546875" style="109" customWidth="1"/>
    <col min="8969" max="9216" width="8.85546875" style="109"/>
    <col min="9217" max="9217" width="51.7109375" style="109" customWidth="1"/>
    <col min="9218" max="9223" width="8.85546875" style="109"/>
    <col min="9224" max="9224" width="10.85546875" style="109" customWidth="1"/>
    <col min="9225" max="9472" width="8.85546875" style="109"/>
    <col min="9473" max="9473" width="51.7109375" style="109" customWidth="1"/>
    <col min="9474" max="9479" width="8.85546875" style="109"/>
    <col min="9480" max="9480" width="10.85546875" style="109" customWidth="1"/>
    <col min="9481" max="9728" width="8.85546875" style="109"/>
    <col min="9729" max="9729" width="51.7109375" style="109" customWidth="1"/>
    <col min="9730" max="9735" width="8.85546875" style="109"/>
    <col min="9736" max="9736" width="10.85546875" style="109" customWidth="1"/>
    <col min="9737" max="9984" width="8.85546875" style="109"/>
    <col min="9985" max="9985" width="51.7109375" style="109" customWidth="1"/>
    <col min="9986" max="9991" width="8.85546875" style="109"/>
    <col min="9992" max="9992" width="10.85546875" style="109" customWidth="1"/>
    <col min="9993" max="10240" width="8.85546875" style="109"/>
    <col min="10241" max="10241" width="51.7109375" style="109" customWidth="1"/>
    <col min="10242" max="10247" width="8.85546875" style="109"/>
    <col min="10248" max="10248" width="10.85546875" style="109" customWidth="1"/>
    <col min="10249" max="10496" width="8.85546875" style="109"/>
    <col min="10497" max="10497" width="51.7109375" style="109" customWidth="1"/>
    <col min="10498" max="10503" width="8.85546875" style="109"/>
    <col min="10504" max="10504" width="10.85546875" style="109" customWidth="1"/>
    <col min="10505" max="10752" width="8.85546875" style="109"/>
    <col min="10753" max="10753" width="51.7109375" style="109" customWidth="1"/>
    <col min="10754" max="10759" width="8.85546875" style="109"/>
    <col min="10760" max="10760" width="10.85546875" style="109" customWidth="1"/>
    <col min="10761" max="11008" width="8.85546875" style="109"/>
    <col min="11009" max="11009" width="51.7109375" style="109" customWidth="1"/>
    <col min="11010" max="11015" width="8.85546875" style="109"/>
    <col min="11016" max="11016" width="10.85546875" style="109" customWidth="1"/>
    <col min="11017" max="11264" width="8.85546875" style="109"/>
    <col min="11265" max="11265" width="51.7109375" style="109" customWidth="1"/>
    <col min="11266" max="11271" width="8.85546875" style="109"/>
    <col min="11272" max="11272" width="10.85546875" style="109" customWidth="1"/>
    <col min="11273" max="11520" width="8.85546875" style="109"/>
    <col min="11521" max="11521" width="51.7109375" style="109" customWidth="1"/>
    <col min="11522" max="11527" width="8.85546875" style="109"/>
    <col min="11528" max="11528" width="10.85546875" style="109" customWidth="1"/>
    <col min="11529" max="11776" width="8.85546875" style="109"/>
    <col min="11777" max="11777" width="51.7109375" style="109" customWidth="1"/>
    <col min="11778" max="11783" width="8.85546875" style="109"/>
    <col min="11784" max="11784" width="10.85546875" style="109" customWidth="1"/>
    <col min="11785" max="12032" width="8.85546875" style="109"/>
    <col min="12033" max="12033" width="51.7109375" style="109" customWidth="1"/>
    <col min="12034" max="12039" width="8.85546875" style="109"/>
    <col min="12040" max="12040" width="10.85546875" style="109" customWidth="1"/>
    <col min="12041" max="12288" width="8.85546875" style="109"/>
    <col min="12289" max="12289" width="51.7109375" style="109" customWidth="1"/>
    <col min="12290" max="12295" width="8.85546875" style="109"/>
    <col min="12296" max="12296" width="10.85546875" style="109" customWidth="1"/>
    <col min="12297" max="12544" width="8.85546875" style="109"/>
    <col min="12545" max="12545" width="51.7109375" style="109" customWidth="1"/>
    <col min="12546" max="12551" width="8.85546875" style="109"/>
    <col min="12552" max="12552" width="10.85546875" style="109" customWidth="1"/>
    <col min="12553" max="12800" width="8.85546875" style="109"/>
    <col min="12801" max="12801" width="51.7109375" style="109" customWidth="1"/>
    <col min="12802" max="12807" width="8.85546875" style="109"/>
    <col min="12808" max="12808" width="10.85546875" style="109" customWidth="1"/>
    <col min="12809" max="13056" width="8.85546875" style="109"/>
    <col min="13057" max="13057" width="51.7109375" style="109" customWidth="1"/>
    <col min="13058" max="13063" width="8.85546875" style="109"/>
    <col min="13064" max="13064" width="10.85546875" style="109" customWidth="1"/>
    <col min="13065" max="13312" width="8.85546875" style="109"/>
    <col min="13313" max="13313" width="51.7109375" style="109" customWidth="1"/>
    <col min="13314" max="13319" width="8.85546875" style="109"/>
    <col min="13320" max="13320" width="10.85546875" style="109" customWidth="1"/>
    <col min="13321" max="13568" width="8.85546875" style="109"/>
    <col min="13569" max="13569" width="51.7109375" style="109" customWidth="1"/>
    <col min="13570" max="13575" width="8.85546875" style="109"/>
    <col min="13576" max="13576" width="10.85546875" style="109" customWidth="1"/>
    <col min="13577" max="13824" width="8.85546875" style="109"/>
    <col min="13825" max="13825" width="51.7109375" style="109" customWidth="1"/>
    <col min="13826" max="13831" width="8.85546875" style="109"/>
    <col min="13832" max="13832" width="10.85546875" style="109" customWidth="1"/>
    <col min="13833" max="14080" width="8.85546875" style="109"/>
    <col min="14081" max="14081" width="51.7109375" style="109" customWidth="1"/>
    <col min="14082" max="14087" width="8.85546875" style="109"/>
    <col min="14088" max="14088" width="10.85546875" style="109" customWidth="1"/>
    <col min="14089" max="14336" width="8.85546875" style="109"/>
    <col min="14337" max="14337" width="51.7109375" style="109" customWidth="1"/>
    <col min="14338" max="14343" width="8.85546875" style="109"/>
    <col min="14344" max="14344" width="10.85546875" style="109" customWidth="1"/>
    <col min="14345" max="14592" width="8.85546875" style="109"/>
    <col min="14593" max="14593" width="51.7109375" style="109" customWidth="1"/>
    <col min="14594" max="14599" width="8.85546875" style="109"/>
    <col min="14600" max="14600" width="10.85546875" style="109" customWidth="1"/>
    <col min="14601" max="14848" width="8.85546875" style="109"/>
    <col min="14849" max="14849" width="51.7109375" style="109" customWidth="1"/>
    <col min="14850" max="14855" width="8.85546875" style="109"/>
    <col min="14856" max="14856" width="10.85546875" style="109" customWidth="1"/>
    <col min="14857" max="15104" width="8.85546875" style="109"/>
    <col min="15105" max="15105" width="51.7109375" style="109" customWidth="1"/>
    <col min="15106" max="15111" width="8.85546875" style="109"/>
    <col min="15112" max="15112" width="10.85546875" style="109" customWidth="1"/>
    <col min="15113" max="15360" width="8.85546875" style="109"/>
    <col min="15361" max="15361" width="51.7109375" style="109" customWidth="1"/>
    <col min="15362" max="15367" width="8.85546875" style="109"/>
    <col min="15368" max="15368" width="10.85546875" style="109" customWidth="1"/>
    <col min="15369" max="15616" width="8.85546875" style="109"/>
    <col min="15617" max="15617" width="51.7109375" style="109" customWidth="1"/>
    <col min="15618" max="15623" width="8.85546875" style="109"/>
    <col min="15624" max="15624" width="10.85546875" style="109" customWidth="1"/>
    <col min="15625" max="15872" width="8.85546875" style="109"/>
    <col min="15873" max="15873" width="51.7109375" style="109" customWidth="1"/>
    <col min="15874" max="15879" width="8.85546875" style="109"/>
    <col min="15880" max="15880" width="10.85546875" style="109" customWidth="1"/>
    <col min="15881" max="16128" width="8.85546875" style="109"/>
    <col min="16129" max="16129" width="51.7109375" style="109" customWidth="1"/>
    <col min="16130" max="16135" width="8.85546875" style="109"/>
    <col min="16136" max="16136" width="10.85546875" style="109" customWidth="1"/>
    <col min="16137" max="16384" width="8.85546875" style="109"/>
  </cols>
  <sheetData>
    <row r="1" spans="1:11">
      <c r="A1" s="106"/>
      <c r="B1" s="106"/>
      <c r="C1" s="106"/>
      <c r="D1" s="106"/>
      <c r="E1" s="106"/>
      <c r="F1" s="106"/>
      <c r="G1" s="106"/>
      <c r="H1" s="107"/>
      <c r="I1" s="108"/>
    </row>
    <row r="2" spans="1:11">
      <c r="A2" s="106"/>
      <c r="B2" s="106"/>
      <c r="C2" s="106"/>
      <c r="D2" s="106"/>
      <c r="E2" s="106"/>
      <c r="F2" s="106"/>
      <c r="G2" s="106"/>
      <c r="H2" s="107"/>
      <c r="I2" s="107"/>
    </row>
    <row r="3" spans="1:11">
      <c r="A3" s="106"/>
      <c r="B3" s="106"/>
      <c r="C3" s="106"/>
      <c r="D3" s="106"/>
      <c r="E3" s="106"/>
      <c r="F3" s="106"/>
      <c r="G3" s="106"/>
      <c r="H3" s="107"/>
      <c r="I3" s="107"/>
    </row>
    <row r="4" spans="1:11">
      <c r="A4" s="106"/>
      <c r="B4" s="106"/>
      <c r="C4" s="106"/>
      <c r="D4" s="106"/>
      <c r="E4" s="106"/>
      <c r="F4" s="106"/>
      <c r="G4" s="106"/>
      <c r="H4" s="107"/>
      <c r="I4" s="107"/>
    </row>
    <row r="5" spans="1:11">
      <c r="A5" s="106"/>
      <c r="B5" s="106"/>
      <c r="C5" s="106"/>
      <c r="D5" s="106"/>
      <c r="E5" s="106"/>
      <c r="F5" s="106"/>
      <c r="G5" s="106"/>
      <c r="H5" s="107"/>
      <c r="I5" s="107"/>
    </row>
    <row r="6" spans="1:11">
      <c r="A6" s="106"/>
      <c r="B6" s="106"/>
      <c r="C6" s="106"/>
      <c r="D6" s="106"/>
      <c r="E6" s="106"/>
      <c r="F6" s="106"/>
      <c r="G6" s="106"/>
      <c r="H6" s="107"/>
      <c r="I6" s="107"/>
    </row>
    <row r="7" spans="1:11">
      <c r="A7" s="106"/>
      <c r="B7" s="106"/>
      <c r="C7" s="106"/>
      <c r="D7" s="106"/>
      <c r="E7" s="106"/>
      <c r="F7" s="106"/>
      <c r="G7" s="106"/>
      <c r="H7" s="107"/>
      <c r="I7" s="107"/>
    </row>
    <row r="8" spans="1:11">
      <c r="A8" s="106"/>
      <c r="B8" s="106"/>
      <c r="C8" s="106"/>
      <c r="D8" s="106"/>
      <c r="E8" s="106"/>
      <c r="F8" s="106"/>
      <c r="G8" s="106"/>
      <c r="H8" s="106"/>
      <c r="I8" s="106"/>
    </row>
    <row r="9" spans="1:11" ht="18">
      <c r="A9" s="338" t="s">
        <v>111</v>
      </c>
      <c r="B9" s="339"/>
      <c r="C9" s="339"/>
      <c r="D9" s="339"/>
      <c r="E9" s="339"/>
      <c r="F9" s="339"/>
      <c r="G9" s="339"/>
      <c r="H9" s="339"/>
      <c r="I9" s="339"/>
    </row>
    <row r="10" spans="1:11" ht="18">
      <c r="A10" s="338" t="s">
        <v>112</v>
      </c>
      <c r="B10" s="340"/>
      <c r="C10" s="340"/>
      <c r="D10" s="340"/>
      <c r="E10" s="340"/>
      <c r="F10" s="340"/>
      <c r="G10" s="340"/>
      <c r="H10" s="340"/>
      <c r="I10" s="340"/>
    </row>
    <row r="11" spans="1:11" ht="18">
      <c r="A11" s="338" t="s">
        <v>113</v>
      </c>
      <c r="B11" s="340"/>
      <c r="C11" s="340"/>
      <c r="D11" s="340"/>
      <c r="E11" s="340"/>
      <c r="F11" s="340"/>
      <c r="G11" s="340"/>
      <c r="H11" s="340"/>
      <c r="I11" s="340"/>
    </row>
    <row r="12" spans="1:11">
      <c r="A12" s="106"/>
      <c r="B12" s="106"/>
      <c r="C12" s="106"/>
      <c r="D12" s="106"/>
      <c r="E12" s="106"/>
      <c r="F12" s="106"/>
      <c r="G12" s="106"/>
      <c r="H12" s="106"/>
      <c r="I12" s="106"/>
    </row>
    <row r="13" spans="1:11" s="111" customFormat="1">
      <c r="A13" s="341" t="s">
        <v>114</v>
      </c>
      <c r="B13" s="341"/>
      <c r="C13" s="341"/>
      <c r="D13" s="341"/>
      <c r="E13" s="341"/>
      <c r="F13" s="341"/>
      <c r="G13" s="341"/>
      <c r="H13" s="341"/>
      <c r="I13" s="341"/>
      <c r="J13" s="110"/>
      <c r="K13" s="110"/>
    </row>
    <row r="14" spans="1:11">
      <c r="A14" s="112"/>
      <c r="B14" s="112"/>
      <c r="C14" s="112"/>
      <c r="D14" s="112"/>
      <c r="E14" s="112"/>
      <c r="F14" s="112"/>
      <c r="G14" s="112"/>
      <c r="H14" s="112"/>
      <c r="I14" s="112"/>
      <c r="J14" s="113"/>
      <c r="K14" s="113"/>
    </row>
    <row r="15" spans="1:11">
      <c r="A15" s="341" t="s">
        <v>115</v>
      </c>
      <c r="B15" s="341"/>
      <c r="C15" s="341"/>
      <c r="D15" s="341"/>
      <c r="E15" s="341"/>
      <c r="F15" s="341"/>
      <c r="G15" s="341"/>
      <c r="H15" s="341"/>
      <c r="I15" s="341"/>
      <c r="J15" s="113"/>
      <c r="K15" s="113"/>
    </row>
    <row r="16" spans="1:11">
      <c r="A16" s="112"/>
      <c r="B16" s="112"/>
      <c r="C16" s="112"/>
      <c r="D16" s="112"/>
      <c r="E16" s="112"/>
      <c r="F16" s="112"/>
      <c r="G16" s="112"/>
      <c r="H16" s="112"/>
      <c r="I16" s="112"/>
      <c r="J16" s="113"/>
      <c r="K16" s="113"/>
    </row>
    <row r="17" spans="1:11" ht="39">
      <c r="A17" s="112"/>
      <c r="B17" s="114" t="s">
        <v>116</v>
      </c>
      <c r="C17" s="114">
        <v>2010</v>
      </c>
      <c r="D17" s="114">
        <v>2011</v>
      </c>
      <c r="E17" s="114">
        <v>2012</v>
      </c>
      <c r="F17" s="114" t="s">
        <v>117</v>
      </c>
      <c r="G17" s="114">
        <v>2014</v>
      </c>
      <c r="H17" s="114">
        <v>2015</v>
      </c>
      <c r="I17" s="114">
        <v>2016</v>
      </c>
      <c r="J17" s="113"/>
      <c r="K17" s="113"/>
    </row>
    <row r="18" spans="1:11">
      <c r="A18" s="115" t="s">
        <v>118</v>
      </c>
      <c r="B18" s="116" t="s">
        <v>119</v>
      </c>
      <c r="C18" s="116" t="s">
        <v>120</v>
      </c>
      <c r="D18" s="116" t="s">
        <v>120</v>
      </c>
      <c r="E18" s="116" t="s">
        <v>120</v>
      </c>
      <c r="F18" s="116" t="s">
        <v>121</v>
      </c>
      <c r="G18" s="116" t="s">
        <v>120</v>
      </c>
      <c r="H18" s="116" t="s">
        <v>120</v>
      </c>
      <c r="I18" s="116" t="s">
        <v>120</v>
      </c>
      <c r="J18" s="113"/>
      <c r="K18" s="113"/>
    </row>
    <row r="19" spans="1:11">
      <c r="A19" s="115" t="s">
        <v>122</v>
      </c>
      <c r="B19" s="116" t="s">
        <v>123</v>
      </c>
      <c r="C19" s="116" t="s">
        <v>124</v>
      </c>
      <c r="D19" s="116" t="s">
        <v>124</v>
      </c>
      <c r="E19" s="116" t="s">
        <v>123</v>
      </c>
      <c r="F19" s="116" t="s">
        <v>123</v>
      </c>
      <c r="G19" s="116"/>
      <c r="H19" s="116"/>
      <c r="I19" s="116"/>
      <c r="J19" s="113"/>
      <c r="K19" s="113"/>
    </row>
    <row r="20" spans="1:11">
      <c r="A20" s="112"/>
      <c r="B20" s="117"/>
      <c r="C20" s="117"/>
      <c r="D20" s="118" t="s">
        <v>125</v>
      </c>
      <c r="E20" s="118" t="s">
        <v>125</v>
      </c>
      <c r="F20" s="118" t="s">
        <v>125</v>
      </c>
      <c r="G20" s="118" t="s">
        <v>125</v>
      </c>
      <c r="H20" s="118" t="s">
        <v>125</v>
      </c>
      <c r="I20" s="118" t="s">
        <v>125</v>
      </c>
      <c r="J20" s="113"/>
      <c r="K20" s="113"/>
    </row>
    <row r="21" spans="1:11">
      <c r="A21" s="115" t="s">
        <v>126</v>
      </c>
      <c r="B21" s="342"/>
      <c r="C21" s="343"/>
      <c r="D21" s="343"/>
      <c r="E21" s="343"/>
      <c r="F21" s="343"/>
      <c r="G21" s="343"/>
      <c r="H21" s="343"/>
      <c r="I21" s="344"/>
      <c r="J21" s="113"/>
      <c r="K21" s="113"/>
    </row>
    <row r="22" spans="1:11">
      <c r="A22" s="117" t="s">
        <v>127</v>
      </c>
      <c r="B22" s="119"/>
      <c r="C22" s="119">
        <f>+B26</f>
        <v>27202804</v>
      </c>
      <c r="D22" s="120">
        <f>+C26</f>
        <v>27955023.390000001</v>
      </c>
      <c r="E22" s="121">
        <f>+D26</f>
        <v>29276311.800000001</v>
      </c>
      <c r="F22" s="119">
        <f>+E26</f>
        <v>31026719.116666667</v>
      </c>
      <c r="G22" s="122"/>
      <c r="H22" s="122"/>
      <c r="I22" s="122"/>
      <c r="J22" s="113"/>
      <c r="K22" s="113"/>
    </row>
    <row r="23" spans="1:11">
      <c r="A23" s="117" t="s">
        <v>128</v>
      </c>
      <c r="B23" s="119"/>
      <c r="C23" s="119">
        <f>+'[2]App.2-B_Fixed Asset Cont 2010'!F55</f>
        <v>2741802.2199999997</v>
      </c>
      <c r="D23" s="120">
        <f>+'[2]App.2-B_Fixed Asset Cont 2011'!F55</f>
        <v>3527103.22</v>
      </c>
      <c r="E23" s="121">
        <f>+'[2]App.2-B_Fixed Asset Cont 2012'!F55</f>
        <v>3951756</v>
      </c>
      <c r="F23" s="119">
        <f>+'[2]App.2-B_Fixed Asset Cont 2013'!F60+'[2]App.2-B_Fixed Asset Cont 2013'!E57+'[2]App.2-B_Fixed Asset Cont 2013'!E58+'[2]App.2-B_Fixed Asset Cont 2013'!E59</f>
        <v>9623188</v>
      </c>
      <c r="G23" s="122"/>
      <c r="H23" s="122"/>
      <c r="I23" s="122"/>
      <c r="J23" s="113"/>
      <c r="K23" s="113"/>
    </row>
    <row r="24" spans="1:11">
      <c r="A24" s="117" t="s">
        <v>129</v>
      </c>
      <c r="B24" s="119"/>
      <c r="C24" s="119">
        <f>+'[2]App.2-B_Fixed Asset Cont 2010'!G55+'[2]App.2-B_Fixed Asset Cont 2010'!L55</f>
        <v>-134258.85999999999</v>
      </c>
      <c r="D24" s="120">
        <f>+'[2]App.2-B_Fixed Asset Cont 2011'!G55+'[2]App.2-B_Fixed Asset Cont 2011'!L55</f>
        <v>-194977.88</v>
      </c>
      <c r="E24" s="121">
        <f>+'[2]App.2-B_Fixed Asset Cont 2012'!G55+'[2]App.2-B_Fixed Asset Cont 2012'!L55</f>
        <v>0</v>
      </c>
      <c r="F24" s="119">
        <f>+'[2]App.2-B_Fixed Asset Cont 2013'!G60+'[2]App.2-B_Fixed Asset Cont 2013'!L60</f>
        <v>0</v>
      </c>
      <c r="G24" s="122"/>
      <c r="H24" s="122"/>
      <c r="I24" s="122"/>
      <c r="J24" s="113"/>
      <c r="K24" s="113"/>
    </row>
    <row r="25" spans="1:11">
      <c r="A25" s="117" t="s">
        <v>130</v>
      </c>
      <c r="B25" s="119"/>
      <c r="C25" s="119">
        <f>+'[2]App.2-B_Fixed Asset Cont 2010'!K55</f>
        <v>-1855323.9700000002</v>
      </c>
      <c r="D25" s="120">
        <f>+'[2]App.2-B_Fixed Asset Cont 2011'!K55</f>
        <v>-2010836.9300000006</v>
      </c>
      <c r="E25" s="121">
        <f>+'[2]App.2-B_Fixed Asset Cont 2012'!K55</f>
        <v>-2201348.6833333336</v>
      </c>
      <c r="F25" s="119">
        <f>+'[2]App.2-B_Fixed Asset Cont 2013'!K60+'[2]App.2-B_Fixed Asset Cont 2013'!J57+'[2]App.2-B_Fixed Asset Cont 2013'!J58+'[2]App.2-B_Fixed Asset Cont 2013'!J59</f>
        <v>-3491029.3166666664</v>
      </c>
      <c r="G25" s="122"/>
      <c r="H25" s="122"/>
      <c r="I25" s="122"/>
      <c r="J25" s="113"/>
      <c r="K25" s="113"/>
    </row>
    <row r="26" spans="1:11">
      <c r="A26" s="123" t="s">
        <v>131</v>
      </c>
      <c r="B26" s="119">
        <v>27202804</v>
      </c>
      <c r="C26" s="119">
        <f>SUM(C22:C25)</f>
        <v>27955023.390000001</v>
      </c>
      <c r="D26" s="120">
        <f>SUM(D22:D25)</f>
        <v>29276311.800000001</v>
      </c>
      <c r="E26" s="124">
        <f>SUM(E22:E25)</f>
        <v>31026719.116666667</v>
      </c>
      <c r="F26" s="119">
        <f>SUM(F22:F25)</f>
        <v>37158877.799999997</v>
      </c>
      <c r="G26" s="122"/>
      <c r="H26" s="122"/>
      <c r="I26" s="122"/>
      <c r="J26" s="113"/>
      <c r="K26" s="113"/>
    </row>
    <row r="27" spans="1:11">
      <c r="A27" s="112"/>
      <c r="B27" s="112"/>
      <c r="C27" s="112"/>
      <c r="D27" s="125"/>
      <c r="E27" s="112"/>
      <c r="F27" s="112"/>
      <c r="G27" s="112"/>
      <c r="H27" s="112"/>
      <c r="I27" s="112"/>
      <c r="J27" s="113"/>
      <c r="K27" s="113"/>
    </row>
    <row r="28" spans="1:11" ht="26.25">
      <c r="A28" s="126" t="s">
        <v>132</v>
      </c>
      <c r="B28" s="112"/>
      <c r="C28" s="112"/>
      <c r="D28" s="125"/>
      <c r="E28" s="112"/>
      <c r="F28" s="112"/>
      <c r="G28" s="112"/>
      <c r="H28" s="112"/>
      <c r="I28" s="112"/>
      <c r="J28" s="113"/>
      <c r="K28" s="113"/>
    </row>
    <row r="29" spans="1:11">
      <c r="A29" s="117" t="s">
        <v>133</v>
      </c>
      <c r="B29" s="119"/>
      <c r="C29" s="119">
        <f t="shared" ref="C29:D33" si="0">+C22</f>
        <v>27202804</v>
      </c>
      <c r="D29" s="120">
        <f t="shared" si="0"/>
        <v>27955023.390000001</v>
      </c>
      <c r="E29" s="121">
        <f>+D33</f>
        <v>29276311.800000001</v>
      </c>
      <c r="F29" s="119">
        <f>+E33</f>
        <v>31533164.233333334</v>
      </c>
      <c r="G29" s="122"/>
      <c r="H29" s="122"/>
      <c r="I29" s="122"/>
      <c r="J29" s="113"/>
      <c r="K29" s="113"/>
    </row>
    <row r="30" spans="1:11">
      <c r="A30" s="117" t="s">
        <v>128</v>
      </c>
      <c r="B30" s="119"/>
      <c r="C30" s="119">
        <f t="shared" si="0"/>
        <v>2741802.2199999997</v>
      </c>
      <c r="D30" s="120">
        <f t="shared" si="0"/>
        <v>3527103.22</v>
      </c>
      <c r="E30" s="121">
        <f>+'[2]App.2-B_FA Cont MIFRS 2012'!F55</f>
        <v>3388315</v>
      </c>
      <c r="F30" s="119">
        <f>+'[2]App.2-B_FA Cont MIFRS 2013'!F60+'[2]App.2-B_FA Cont MIFRS 2013'!E57+'[2]App.2-B_FA Cont MIFRS 2013'!E58+'[2]App.2-B_FA Cont MIFRS 2013'!E59</f>
        <v>8737271</v>
      </c>
      <c r="G30" s="122"/>
      <c r="H30" s="122"/>
      <c r="I30" s="122"/>
      <c r="J30" s="113"/>
      <c r="K30" s="113"/>
    </row>
    <row r="31" spans="1:11">
      <c r="A31" s="117" t="s">
        <v>134</v>
      </c>
      <c r="B31" s="119"/>
      <c r="C31" s="119">
        <f t="shared" si="0"/>
        <v>-134258.85999999999</v>
      </c>
      <c r="D31" s="120">
        <f t="shared" si="0"/>
        <v>-194977.88</v>
      </c>
      <c r="E31" s="121">
        <f>+'[2]App.2-B_FA Cont MIFRS 2012'!G55+'[2]App.2-B_FA Cont MIFRS 2012'!L55</f>
        <v>0</v>
      </c>
      <c r="F31" s="119">
        <v>0</v>
      </c>
      <c r="G31" s="122"/>
      <c r="H31" s="122"/>
      <c r="I31" s="122"/>
      <c r="J31" s="113"/>
      <c r="K31" s="113"/>
    </row>
    <row r="32" spans="1:11">
      <c r="A32" s="117" t="s">
        <v>130</v>
      </c>
      <c r="B32" s="119"/>
      <c r="C32" s="119">
        <f t="shared" si="0"/>
        <v>-1855323.9700000002</v>
      </c>
      <c r="D32" s="120">
        <f t="shared" si="0"/>
        <v>-2010836.9300000006</v>
      </c>
      <c r="E32" s="121">
        <f>+'[2]App.2-B_FA Cont MIFRS 2012'!K55</f>
        <v>-1131462.5666666667</v>
      </c>
      <c r="F32" s="119">
        <f>+'[2]App.2-B_FA Cont MIFRS 2013'!K60+'[2]App.2-B_FA Cont MIFRS 2013'!J57+'[2]App.2-B_FA Cont MIFRS 2013'!J58+'[2]App.2-B_FA Cont MIFRS 2013'!J59</f>
        <v>-2272495.4333333336</v>
      </c>
      <c r="G32" s="122"/>
      <c r="H32" s="122"/>
      <c r="I32" s="122"/>
      <c r="J32" s="113"/>
      <c r="K32" s="113"/>
    </row>
    <row r="33" spans="1:11">
      <c r="A33" s="123" t="s">
        <v>135</v>
      </c>
      <c r="B33" s="119">
        <f>+B26</f>
        <v>27202804</v>
      </c>
      <c r="C33" s="119">
        <f t="shared" si="0"/>
        <v>27955023.390000001</v>
      </c>
      <c r="D33" s="120">
        <f t="shared" si="0"/>
        <v>29276311.800000001</v>
      </c>
      <c r="E33" s="124">
        <f>SUM(E29:E32)</f>
        <v>31533164.233333334</v>
      </c>
      <c r="F33" s="119">
        <f>SUM(F29:F32)</f>
        <v>37997939.799999997</v>
      </c>
      <c r="G33" s="122"/>
      <c r="H33" s="122"/>
      <c r="I33" s="122"/>
      <c r="J33" s="113"/>
      <c r="K33" s="113"/>
    </row>
    <row r="34" spans="1:11">
      <c r="A34" s="112"/>
      <c r="B34" s="112"/>
      <c r="C34" s="112"/>
      <c r="D34" s="112"/>
      <c r="E34" s="112"/>
      <c r="F34" s="112"/>
      <c r="G34" s="112"/>
      <c r="H34" s="112"/>
      <c r="I34" s="112"/>
      <c r="J34" s="113"/>
      <c r="K34" s="113"/>
    </row>
    <row r="35" spans="1:11" ht="26.25">
      <c r="A35" s="127" t="s">
        <v>136</v>
      </c>
      <c r="B35" s="122"/>
      <c r="C35" s="122"/>
      <c r="D35" s="128"/>
      <c r="E35" s="129">
        <f>E26-E33</f>
        <v>-506445.11666666716</v>
      </c>
      <c r="F35" s="122"/>
      <c r="G35" s="122"/>
      <c r="H35" s="122"/>
      <c r="I35" s="122"/>
      <c r="J35" s="113"/>
      <c r="K35" s="113"/>
    </row>
    <row r="36" spans="1:11">
      <c r="A36" s="112"/>
      <c r="B36" s="112"/>
      <c r="C36" s="112"/>
      <c r="D36" s="112"/>
      <c r="E36" s="112"/>
      <c r="F36" s="112"/>
      <c r="G36" s="112"/>
      <c r="H36" s="112"/>
      <c r="I36" s="112"/>
      <c r="J36" s="113"/>
      <c r="K36" s="113"/>
    </row>
    <row r="37" spans="1:11">
      <c r="A37" s="115" t="s">
        <v>137</v>
      </c>
      <c r="B37" s="112"/>
      <c r="C37" s="112"/>
      <c r="D37" s="112"/>
      <c r="E37" s="112"/>
      <c r="F37" s="112"/>
      <c r="G37" s="112"/>
      <c r="H37" s="112"/>
      <c r="I37" s="112"/>
      <c r="J37" s="113"/>
      <c r="K37" s="113"/>
    </row>
    <row r="38" spans="1:11">
      <c r="A38" s="117" t="s">
        <v>138</v>
      </c>
      <c r="B38" s="122"/>
      <c r="C38" s="122"/>
      <c r="D38" s="130"/>
      <c r="E38" s="131">
        <f>D42</f>
        <v>0</v>
      </c>
      <c r="F38" s="131">
        <f>E42</f>
        <v>-506445.11666666716</v>
      </c>
      <c r="G38" s="131">
        <f>F42</f>
        <v>-379833.83750000037</v>
      </c>
      <c r="H38" s="131">
        <f>G42</f>
        <v>-253222.55833333358</v>
      </c>
      <c r="I38" s="131">
        <f>H42</f>
        <v>-126611.27916666679</v>
      </c>
      <c r="J38" s="113"/>
      <c r="K38" s="113"/>
    </row>
    <row r="39" spans="1:11">
      <c r="A39" s="117" t="s">
        <v>139</v>
      </c>
      <c r="B39" s="122"/>
      <c r="C39" s="122"/>
      <c r="D39" s="130"/>
      <c r="E39" s="131">
        <f>E35-D35</f>
        <v>-506445.11666666716</v>
      </c>
      <c r="F39" s="119"/>
      <c r="G39" s="119"/>
      <c r="H39" s="119"/>
      <c r="I39" s="119"/>
      <c r="J39" s="113"/>
      <c r="K39" s="113"/>
    </row>
    <row r="40" spans="1:11">
      <c r="A40" s="132" t="s">
        <v>140</v>
      </c>
      <c r="B40" s="122"/>
      <c r="C40" s="122"/>
      <c r="D40" s="130"/>
      <c r="E40" s="131">
        <f>E38+E39</f>
        <v>-506445.11666666716</v>
      </c>
      <c r="F40" s="131">
        <f>F38+F39</f>
        <v>-506445.11666666716</v>
      </c>
      <c r="G40" s="131">
        <f>G38+G39</f>
        <v>-379833.83750000037</v>
      </c>
      <c r="H40" s="131">
        <f>H38+H39</f>
        <v>-253222.55833333358</v>
      </c>
      <c r="I40" s="131">
        <f>I38+I39</f>
        <v>-126611.27916666679</v>
      </c>
      <c r="J40" s="113"/>
      <c r="K40" s="113"/>
    </row>
    <row r="41" spans="1:11" ht="26.25">
      <c r="A41" s="133" t="s">
        <v>141</v>
      </c>
      <c r="B41" s="122"/>
      <c r="C41" s="122"/>
      <c r="D41" s="130"/>
      <c r="E41" s="119"/>
      <c r="F41" s="131">
        <f>IF(ISERROR(-E35/I46), 0, -E35/I46)</f>
        <v>126611.27916666679</v>
      </c>
      <c r="G41" s="131">
        <f>+F41</f>
        <v>126611.27916666679</v>
      </c>
      <c r="H41" s="131">
        <f>+F41</f>
        <v>126611.27916666679</v>
      </c>
      <c r="I41" s="131">
        <f>+F41</f>
        <v>126611.27916666679</v>
      </c>
      <c r="J41" s="113"/>
      <c r="K41" s="113"/>
    </row>
    <row r="42" spans="1:11">
      <c r="A42" s="123" t="s">
        <v>142</v>
      </c>
      <c r="B42" s="122"/>
      <c r="C42" s="122"/>
      <c r="D42" s="130"/>
      <c r="E42" s="131">
        <f>E40+E41</f>
        <v>-506445.11666666716</v>
      </c>
      <c r="F42" s="131">
        <f>IF(ISERROR(F40+F41), 0, F40+F41)</f>
        <v>-379833.83750000037</v>
      </c>
      <c r="G42" s="131">
        <f>G40+G41</f>
        <v>-253222.55833333358</v>
      </c>
      <c r="H42" s="131">
        <f>H40+H41</f>
        <v>-126611.27916666679</v>
      </c>
      <c r="I42" s="131">
        <f>I40+I41</f>
        <v>0</v>
      </c>
      <c r="J42" s="113"/>
      <c r="K42" s="113"/>
    </row>
    <row r="43" spans="1:11">
      <c r="A43" s="115"/>
      <c r="B43" s="112"/>
      <c r="C43" s="112"/>
      <c r="D43" s="134"/>
      <c r="E43" s="134"/>
      <c r="F43" s="134"/>
      <c r="G43" s="134"/>
      <c r="H43" s="134"/>
      <c r="I43" s="112"/>
      <c r="J43" s="113"/>
      <c r="K43" s="113"/>
    </row>
    <row r="44" spans="1:11">
      <c r="A44" s="115" t="s">
        <v>143</v>
      </c>
      <c r="B44" s="112"/>
      <c r="C44" s="112"/>
      <c r="D44" s="134"/>
      <c r="E44" s="134"/>
      <c r="F44" s="134"/>
      <c r="G44" s="134"/>
      <c r="H44" s="134"/>
      <c r="I44" s="112"/>
      <c r="J44" s="113"/>
      <c r="K44" s="113"/>
    </row>
    <row r="45" spans="1:11" s="140" customFormat="1">
      <c r="A45" s="135" t="s">
        <v>144</v>
      </c>
      <c r="B45" s="136"/>
      <c r="C45" s="136"/>
      <c r="D45" s="136"/>
      <c r="E45" s="136"/>
      <c r="F45" s="137">
        <f>IF(ISERROR(E35/I46), 0, E35/I46)</f>
        <v>-126611.27916666679</v>
      </c>
      <c r="G45" s="112"/>
      <c r="H45" s="138" t="s">
        <v>145</v>
      </c>
      <c r="I45" s="139">
        <v>6.6100000000000006E-2</v>
      </c>
      <c r="J45" s="113"/>
      <c r="K45" s="113"/>
    </row>
    <row r="46" spans="1:11" s="140" customFormat="1" ht="39">
      <c r="A46" s="141" t="s">
        <v>146</v>
      </c>
      <c r="B46" s="142"/>
      <c r="C46" s="142"/>
      <c r="D46" s="142"/>
      <c r="E46" s="142"/>
      <c r="F46" s="143">
        <f>E35*I45</f>
        <v>-33476.022211666699</v>
      </c>
      <c r="G46" s="112"/>
      <c r="H46" s="126" t="s">
        <v>147</v>
      </c>
      <c r="I46" s="144">
        <v>4</v>
      </c>
      <c r="J46" s="145" t="s">
        <v>148</v>
      </c>
      <c r="K46" s="113"/>
    </row>
    <row r="47" spans="1:11">
      <c r="A47" s="146" t="s">
        <v>149</v>
      </c>
      <c r="B47" s="142"/>
      <c r="C47" s="142"/>
      <c r="D47" s="142"/>
      <c r="E47" s="142"/>
      <c r="F47" s="143">
        <f>F45+F46</f>
        <v>-160087.30137833348</v>
      </c>
      <c r="G47" s="112"/>
      <c r="H47" s="112"/>
      <c r="I47" s="112"/>
      <c r="J47" s="113"/>
      <c r="K47" s="113"/>
    </row>
    <row r="48" spans="1:11">
      <c r="A48" s="115"/>
      <c r="B48" s="112"/>
      <c r="C48" s="112"/>
      <c r="D48" s="112"/>
      <c r="E48" s="112"/>
      <c r="F48" s="112"/>
      <c r="G48" s="112"/>
      <c r="H48" s="112"/>
      <c r="I48" s="112"/>
      <c r="J48" s="113"/>
      <c r="K48" s="113"/>
    </row>
    <row r="49" spans="1:11">
      <c r="A49" s="115" t="s">
        <v>56</v>
      </c>
      <c r="B49" s="112"/>
      <c r="C49" s="112"/>
      <c r="D49" s="112"/>
      <c r="E49" s="112"/>
      <c r="F49" s="112"/>
      <c r="G49" s="112"/>
      <c r="H49" s="112"/>
      <c r="I49" s="112"/>
      <c r="J49" s="113"/>
      <c r="K49" s="113"/>
    </row>
    <row r="50" spans="1:11">
      <c r="A50" s="112" t="s">
        <v>150</v>
      </c>
      <c r="B50" s="112"/>
      <c r="C50" s="112"/>
      <c r="D50" s="112"/>
      <c r="E50" s="112"/>
      <c r="F50" s="112"/>
      <c r="G50" s="112"/>
      <c r="H50" s="112"/>
      <c r="I50" s="112"/>
      <c r="J50" s="113"/>
      <c r="K50" s="113"/>
    </row>
    <row r="51" spans="1:11">
      <c r="A51" s="112" t="s">
        <v>151</v>
      </c>
      <c r="B51" s="112"/>
      <c r="C51" s="112"/>
      <c r="D51" s="112"/>
      <c r="E51" s="112"/>
      <c r="F51" s="112"/>
      <c r="G51" s="112"/>
      <c r="H51" s="112"/>
      <c r="I51" s="112"/>
      <c r="J51" s="113"/>
      <c r="K51" s="113"/>
    </row>
    <row r="52" spans="1:11">
      <c r="A52" s="112" t="s">
        <v>152</v>
      </c>
      <c r="B52" s="112"/>
      <c r="C52" s="112"/>
      <c r="D52" s="112"/>
      <c r="E52" s="112"/>
      <c r="F52" s="112"/>
      <c r="G52" s="112"/>
      <c r="H52" s="112"/>
      <c r="I52" s="112"/>
      <c r="J52" s="113"/>
      <c r="K52" s="113"/>
    </row>
    <row r="53" spans="1:11">
      <c r="A53" s="112" t="s">
        <v>153</v>
      </c>
      <c r="B53" s="112"/>
      <c r="C53" s="112"/>
      <c r="D53" s="112"/>
      <c r="E53" s="112"/>
      <c r="F53" s="112"/>
      <c r="G53" s="112"/>
      <c r="H53" s="112"/>
      <c r="I53" s="112"/>
      <c r="J53" s="113"/>
      <c r="K53" s="113"/>
    </row>
    <row r="54" spans="1:11">
      <c r="A54" s="112" t="s">
        <v>154</v>
      </c>
      <c r="B54" s="112"/>
      <c r="C54" s="112"/>
      <c r="D54" s="112"/>
      <c r="E54" s="112"/>
      <c r="F54" s="112"/>
      <c r="G54" s="112"/>
      <c r="H54" s="112"/>
      <c r="I54" s="112"/>
      <c r="J54" s="113"/>
      <c r="K54" s="113"/>
    </row>
    <row r="55" spans="1:11">
      <c r="A55" s="112" t="s">
        <v>155</v>
      </c>
      <c r="B55" s="112"/>
      <c r="C55" s="112"/>
      <c r="D55" s="112"/>
      <c r="E55" s="112"/>
      <c r="F55" s="112"/>
      <c r="G55" s="112"/>
      <c r="H55" s="112"/>
      <c r="I55" s="112"/>
      <c r="J55" s="113"/>
      <c r="K55" s="113"/>
    </row>
    <row r="56" spans="1:11">
      <c r="A56" s="112" t="s">
        <v>156</v>
      </c>
      <c r="B56" s="112"/>
      <c r="C56" s="112"/>
      <c r="D56" s="112"/>
      <c r="E56" s="112"/>
      <c r="F56" s="112"/>
      <c r="G56" s="112"/>
      <c r="H56" s="112"/>
      <c r="I56" s="112"/>
      <c r="J56" s="113"/>
      <c r="K56" s="113"/>
    </row>
    <row r="57" spans="1:11" ht="24.75" customHeight="1">
      <c r="A57" s="337" t="s">
        <v>157</v>
      </c>
      <c r="B57" s="337"/>
      <c r="C57" s="337"/>
      <c r="D57" s="337"/>
      <c r="E57" s="337"/>
      <c r="F57" s="337"/>
      <c r="G57" s="337"/>
      <c r="H57" s="337"/>
      <c r="I57" s="337"/>
      <c r="J57" s="113"/>
      <c r="K57" s="113"/>
    </row>
    <row r="58" spans="1:11" ht="24.75" customHeight="1">
      <c r="A58" s="337"/>
      <c r="B58" s="337"/>
      <c r="C58" s="337"/>
      <c r="D58" s="337"/>
      <c r="E58" s="337"/>
      <c r="F58" s="337"/>
      <c r="G58" s="337"/>
      <c r="H58" s="337"/>
      <c r="I58" s="337"/>
    </row>
  </sheetData>
  <mergeCells count="7">
    <mergeCell ref="A57:I58"/>
    <mergeCell ref="A9:I9"/>
    <mergeCell ref="A10:I10"/>
    <mergeCell ref="A11:I11"/>
    <mergeCell ref="A13:I13"/>
    <mergeCell ref="A15:I15"/>
    <mergeCell ref="B21:I21"/>
  </mergeCells>
  <dataValidations count="1">
    <dataValidation allowBlank="1" showInputMessage="1" showErrorMessage="1" promptTitle="Date Format" prompt="E.g:  &quot;August 1, 2011&quot;" sqref="WVM983048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dataValidations>
  <pageMargins left="0.7" right="0.7" top="0.75" bottom="0.75" header="0.3" footer="0.3"/>
  <pageSetup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2.0-EP-2b</vt:lpstr>
      <vt:lpstr>3.0-Staff-16a</vt:lpstr>
      <vt:lpstr>3.0-Staff-18</vt:lpstr>
      <vt:lpstr>4-SEC-6</vt:lpstr>
      <vt:lpstr>8.0-Staff-38b</vt:lpstr>
      <vt:lpstr>8.0-Staff-38c</vt:lpstr>
      <vt:lpstr>10.0-Staff-56a</vt:lpstr>
      <vt:lpstr>'2.0-EP-2b'!Print_Area</vt:lpstr>
      <vt:lpstr>'3.0-Staff-16a'!Print_Area</vt:lpstr>
      <vt:lpstr>'3.0-Staff-18'!Print_Area</vt:lpstr>
      <vt:lpstr>'4-SEC-6'!Print_Area</vt:lpstr>
      <vt:lpstr>'8.0-Staff-38b'!Print_Area</vt:lpstr>
      <vt:lpstr>'8.0-Staff-38c'!Print_Area</vt:lpstr>
      <vt:lpstr>'8.0-Staff-38b'!Print_Titles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carterj</dc:creator>
  <cp:lastModifiedBy>milnel</cp:lastModifiedBy>
  <dcterms:created xsi:type="dcterms:W3CDTF">2013-01-28T15:25:13Z</dcterms:created>
  <dcterms:modified xsi:type="dcterms:W3CDTF">2013-01-28T20:24:24Z</dcterms:modified>
</cp:coreProperties>
</file>