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BWP final for SEC 2" sheetId="1" r:id="rId1"/>
  </sheets>
  <calcPr calcId="145621"/>
</workbook>
</file>

<file path=xl/calcChain.xml><?xml version="1.0" encoding="utf-8"?>
<calcChain xmlns="http://schemas.openxmlformats.org/spreadsheetml/2006/main">
  <c r="I34" i="1" l="1"/>
  <c r="F34" i="1"/>
  <c r="E34" i="1"/>
  <c r="D34" i="1"/>
  <c r="C34" i="1"/>
  <c r="G32" i="1"/>
  <c r="G34" i="1" s="1"/>
  <c r="F31" i="1"/>
  <c r="E31" i="1"/>
  <c r="D31" i="1"/>
  <c r="C31" i="1"/>
  <c r="F29" i="1"/>
  <c r="D29" i="1"/>
  <c r="I28" i="1"/>
  <c r="G28" i="1"/>
  <c r="D26" i="1"/>
  <c r="I24" i="1"/>
  <c r="G24" i="1"/>
  <c r="G21" i="1" s="1"/>
  <c r="G26" i="1" s="1"/>
  <c r="I21" i="1"/>
  <c r="E21" i="1"/>
  <c r="E26" i="1" s="1"/>
  <c r="D21" i="1"/>
  <c r="C21" i="1"/>
  <c r="I20" i="1"/>
  <c r="G20" i="1"/>
  <c r="D18" i="1"/>
  <c r="G17" i="1"/>
  <c r="G18" i="1" s="1"/>
  <c r="I16" i="1"/>
  <c r="G16" i="1"/>
  <c r="F16" i="1"/>
  <c r="E16" i="1"/>
  <c r="D16" i="1"/>
  <c r="C16" i="1"/>
  <c r="I15" i="1"/>
  <c r="I6" i="1"/>
  <c r="I3" i="1" s="1"/>
  <c r="C5" i="1"/>
  <c r="C3" i="1" s="1"/>
  <c r="C18" i="1" s="1"/>
  <c r="G3" i="1"/>
  <c r="G8" i="1" s="1"/>
  <c r="F3" i="1"/>
  <c r="F26" i="1" s="1"/>
  <c r="E3" i="1"/>
  <c r="E8" i="1" s="1"/>
  <c r="D3" i="1"/>
  <c r="D8" i="1" s="1"/>
  <c r="D19" i="1" l="1"/>
  <c r="I26" i="1"/>
  <c r="I8" i="1"/>
  <c r="I18" i="1"/>
  <c r="I19" i="1" s="1"/>
  <c r="C26" i="1"/>
  <c r="E18" i="1"/>
  <c r="E19" i="1" s="1"/>
  <c r="F8" i="1"/>
  <c r="F18" i="1"/>
  <c r="F19" i="1" l="1"/>
  <c r="G19" i="1"/>
</calcChain>
</file>

<file path=xl/sharedStrings.xml><?xml version="1.0" encoding="utf-8"?>
<sst xmlns="http://schemas.openxmlformats.org/spreadsheetml/2006/main" count="85" uniqueCount="53">
  <si>
    <t>Bluewater Timeline Data</t>
  </si>
  <si>
    <t>Comparator</t>
  </si>
  <si>
    <t>2012 Actual (CGAAP)</t>
  </si>
  <si>
    <t>2012 Basis</t>
  </si>
  <si>
    <t>2013 (MIFRS)</t>
  </si>
  <si>
    <t>Notes</t>
  </si>
  <si>
    <r>
      <t>Customers</t>
    </r>
    <r>
      <rPr>
        <sz val="11"/>
        <color rgb="FFFF0000"/>
        <rFont val="Calibri"/>
        <family val="2"/>
        <scheme val="minor"/>
      </rPr>
      <t xml:space="preserve"> (METERED)</t>
    </r>
  </si>
  <si>
    <t>Actual</t>
  </si>
  <si>
    <t>Residential</t>
  </si>
  <si>
    <t>GS&lt;50</t>
  </si>
  <si>
    <t>Removed the number of USL customers that were included in GS&lt;50 for 2008 for equal comparison</t>
  </si>
  <si>
    <r>
      <t>GS&gt;50</t>
    </r>
    <r>
      <rPr>
        <sz val="11"/>
        <color rgb="FFFF0000"/>
        <rFont val="Calibri"/>
        <family val="2"/>
        <scheme val="minor"/>
      </rPr>
      <t xml:space="preserve"> (includes Intermediate)</t>
    </r>
  </si>
  <si>
    <t>Large User</t>
  </si>
  <si>
    <t>Percentage Increase</t>
  </si>
  <si>
    <t>Calculation</t>
  </si>
  <si>
    <t>Volumes Sold (kwh) (millions)</t>
  </si>
  <si>
    <t>2012 is per EP 14, combination of actual where available and remaining fcst, 2013 is per application</t>
  </si>
  <si>
    <t>Total Losses (DLF)</t>
  </si>
  <si>
    <t>Not available</t>
  </si>
  <si>
    <t>The losses have been revised to reflect the rate application Appendix 2-R</t>
  </si>
  <si>
    <t xml:space="preserve">Average Peak Demand </t>
  </si>
  <si>
    <t>These have been revised based on a defintion clarificiation with the OEB of 'Average Peak Demand'</t>
  </si>
  <si>
    <t>DX Revenues (000s omitted)</t>
  </si>
  <si>
    <t>Draft Actual</t>
  </si>
  <si>
    <t>this includes SSS admin, retail revenue and other revenue items (Accounts 4080-4086, 4210-4235)</t>
  </si>
  <si>
    <t>GS&gt;50 and Large</t>
  </si>
  <si>
    <t>Other</t>
  </si>
  <si>
    <t>this is the revenue from rate classes not listed above, plus the other revenue per the OEB groupings.</t>
  </si>
  <si>
    <t>Property, Plant &amp; Equipment (000s omitted)</t>
  </si>
  <si>
    <t>2012 &amp; 2013 used ending NBV for year</t>
  </si>
  <si>
    <t>PP&amp;E per Customer</t>
  </si>
  <si>
    <t>Capital Additions/Depreciation</t>
  </si>
  <si>
    <t>OM&amp;A (000s omitted)</t>
  </si>
  <si>
    <t>Operations</t>
  </si>
  <si>
    <t>Maintenance</t>
  </si>
  <si>
    <t>Administration</t>
  </si>
  <si>
    <t>2011 - includes one time PILs adjustment of $428,796, other years is property tax</t>
  </si>
  <si>
    <t>OM&amp;A per Customer</t>
  </si>
  <si>
    <t>Actual Shareholders' Equity (000s omitted)</t>
  </si>
  <si>
    <t>Per original filing</t>
  </si>
  <si>
    <t>Equity Thickness'</t>
  </si>
  <si>
    <t>LTD &amp; Aff. Debt (000s omitted)</t>
  </si>
  <si>
    <t>Note 1 and 2 for 2009 and 2011.</t>
  </si>
  <si>
    <t>Net Income (000s omitted)</t>
  </si>
  <si>
    <t>Financial ROE</t>
  </si>
  <si>
    <t>Interest Cost (000s omitted)</t>
  </si>
  <si>
    <t>PILs (000s omitted)</t>
  </si>
  <si>
    <t>Total Cost of Capital</t>
  </si>
  <si>
    <t>Changes Made</t>
  </si>
  <si>
    <t xml:space="preserve">For 2009 the LTD is 19,377,604.  The value of 1,874,957 in the yearbook as 'Inter-company' is not debt.  Per note 14 of the </t>
  </si>
  <si>
    <t>Audited Statements, this represents billed amounts for water billing not yet remitted to municipal shareholders.</t>
  </si>
  <si>
    <t xml:space="preserve">For 2011, the LTD debt number has been corrected to correspond to what is indicated in the 2011 yearbook which is LTD of </t>
  </si>
  <si>
    <t>19,377,604 plus Inter-Company LTD and advances of 7827494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</si>
</sst>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&quot;$&quot;#,##0"/>
    <numFmt numFmtId="166" formatCode="&quot;$&quot;#,##0.0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Continuous"/>
    </xf>
    <xf numFmtId="0" fontId="5" fillId="0" borderId="0" xfId="0" applyFont="1"/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/>
    <xf numFmtId="0" fontId="3" fillId="0" borderId="0" xfId="0" applyFont="1"/>
    <xf numFmtId="0" fontId="0" fillId="0" borderId="1" xfId="0" applyBorder="1"/>
    <xf numFmtId="3" fontId="0" fillId="0" borderId="1" xfId="0" applyNumberFormat="1" applyFont="1" applyBorder="1"/>
    <xf numFmtId="0" fontId="5" fillId="0" borderId="1" xfId="0" applyFont="1" applyBorder="1"/>
    <xf numFmtId="3" fontId="7" fillId="2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0" fillId="0" borderId="1" xfId="0" applyFont="1" applyBorder="1"/>
    <xf numFmtId="10" fontId="0" fillId="0" borderId="1" xfId="0" applyNumberFormat="1" applyFont="1" applyBorder="1"/>
    <xf numFmtId="3" fontId="7" fillId="2" borderId="2" xfId="0" applyNumberFormat="1" applyFont="1" applyFill="1" applyBorder="1" applyAlignment="1">
      <alignment horizontal="right"/>
    </xf>
    <xf numFmtId="164" fontId="0" fillId="0" borderId="1" xfId="1" applyNumberFormat="1" applyFont="1" applyBorder="1"/>
    <xf numFmtId="0" fontId="2" fillId="0" borderId="1" xfId="0" applyFont="1" applyBorder="1"/>
    <xf numFmtId="10" fontId="7" fillId="3" borderId="1" xfId="0" applyNumberFormat="1" applyFont="1" applyFill="1" applyBorder="1" applyAlignment="1">
      <alignment horizontal="right"/>
    </xf>
    <xf numFmtId="10" fontId="0" fillId="3" borderId="1" xfId="0" applyNumberFormat="1" applyFont="1" applyFill="1" applyBorder="1"/>
    <xf numFmtId="3" fontId="0" fillId="3" borderId="1" xfId="0" applyNumberFormat="1" applyFont="1" applyFill="1" applyBorder="1"/>
    <xf numFmtId="165" fontId="0" fillId="0" borderId="1" xfId="0" applyNumberFormat="1" applyFont="1" applyBorder="1"/>
    <xf numFmtId="165" fontId="0" fillId="0" borderId="1" xfId="0" applyNumberFormat="1" applyFont="1" applyFill="1" applyBorder="1"/>
    <xf numFmtId="166" fontId="0" fillId="0" borderId="1" xfId="0" applyNumberFormat="1" applyFont="1" applyBorder="1"/>
    <xf numFmtId="166" fontId="0" fillId="0" borderId="1" xfId="0" applyNumberFormat="1" applyFont="1" applyFill="1" applyBorder="1"/>
    <xf numFmtId="10" fontId="0" fillId="0" borderId="1" xfId="0" applyNumberFormat="1" applyFont="1" applyFill="1" applyBorder="1"/>
    <xf numFmtId="167" fontId="0" fillId="0" borderId="1" xfId="0" applyNumberFormat="1" applyFont="1" applyBorder="1"/>
    <xf numFmtId="167" fontId="0" fillId="0" borderId="1" xfId="0" applyNumberFormat="1" applyFont="1" applyFill="1" applyBorder="1"/>
    <xf numFmtId="167" fontId="0" fillId="0" borderId="1" xfId="2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0" fontId="0" fillId="0" borderId="1" xfId="0" quotePrefix="1" applyBorder="1"/>
    <xf numFmtId="165" fontId="0" fillId="3" borderId="1" xfId="0" applyNumberFormat="1" applyFont="1" applyFill="1" applyBorder="1"/>
    <xf numFmtId="0" fontId="8" fillId="0" borderId="1" xfId="0" applyFont="1" applyBorder="1"/>
    <xf numFmtId="0" fontId="0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G21" sqref="G21"/>
    </sheetView>
  </sheetViews>
  <sheetFormatPr defaultRowHeight="15" x14ac:dyDescent="0.25"/>
  <cols>
    <col min="1" max="1" width="5.28515625" customWidth="1"/>
    <col min="2" max="2" width="31.5703125" customWidth="1"/>
    <col min="3" max="6" width="10.7109375" customWidth="1"/>
    <col min="7" max="7" width="12.7109375" bestFit="1" customWidth="1"/>
    <col min="8" max="8" width="16.5703125" customWidth="1"/>
    <col min="9" max="9" width="12.7109375" customWidth="1"/>
    <col min="10" max="10" width="71.7109375" style="2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7" customFormat="1" ht="30" x14ac:dyDescent="0.25">
      <c r="A2" s="3" t="s">
        <v>1</v>
      </c>
      <c r="B2" s="3"/>
      <c r="C2" s="4">
        <v>2008</v>
      </c>
      <c r="D2" s="4">
        <v>2009</v>
      </c>
      <c r="E2" s="4">
        <v>2010</v>
      </c>
      <c r="F2" s="4">
        <v>2011</v>
      </c>
      <c r="G2" s="5" t="s">
        <v>2</v>
      </c>
      <c r="H2" s="4" t="s">
        <v>3</v>
      </c>
      <c r="I2" s="4" t="s">
        <v>4</v>
      </c>
      <c r="J2" s="6" t="s">
        <v>5</v>
      </c>
    </row>
    <row r="3" spans="1:10" x14ac:dyDescent="0.25">
      <c r="A3" s="8" t="s">
        <v>6</v>
      </c>
      <c r="B3" s="8"/>
      <c r="C3" s="9">
        <f t="shared" ref="C3:E3" si="0">SUM(C4:C7)</f>
        <v>35952</v>
      </c>
      <c r="D3" s="9">
        <f t="shared" si="0"/>
        <v>35323</v>
      </c>
      <c r="E3" s="9">
        <f t="shared" si="0"/>
        <v>35688</v>
      </c>
      <c r="F3" s="9">
        <f>SUM(F4:F7)</f>
        <v>35772</v>
      </c>
      <c r="G3" s="9">
        <f>SUM(G4:G7)</f>
        <v>35808</v>
      </c>
      <c r="H3" s="9" t="s">
        <v>7</v>
      </c>
      <c r="I3" s="9">
        <f>SUM(I4:I7)</f>
        <v>36119</v>
      </c>
      <c r="J3" s="10"/>
    </row>
    <row r="4" spans="1:10" x14ac:dyDescent="0.25">
      <c r="A4" s="8"/>
      <c r="B4" s="8" t="s">
        <v>8</v>
      </c>
      <c r="C4" s="11">
        <v>31626</v>
      </c>
      <c r="D4" s="9">
        <v>31420</v>
      </c>
      <c r="E4" s="9">
        <v>31750</v>
      </c>
      <c r="F4" s="9">
        <v>31841</v>
      </c>
      <c r="G4" s="9">
        <v>31896</v>
      </c>
      <c r="H4" s="9" t="s">
        <v>7</v>
      </c>
      <c r="I4" s="9">
        <v>32122</v>
      </c>
      <c r="J4" s="10"/>
    </row>
    <row r="5" spans="1:10" x14ac:dyDescent="0.25">
      <c r="A5" s="8"/>
      <c r="B5" s="8" t="s">
        <v>9</v>
      </c>
      <c r="C5" s="12">
        <f>4172-266</f>
        <v>3906</v>
      </c>
      <c r="D5" s="9">
        <v>3505</v>
      </c>
      <c r="E5" s="9">
        <v>3511</v>
      </c>
      <c r="F5" s="9">
        <v>3495</v>
      </c>
      <c r="G5" s="9">
        <v>3480</v>
      </c>
      <c r="H5" s="9" t="s">
        <v>7</v>
      </c>
      <c r="I5" s="9">
        <v>3544</v>
      </c>
      <c r="J5" s="13" t="s">
        <v>10</v>
      </c>
    </row>
    <row r="6" spans="1:10" x14ac:dyDescent="0.25">
      <c r="A6" s="8"/>
      <c r="B6" s="8" t="s">
        <v>11</v>
      </c>
      <c r="C6" s="11">
        <v>416</v>
      </c>
      <c r="D6" s="9">
        <v>395</v>
      </c>
      <c r="E6" s="9">
        <v>424</v>
      </c>
      <c r="F6" s="9">
        <v>433</v>
      </c>
      <c r="G6" s="9">
        <v>429</v>
      </c>
      <c r="H6" s="9" t="s">
        <v>7</v>
      </c>
      <c r="I6" s="9">
        <f>438+12</f>
        <v>450</v>
      </c>
      <c r="J6" s="10"/>
    </row>
    <row r="7" spans="1:10" x14ac:dyDescent="0.25">
      <c r="A7" s="8"/>
      <c r="B7" s="8" t="s">
        <v>12</v>
      </c>
      <c r="C7" s="11">
        <v>4</v>
      </c>
      <c r="D7" s="9">
        <v>3</v>
      </c>
      <c r="E7" s="9">
        <v>3</v>
      </c>
      <c r="F7" s="9">
        <v>3</v>
      </c>
      <c r="G7" s="9">
        <v>3</v>
      </c>
      <c r="H7" s="9" t="s">
        <v>7</v>
      </c>
      <c r="I7" s="9">
        <v>3</v>
      </c>
      <c r="J7" s="10"/>
    </row>
    <row r="8" spans="1:10" x14ac:dyDescent="0.25">
      <c r="A8" s="8"/>
      <c r="B8" s="8" t="s">
        <v>13</v>
      </c>
      <c r="C8" s="14"/>
      <c r="D8" s="15">
        <f>+(D3-C3)/C3</f>
        <v>-1.7495549621717846E-2</v>
      </c>
      <c r="E8" s="15">
        <f>+(E3-D3)/D3</f>
        <v>1.0333210655946551E-2</v>
      </c>
      <c r="F8" s="15">
        <f>+(F3-E3)/E3</f>
        <v>2.3537323470073975E-3</v>
      </c>
      <c r="G8" s="15">
        <f t="shared" ref="G8" si="1">+(G3-F3)/F3</f>
        <v>1.0063737001006373E-3</v>
      </c>
      <c r="H8" s="15" t="s">
        <v>14</v>
      </c>
      <c r="I8" s="15">
        <f>+(I3-G3)/G3</f>
        <v>8.6852100089365499E-3</v>
      </c>
      <c r="J8" s="10"/>
    </row>
    <row r="9" spans="1:10" x14ac:dyDescent="0.25">
      <c r="A9" s="8" t="s">
        <v>15</v>
      </c>
      <c r="B9" s="8"/>
      <c r="C9" s="11">
        <v>1092</v>
      </c>
      <c r="D9" s="9">
        <v>1005</v>
      </c>
      <c r="E9" s="9">
        <v>1043</v>
      </c>
      <c r="F9" s="16">
        <v>1025</v>
      </c>
      <c r="G9" s="9">
        <v>1012.649</v>
      </c>
      <c r="H9" s="9" t="s">
        <v>7</v>
      </c>
      <c r="I9" s="17">
        <v>991.12839799999995</v>
      </c>
      <c r="J9" s="10" t="s">
        <v>16</v>
      </c>
    </row>
    <row r="10" spans="1:10" x14ac:dyDescent="0.25">
      <c r="A10" s="8"/>
      <c r="B10" s="18" t="s">
        <v>17</v>
      </c>
      <c r="C10" s="19">
        <v>2.87E-2</v>
      </c>
      <c r="D10" s="20">
        <v>3.8699999999999998E-2</v>
      </c>
      <c r="E10" s="20">
        <v>3.2800000000000003E-2</v>
      </c>
      <c r="F10" s="20">
        <v>4.4499999999999998E-2</v>
      </c>
      <c r="G10" s="15" t="s">
        <v>18</v>
      </c>
      <c r="H10" s="15"/>
      <c r="I10" s="15" t="s">
        <v>18</v>
      </c>
      <c r="J10" s="10" t="s">
        <v>19</v>
      </c>
    </row>
    <row r="11" spans="1:10" x14ac:dyDescent="0.25">
      <c r="A11" s="8"/>
      <c r="B11" s="8" t="s">
        <v>20</v>
      </c>
      <c r="C11" s="21">
        <v>113932.83141285402</v>
      </c>
      <c r="D11" s="21">
        <v>104357.94932598864</v>
      </c>
      <c r="E11" s="21">
        <v>110044.00265966789</v>
      </c>
      <c r="F11" s="21">
        <v>107250.86413142261</v>
      </c>
      <c r="G11" s="9" t="s">
        <v>18</v>
      </c>
      <c r="H11" s="9"/>
      <c r="I11" s="15" t="s">
        <v>18</v>
      </c>
      <c r="J11" s="10" t="s">
        <v>21</v>
      </c>
    </row>
    <row r="12" spans="1:10" x14ac:dyDescent="0.25">
      <c r="A12" s="8" t="s">
        <v>22</v>
      </c>
      <c r="B12" s="8"/>
      <c r="C12" s="22">
        <v>16505</v>
      </c>
      <c r="D12" s="22">
        <v>18850</v>
      </c>
      <c r="E12" s="22">
        <v>19468</v>
      </c>
      <c r="F12" s="22">
        <v>19507</v>
      </c>
      <c r="G12" s="22">
        <v>19372.8</v>
      </c>
      <c r="H12" s="22" t="s">
        <v>23</v>
      </c>
      <c r="I12" s="22">
        <v>22632</v>
      </c>
      <c r="J12" s="10" t="s">
        <v>24</v>
      </c>
    </row>
    <row r="13" spans="1:10" x14ac:dyDescent="0.25">
      <c r="A13" s="8"/>
      <c r="B13" s="8" t="s">
        <v>8</v>
      </c>
      <c r="C13" s="22">
        <v>8150</v>
      </c>
      <c r="D13" s="22">
        <v>9158</v>
      </c>
      <c r="E13" s="22">
        <v>10031</v>
      </c>
      <c r="F13" s="22">
        <v>10032</v>
      </c>
      <c r="G13" s="23">
        <v>10047</v>
      </c>
      <c r="H13" s="22" t="s">
        <v>23</v>
      </c>
      <c r="I13" s="22">
        <v>12026.198</v>
      </c>
      <c r="J13" s="10"/>
    </row>
    <row r="14" spans="1:10" x14ac:dyDescent="0.25">
      <c r="A14" s="8"/>
      <c r="B14" s="8" t="s">
        <v>9</v>
      </c>
      <c r="C14" s="22">
        <v>2605</v>
      </c>
      <c r="D14" s="22">
        <v>2800</v>
      </c>
      <c r="E14" s="22">
        <v>2972</v>
      </c>
      <c r="F14" s="22">
        <v>2822</v>
      </c>
      <c r="G14" s="23">
        <v>2727</v>
      </c>
      <c r="H14" s="22" t="s">
        <v>23</v>
      </c>
      <c r="I14" s="22">
        <v>3118.3809999999999</v>
      </c>
      <c r="J14" s="10"/>
    </row>
    <row r="15" spans="1:10" x14ac:dyDescent="0.25">
      <c r="A15" s="8"/>
      <c r="B15" s="8" t="s">
        <v>25</v>
      </c>
      <c r="C15" s="22">
        <v>4538</v>
      </c>
      <c r="D15" s="22">
        <v>4441</v>
      </c>
      <c r="E15" s="22">
        <v>4822</v>
      </c>
      <c r="F15" s="22">
        <v>4737</v>
      </c>
      <c r="G15" s="23">
        <v>4819</v>
      </c>
      <c r="H15" s="22" t="s">
        <v>23</v>
      </c>
      <c r="I15" s="22">
        <f>3450.825+871.603+1441.059</f>
        <v>5763.4870000000001</v>
      </c>
      <c r="J15" s="10"/>
    </row>
    <row r="16" spans="1:10" x14ac:dyDescent="0.25">
      <c r="A16" s="8"/>
      <c r="B16" s="8" t="s">
        <v>26</v>
      </c>
      <c r="C16" s="22">
        <f>+C12-C13-C14-C15</f>
        <v>1212</v>
      </c>
      <c r="D16" s="22">
        <f>+D12-D13-D14-D15</f>
        <v>2451</v>
      </c>
      <c r="E16" s="22">
        <f>+E12-E13-E14-E15</f>
        <v>1643</v>
      </c>
      <c r="F16" s="22">
        <f>+F12-F13-F14-F15</f>
        <v>1916</v>
      </c>
      <c r="G16" s="22">
        <f>+G12-G13-G14-G15</f>
        <v>1779.7999999999993</v>
      </c>
      <c r="H16" s="22"/>
      <c r="I16" s="22">
        <f>123.755+60.776+784.092</f>
        <v>968.62300000000005</v>
      </c>
      <c r="J16" s="10" t="s">
        <v>27</v>
      </c>
    </row>
    <row r="17" spans="1:10" x14ac:dyDescent="0.25">
      <c r="A17" s="8" t="s">
        <v>28</v>
      </c>
      <c r="B17" s="8"/>
      <c r="C17" s="22">
        <v>38952</v>
      </c>
      <c r="D17" s="22">
        <v>38819</v>
      </c>
      <c r="E17" s="22">
        <v>42523</v>
      </c>
      <c r="F17" s="22">
        <v>42915</v>
      </c>
      <c r="G17" s="23">
        <f>51963.322</f>
        <v>51963.322</v>
      </c>
      <c r="H17" s="23" t="s">
        <v>23</v>
      </c>
      <c r="I17" s="23">
        <v>53750.781000000003</v>
      </c>
      <c r="J17" s="10" t="s">
        <v>29</v>
      </c>
    </row>
    <row r="18" spans="1:10" x14ac:dyDescent="0.25">
      <c r="A18" s="8"/>
      <c r="B18" s="8" t="s">
        <v>30</v>
      </c>
      <c r="C18" s="24">
        <f>+C17/C3*1000</f>
        <v>1083.4445927903871</v>
      </c>
      <c r="D18" s="24">
        <f>+D17/D3*1000</f>
        <v>1098.9723409676415</v>
      </c>
      <c r="E18" s="24">
        <f>+E17/E3*1000</f>
        <v>1191.5209594261376</v>
      </c>
      <c r="F18" s="24">
        <f>+F17/F3*1000</f>
        <v>1199.681314994968</v>
      </c>
      <c r="G18" s="25">
        <f t="shared" ref="G18:I18" si="2">+G17/G3*1000</f>
        <v>1451.1651586237713</v>
      </c>
      <c r="H18" s="25" t="s">
        <v>14</v>
      </c>
      <c r="I18" s="25">
        <f t="shared" si="2"/>
        <v>1488.1580608543979</v>
      </c>
      <c r="J18" s="10"/>
    </row>
    <row r="19" spans="1:10" x14ac:dyDescent="0.25">
      <c r="A19" s="8"/>
      <c r="B19" s="8" t="s">
        <v>13</v>
      </c>
      <c r="C19" s="14"/>
      <c r="D19" s="15">
        <f>+(D18-C18)/C18</f>
        <v>1.4331834115543451E-2</v>
      </c>
      <c r="E19" s="15">
        <f t="shared" ref="E19:G19" si="3">+(E18-D18)/D18</f>
        <v>8.4213783194040479E-2</v>
      </c>
      <c r="F19" s="15">
        <f t="shared" si="3"/>
        <v>6.8486882284980429E-3</v>
      </c>
      <c r="G19" s="26">
        <f t="shared" si="3"/>
        <v>0.20962554012092627</v>
      </c>
      <c r="H19" s="26" t="s">
        <v>14</v>
      </c>
      <c r="I19" s="26">
        <f t="shared" ref="I19" si="4">+(I18-G18)/G18</f>
        <v>2.5491862184528535E-2</v>
      </c>
      <c r="J19" s="10"/>
    </row>
    <row r="20" spans="1:10" x14ac:dyDescent="0.25">
      <c r="A20" s="8"/>
      <c r="B20" s="8" t="s">
        <v>31</v>
      </c>
      <c r="C20" s="27">
        <v>1.2370000000000001</v>
      </c>
      <c r="D20" s="27">
        <v>1.353</v>
      </c>
      <c r="E20" s="27">
        <v>2.0680000000000001</v>
      </c>
      <c r="F20" s="27">
        <v>1.266</v>
      </c>
      <c r="G20" s="28">
        <f>9499128/4682003</f>
        <v>2.0288598704443377</v>
      </c>
      <c r="H20" s="28" t="s">
        <v>23</v>
      </c>
      <c r="I20" s="29">
        <f>6256270/4930403</f>
        <v>1.2689165571252492</v>
      </c>
      <c r="J20" s="10"/>
    </row>
    <row r="21" spans="1:10" x14ac:dyDescent="0.25">
      <c r="A21" s="8" t="s">
        <v>32</v>
      </c>
      <c r="B21" s="8"/>
      <c r="C21" s="22">
        <f>SUM(C22:C25)</f>
        <v>9108</v>
      </c>
      <c r="D21" s="22">
        <f>SUM(D22:D25)</f>
        <v>10441</v>
      </c>
      <c r="E21" s="22">
        <f>SUM(E22:E25)</f>
        <v>10490</v>
      </c>
      <c r="F21" s="22">
        <v>11712</v>
      </c>
      <c r="G21" s="23">
        <f>SUM(G22:G25)</f>
        <v>11460.934999999999</v>
      </c>
      <c r="H21" s="23" t="s">
        <v>23</v>
      </c>
      <c r="I21" s="23">
        <f>SUM(I22:I25)</f>
        <v>13302.742</v>
      </c>
      <c r="J21" s="10"/>
    </row>
    <row r="22" spans="1:10" x14ac:dyDescent="0.25">
      <c r="A22" s="8"/>
      <c r="B22" s="8" t="s">
        <v>33</v>
      </c>
      <c r="C22" s="30">
        <v>2085</v>
      </c>
      <c r="D22" s="22">
        <v>3254</v>
      </c>
      <c r="E22" s="22">
        <v>3136</v>
      </c>
      <c r="F22" s="22">
        <v>3177</v>
      </c>
      <c r="G22" s="23">
        <v>3067.2860000000001</v>
      </c>
      <c r="H22" s="23" t="s">
        <v>23</v>
      </c>
      <c r="I22" s="23">
        <v>3467.0039999999999</v>
      </c>
      <c r="J22" s="10"/>
    </row>
    <row r="23" spans="1:10" x14ac:dyDescent="0.25">
      <c r="A23" s="8"/>
      <c r="B23" s="8" t="s">
        <v>34</v>
      </c>
      <c r="C23" s="30">
        <v>169</v>
      </c>
      <c r="D23" s="22">
        <v>162</v>
      </c>
      <c r="E23" s="22">
        <v>176</v>
      </c>
      <c r="F23" s="22">
        <v>157</v>
      </c>
      <c r="G23" s="23">
        <v>851.58600000000001</v>
      </c>
      <c r="H23" s="23" t="s">
        <v>23</v>
      </c>
      <c r="I23" s="23">
        <v>142.6</v>
      </c>
      <c r="J23" s="10"/>
    </row>
    <row r="24" spans="1:10" x14ac:dyDescent="0.25">
      <c r="A24" s="8"/>
      <c r="B24" s="8" t="s">
        <v>35</v>
      </c>
      <c r="C24" s="30">
        <v>6854</v>
      </c>
      <c r="D24" s="22">
        <v>6729</v>
      </c>
      <c r="E24" s="22">
        <v>6943</v>
      </c>
      <c r="F24" s="22">
        <v>7729</v>
      </c>
      <c r="G24" s="23">
        <f>1521.685+239.168+5596.82</f>
        <v>7357.6729999999998</v>
      </c>
      <c r="H24" s="23" t="s">
        <v>23</v>
      </c>
      <c r="I24" s="23">
        <f>2055.877+258.483+7154.864</f>
        <v>9469.2240000000002</v>
      </c>
      <c r="J24" s="10"/>
    </row>
    <row r="25" spans="1:10" x14ac:dyDescent="0.25">
      <c r="A25" s="8"/>
      <c r="B25" s="8" t="s">
        <v>26</v>
      </c>
      <c r="C25" s="30">
        <v>0</v>
      </c>
      <c r="D25" s="22">
        <v>296</v>
      </c>
      <c r="E25" s="22">
        <v>235</v>
      </c>
      <c r="F25" s="22">
        <v>649</v>
      </c>
      <c r="G25" s="23">
        <v>184.39</v>
      </c>
      <c r="H25" s="23" t="s">
        <v>23</v>
      </c>
      <c r="I25" s="23">
        <v>223.91399999999999</v>
      </c>
      <c r="J25" s="10" t="s">
        <v>36</v>
      </c>
    </row>
    <row r="26" spans="1:10" x14ac:dyDescent="0.25">
      <c r="A26" s="8"/>
      <c r="B26" s="8" t="s">
        <v>37</v>
      </c>
      <c r="C26" s="24">
        <f>+C21/C3*1000</f>
        <v>253.33778371161546</v>
      </c>
      <c r="D26" s="24">
        <f>+D21/D3*1000</f>
        <v>295.58644509243271</v>
      </c>
      <c r="E26" s="24">
        <f>+E21/E3*1000</f>
        <v>293.93633714413807</v>
      </c>
      <c r="F26" s="24">
        <f>+F21/F3*1000</f>
        <v>327.40691043274069</v>
      </c>
      <c r="G26" s="24">
        <f>+G21/G3*1000</f>
        <v>320.06632596067919</v>
      </c>
      <c r="H26" s="24" t="s">
        <v>14</v>
      </c>
      <c r="I26" s="24">
        <f t="shared" ref="I26" si="5">+I21/I3*1000</f>
        <v>368.30316453943908</v>
      </c>
      <c r="J26" s="10"/>
    </row>
    <row r="27" spans="1:10" x14ac:dyDescent="0.25">
      <c r="A27" s="8" t="s">
        <v>38</v>
      </c>
      <c r="B27" s="8"/>
      <c r="C27" s="22">
        <v>21968</v>
      </c>
      <c r="D27" s="22">
        <v>21032</v>
      </c>
      <c r="E27" s="22">
        <v>23364</v>
      </c>
      <c r="F27" s="22">
        <v>22995</v>
      </c>
      <c r="G27" s="23">
        <v>22828</v>
      </c>
      <c r="H27" s="23" t="s">
        <v>39</v>
      </c>
      <c r="I27" s="23">
        <v>23792</v>
      </c>
      <c r="J27" s="10"/>
    </row>
    <row r="28" spans="1:10" x14ac:dyDescent="0.25">
      <c r="A28" s="8"/>
      <c r="B28" s="31" t="s">
        <v>40</v>
      </c>
      <c r="C28" s="27">
        <v>0.374</v>
      </c>
      <c r="D28" s="27">
        <v>0.32600000000000001</v>
      </c>
      <c r="E28" s="27">
        <v>0.307</v>
      </c>
      <c r="F28" s="27">
        <v>0.309</v>
      </c>
      <c r="G28" s="28">
        <f>22827519/75160860</f>
        <v>0.30371551097206712</v>
      </c>
      <c r="H28" s="28" t="s">
        <v>39</v>
      </c>
      <c r="I28" s="28">
        <f>23791643/76043222</f>
        <v>0.31287000174716428</v>
      </c>
      <c r="J28" s="10"/>
    </row>
    <row r="29" spans="1:10" x14ac:dyDescent="0.25">
      <c r="A29" s="8"/>
      <c r="B29" s="8" t="s">
        <v>41</v>
      </c>
      <c r="C29" s="22">
        <v>19378</v>
      </c>
      <c r="D29" s="32">
        <f>19378</f>
        <v>19378</v>
      </c>
      <c r="E29" s="22">
        <v>25029</v>
      </c>
      <c r="F29" s="32">
        <f>7827.5+19377.6</f>
        <v>27205.1</v>
      </c>
      <c r="G29" s="23">
        <v>25870</v>
      </c>
      <c r="H29" s="23" t="s">
        <v>23</v>
      </c>
      <c r="I29" s="23">
        <v>25241</v>
      </c>
      <c r="J29" s="33" t="s">
        <v>42</v>
      </c>
    </row>
    <row r="30" spans="1:10" x14ac:dyDescent="0.25">
      <c r="A30" s="8"/>
      <c r="B30" s="8" t="s">
        <v>43</v>
      </c>
      <c r="C30" s="22">
        <v>1912</v>
      </c>
      <c r="D30" s="22">
        <v>2819</v>
      </c>
      <c r="E30" s="22">
        <v>3498</v>
      </c>
      <c r="F30" s="22">
        <v>2297</v>
      </c>
      <c r="G30" s="23">
        <v>2432</v>
      </c>
      <c r="H30" s="23" t="s">
        <v>39</v>
      </c>
      <c r="I30" s="23">
        <v>1764</v>
      </c>
      <c r="J30" s="10"/>
    </row>
    <row r="31" spans="1:10" x14ac:dyDescent="0.25">
      <c r="A31" s="8"/>
      <c r="B31" s="8" t="s">
        <v>44</v>
      </c>
      <c r="C31" s="15">
        <f>+C30/C27</f>
        <v>8.7035688273852871E-2</v>
      </c>
      <c r="D31" s="15">
        <f>+D30/D27</f>
        <v>0.13403385317611258</v>
      </c>
      <c r="E31" s="15">
        <f>+E30/E27</f>
        <v>0.14971751412429379</v>
      </c>
      <c r="F31" s="15">
        <f>+F30/F27</f>
        <v>9.9891280713198527E-2</v>
      </c>
      <c r="G31" s="26">
        <v>0.107</v>
      </c>
      <c r="H31" s="26" t="s">
        <v>39</v>
      </c>
      <c r="I31" s="26">
        <v>7.3999999999999996E-2</v>
      </c>
      <c r="J31" s="10"/>
    </row>
    <row r="32" spans="1:10" x14ac:dyDescent="0.25">
      <c r="A32" s="8"/>
      <c r="B32" s="8" t="s">
        <v>45</v>
      </c>
      <c r="C32" s="22">
        <v>1395</v>
      </c>
      <c r="D32" s="22">
        <v>1472</v>
      </c>
      <c r="E32" s="22">
        <v>1571</v>
      </c>
      <c r="F32" s="22">
        <v>1732</v>
      </c>
      <c r="G32" s="23">
        <f>ROUND((1752428+117126)/1000,0)</f>
        <v>1870</v>
      </c>
      <c r="H32" s="23" t="s">
        <v>23</v>
      </c>
      <c r="I32" s="23">
        <v>1134</v>
      </c>
      <c r="J32" s="10"/>
    </row>
    <row r="33" spans="1:10" x14ac:dyDescent="0.25">
      <c r="A33" s="8"/>
      <c r="B33" s="8" t="s">
        <v>46</v>
      </c>
      <c r="C33" s="22">
        <v>1065</v>
      </c>
      <c r="D33" s="22">
        <v>1293</v>
      </c>
      <c r="E33" s="22">
        <v>906</v>
      </c>
      <c r="F33" s="22">
        <v>525</v>
      </c>
      <c r="G33" s="23">
        <v>141</v>
      </c>
      <c r="H33" s="23" t="s">
        <v>39</v>
      </c>
      <c r="I33" s="23">
        <v>494</v>
      </c>
      <c r="J33" s="10"/>
    </row>
    <row r="34" spans="1:10" x14ac:dyDescent="0.25">
      <c r="A34" s="8"/>
      <c r="B34" s="8" t="s">
        <v>47</v>
      </c>
      <c r="C34" s="22">
        <f>+C33+C32+C30</f>
        <v>4372</v>
      </c>
      <c r="D34" s="22">
        <f t="shared" ref="D34:I34" si="6">+D33+D32+D30</f>
        <v>5584</v>
      </c>
      <c r="E34" s="22">
        <f t="shared" si="6"/>
        <v>5975</v>
      </c>
      <c r="F34" s="22">
        <f t="shared" si="6"/>
        <v>4554</v>
      </c>
      <c r="G34" s="22">
        <f t="shared" si="6"/>
        <v>4443</v>
      </c>
      <c r="H34" s="22" t="s">
        <v>14</v>
      </c>
      <c r="I34" s="22">
        <f t="shared" si="6"/>
        <v>3392</v>
      </c>
      <c r="J34" s="10"/>
    </row>
    <row r="35" spans="1:10" x14ac:dyDescent="0.25">
      <c r="C35" s="34"/>
      <c r="D35" s="34"/>
      <c r="E35" s="34"/>
      <c r="F35" s="34"/>
      <c r="G35" s="34"/>
      <c r="H35" s="34"/>
      <c r="I35" s="34"/>
    </row>
    <row r="37" spans="1:10" x14ac:dyDescent="0.25">
      <c r="A37" t="s">
        <v>48</v>
      </c>
    </row>
    <row r="38" spans="1:10" x14ac:dyDescent="0.25">
      <c r="A38">
        <v>1</v>
      </c>
      <c r="B38" t="s">
        <v>49</v>
      </c>
    </row>
    <row r="39" spans="1:10" x14ac:dyDescent="0.25">
      <c r="B39" t="s">
        <v>50</v>
      </c>
    </row>
    <row r="40" spans="1:10" x14ac:dyDescent="0.25">
      <c r="A40">
        <v>2</v>
      </c>
      <c r="B40" t="s">
        <v>51</v>
      </c>
    </row>
    <row r="41" spans="1:10" x14ac:dyDescent="0.25">
      <c r="B41" t="s">
        <v>52</v>
      </c>
    </row>
  </sheetData>
  <pageMargins left="1.1023622047244095" right="0.70866141732283472" top="1.5354330708661419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BWP final for SEC 2</vt:lpstr>
    </vt:vector>
  </TitlesOfParts>
  <Company>BWP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Dugas</dc:creator>
  <cp:lastModifiedBy>Leslie Dugas</cp:lastModifiedBy>
  <cp:lastPrinted>2013-02-01T16:49:03Z</cp:lastPrinted>
  <dcterms:created xsi:type="dcterms:W3CDTF">2013-02-01T16:48:48Z</dcterms:created>
  <dcterms:modified xsi:type="dcterms:W3CDTF">2013-02-01T16:50:04Z</dcterms:modified>
</cp:coreProperties>
</file>