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585" yWindow="-15" windowWidth="12630" windowHeight="12990" activeTab="1"/>
  </bookViews>
  <sheets>
    <sheet name="CDM_Adjusted" sheetId="3" r:id="rId1"/>
    <sheet name="Reporting_Table" sheetId="4" r:id="rId2"/>
  </sheets>
  <calcPr calcId="145621"/>
</workbook>
</file>

<file path=xl/calcChain.xml><?xml version="1.0" encoding="utf-8"?>
<calcChain xmlns="http://schemas.openxmlformats.org/spreadsheetml/2006/main">
  <c r="O5" i="3" l="1"/>
  <c r="M16" i="3" l="1"/>
  <c r="B31" i="3"/>
  <c r="F31" i="3" s="1"/>
  <c r="A32" i="3"/>
  <c r="A31" i="3"/>
  <c r="G26" i="3"/>
  <c r="H26" i="3"/>
  <c r="K26" i="3"/>
  <c r="D26" i="3"/>
  <c r="B26" i="3"/>
  <c r="E26" i="3" s="1"/>
  <c r="A26" i="3"/>
  <c r="A27" i="3"/>
  <c r="J26" i="3" l="1"/>
  <c r="F26" i="3"/>
  <c r="M8" i="3" s="1"/>
  <c r="B27" i="3"/>
  <c r="I26" i="3"/>
  <c r="B32" i="3"/>
  <c r="K31" i="3"/>
  <c r="I31" i="3"/>
  <c r="G31" i="3"/>
  <c r="E31" i="3"/>
  <c r="D31" i="3"/>
  <c r="J31" i="3"/>
  <c r="H31" i="3"/>
  <c r="R4" i="3"/>
  <c r="G27" i="3" l="1"/>
  <c r="K27" i="3"/>
  <c r="D27" i="3"/>
  <c r="H27" i="3"/>
  <c r="E27" i="3"/>
  <c r="I27" i="3"/>
  <c r="F27" i="3"/>
  <c r="J27" i="3"/>
  <c r="E32" i="3"/>
  <c r="G32" i="3"/>
  <c r="I32" i="3"/>
  <c r="K32" i="3"/>
  <c r="F32" i="3"/>
  <c r="H32" i="3"/>
  <c r="J32" i="3"/>
  <c r="D32" i="3"/>
  <c r="O16" i="3"/>
  <c r="O17" i="3" l="1"/>
  <c r="O18" i="3"/>
  <c r="E22" i="4" s="1"/>
  <c r="O19" i="3"/>
  <c r="D6" i="4"/>
  <c r="D7" i="4"/>
  <c r="D8" i="4"/>
  <c r="D9" i="4"/>
  <c r="D10" i="4"/>
  <c r="D11" i="4"/>
  <c r="D12" i="4"/>
  <c r="C8" i="4"/>
  <c r="C9" i="4"/>
  <c r="C10" i="4"/>
  <c r="C11" i="4"/>
  <c r="C12" i="4"/>
  <c r="B6" i="4"/>
  <c r="B7" i="4"/>
  <c r="B8" i="4"/>
  <c r="B9" i="4"/>
  <c r="B10" i="4"/>
  <c r="B11" i="4"/>
  <c r="B12" i="4"/>
  <c r="E20" i="4"/>
  <c r="E21" i="4"/>
  <c r="E23" i="4"/>
  <c r="D20" i="4"/>
  <c r="D21" i="4"/>
  <c r="D22" i="4"/>
  <c r="D23" i="4"/>
  <c r="C20" i="4"/>
  <c r="C21" i="4"/>
  <c r="C22" i="4"/>
  <c r="C23" i="4"/>
  <c r="B20" i="4"/>
  <c r="B21" i="4"/>
  <c r="B22" i="4"/>
  <c r="B23" i="4"/>
  <c r="O8" i="3"/>
  <c r="E8" i="4" s="1"/>
  <c r="O9" i="3"/>
  <c r="O10" i="3"/>
  <c r="O11" i="3"/>
  <c r="E11" i="4" s="1"/>
  <c r="O12" i="3"/>
  <c r="E12" i="4" s="1"/>
  <c r="E10" i="4" l="1"/>
  <c r="E9" i="4"/>
  <c r="D19" i="4"/>
  <c r="B19" i="4"/>
  <c r="D5" i="4"/>
  <c r="B5" i="4"/>
  <c r="M15" i="3" l="1"/>
  <c r="O15" i="3" s="1"/>
  <c r="E20" i="3"/>
  <c r="F20" i="3"/>
  <c r="G20" i="3"/>
  <c r="H20" i="3"/>
  <c r="I20" i="3"/>
  <c r="J20" i="3"/>
  <c r="K20" i="3"/>
  <c r="D24" i="4" s="1"/>
  <c r="D20" i="3"/>
  <c r="O20" i="3" l="1"/>
  <c r="M20" i="3"/>
  <c r="C24" i="4" s="1"/>
  <c r="C19" i="4"/>
  <c r="B13" i="3"/>
  <c r="B13" i="4" s="1"/>
  <c r="M5" i="3"/>
  <c r="M6" i="3"/>
  <c r="M7" i="3"/>
  <c r="E13" i="3"/>
  <c r="F13" i="3"/>
  <c r="G13" i="3"/>
  <c r="H13" i="3"/>
  <c r="I13" i="3"/>
  <c r="J13" i="3"/>
  <c r="K13" i="3"/>
  <c r="D13" i="4" s="1"/>
  <c r="D13" i="3"/>
  <c r="B20" i="3"/>
  <c r="B24" i="4" s="1"/>
  <c r="C7" i="4" l="1"/>
  <c r="O7" i="3"/>
  <c r="O6" i="3"/>
  <c r="C6" i="4"/>
  <c r="E5" i="4"/>
  <c r="C5" i="4"/>
  <c r="E24" i="4"/>
  <c r="E19" i="4"/>
  <c r="M13" i="3"/>
  <c r="C13" i="4" s="1"/>
  <c r="E7" i="4" l="1"/>
  <c r="E6" i="4"/>
  <c r="O13" i="3"/>
  <c r="P7" i="3" s="1"/>
  <c r="P6" i="3" l="1"/>
  <c r="R6" i="3" s="1"/>
  <c r="P5" i="3"/>
  <c r="P8" i="3"/>
  <c r="R8" i="3" s="1"/>
  <c r="P10" i="3"/>
  <c r="R10" i="3" s="1"/>
  <c r="P9" i="3"/>
  <c r="R9" i="3" s="1"/>
  <c r="E13" i="4"/>
  <c r="R7" i="3"/>
  <c r="R11" i="3"/>
  <c r="R12" i="3"/>
  <c r="R5" i="3"/>
  <c r="F5" i="4" s="1"/>
  <c r="F12" i="4" l="1"/>
  <c r="T12" i="3"/>
  <c r="T10" i="3"/>
  <c r="F10" i="4"/>
  <c r="F8" i="4"/>
  <c r="T8" i="3"/>
  <c r="T6" i="3"/>
  <c r="F6" i="4"/>
  <c r="T11" i="3"/>
  <c r="F11" i="4"/>
  <c r="F9" i="4"/>
  <c r="T9" i="3"/>
  <c r="T7" i="3"/>
  <c r="F7" i="4"/>
  <c r="P13" i="3"/>
  <c r="R13" i="3"/>
  <c r="T5" i="3"/>
  <c r="U5" i="3" s="1"/>
  <c r="V5" i="3" s="1"/>
  <c r="F13" i="4" l="1"/>
  <c r="U7" i="3"/>
  <c r="V7" i="3" s="1"/>
  <c r="G7" i="4"/>
  <c r="T15" i="3"/>
  <c r="T19" i="3"/>
  <c r="G11" i="4"/>
  <c r="U11" i="3"/>
  <c r="V11" i="3" s="1"/>
  <c r="G9" i="4"/>
  <c r="T17" i="3"/>
  <c r="U9" i="3"/>
  <c r="V9" i="3" s="1"/>
  <c r="G6" i="4"/>
  <c r="U6" i="3"/>
  <c r="V6" i="3" s="1"/>
  <c r="G10" i="4"/>
  <c r="T18" i="3"/>
  <c r="U10" i="3"/>
  <c r="V10" i="3" s="1"/>
  <c r="G8" i="4"/>
  <c r="T16" i="3"/>
  <c r="U8" i="3"/>
  <c r="V8" i="3" s="1"/>
  <c r="U12" i="3"/>
  <c r="V12" i="3" s="1"/>
  <c r="G12" i="4"/>
  <c r="T13" i="3"/>
  <c r="G5" i="4"/>
  <c r="U18" i="3" l="1"/>
  <c r="V18" i="3" s="1"/>
  <c r="R18" i="3"/>
  <c r="F22" i="4" s="1"/>
  <c r="G22" i="4"/>
  <c r="R16" i="3"/>
  <c r="F20" i="4" s="1"/>
  <c r="G20" i="4"/>
  <c r="U16" i="3"/>
  <c r="V16" i="3" s="1"/>
  <c r="G21" i="4"/>
  <c r="U17" i="3"/>
  <c r="V17" i="3" s="1"/>
  <c r="R17" i="3"/>
  <c r="F21" i="4" s="1"/>
  <c r="G23" i="4"/>
  <c r="U19" i="3"/>
  <c r="V19" i="3" s="1"/>
  <c r="R19" i="3"/>
  <c r="F23" i="4" s="1"/>
  <c r="U15" i="3"/>
  <c r="V15" i="3" s="1"/>
  <c r="R15" i="3"/>
  <c r="G13" i="4"/>
  <c r="U13" i="3"/>
  <c r="V13" i="3" s="1"/>
  <c r="G19" i="4"/>
  <c r="T20" i="3"/>
  <c r="G24" i="4" s="1"/>
  <c r="U20" i="3" l="1"/>
  <c r="V20" i="3" s="1"/>
  <c r="R20" i="3"/>
  <c r="F24" i="4" s="1"/>
  <c r="F19" i="4"/>
</calcChain>
</file>

<file path=xl/sharedStrings.xml><?xml version="1.0" encoding="utf-8"?>
<sst xmlns="http://schemas.openxmlformats.org/spreadsheetml/2006/main" count="79" uniqueCount="40">
  <si>
    <t>2013F</t>
  </si>
  <si>
    <t>Residential (kWh)</t>
  </si>
  <si>
    <t>GS&lt;50 (kWh)</t>
  </si>
  <si>
    <t>GS&gt;50 (kWh)</t>
  </si>
  <si>
    <t>Street Lights (kWh)</t>
  </si>
  <si>
    <t>Sentinel Lights (kWh)</t>
  </si>
  <si>
    <t>USL (kWh)</t>
  </si>
  <si>
    <t>GS&gt;50 (kW)</t>
  </si>
  <si>
    <t>Street Lights (kW)</t>
  </si>
  <si>
    <t>Sentinel Lights (kW)</t>
  </si>
  <si>
    <t>Total Demand</t>
  </si>
  <si>
    <t>Total Customer (kWh)</t>
  </si>
  <si>
    <t>Revised</t>
  </si>
  <si>
    <t>Target</t>
  </si>
  <si>
    <t>Average 2006-2011</t>
  </si>
  <si>
    <t>Adjusted</t>
  </si>
  <si>
    <t>Original</t>
  </si>
  <si>
    <t>Share of Total Volume</t>
  </si>
  <si>
    <t>Weather Normalized</t>
  </si>
  <si>
    <t>2006-2010 CDM Programs</t>
  </si>
  <si>
    <t>2011-2014 CDM Target</t>
  </si>
  <si>
    <t>(Elenchus)</t>
  </si>
  <si>
    <t>(2006/11)</t>
  </si>
  <si>
    <t>Persistence</t>
  </si>
  <si>
    <t>(30% of Target)</t>
  </si>
  <si>
    <t>Proportional</t>
  </si>
  <si>
    <t>ENERGY (kWh)</t>
  </si>
  <si>
    <t>DEMANDE (kW)</t>
  </si>
  <si>
    <t>Intermediate</t>
  </si>
  <si>
    <t>Large Users</t>
  </si>
  <si>
    <t>CDM (kWh) GS&gt;50 Classes</t>
  </si>
  <si>
    <t>CDM (kW) GS&gt;50  Classes</t>
  </si>
  <si>
    <t>Bluewater Power - Calculation of 2013 CDM Forecast Reduction</t>
  </si>
  <si>
    <t>2013f Normalized - ERA Forecast</t>
  </si>
  <si>
    <t>% change from Original</t>
  </si>
  <si>
    <t>Change from Original forecast</t>
  </si>
  <si>
    <t>*Data is sourced from the 2006-2010 OPA Final Results</t>
  </si>
  <si>
    <t>Allocation of kWh  and kW savings to Other Rate Classes based on percentage of load forecast</t>
  </si>
  <si>
    <t>6 yr. Avg.</t>
  </si>
  <si>
    <t>2006 - 2011 CDM Savings (from 2006-2010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</si>
</sst>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10"/>
      <color theme="1"/>
      <name val="Arial Narrow"/>
      <family val="2"/>
    </font>
    <font>
      <b/>
      <u/>
      <sz val="12"/>
      <name val="Calibri"/>
      <family val="2"/>
      <scheme val="minor"/>
    </font>
    <font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center" wrapText="1"/>
    </xf>
    <xf numFmtId="41" fontId="1" fillId="0" borderId="0" xfId="0" applyNumberFormat="1" applyFont="1" applyBorder="1" applyAlignment="1">
      <alignment horizontal="right" vertical="center"/>
    </xf>
    <xf numFmtId="41" fontId="1" fillId="0" borderId="0" xfId="0" applyNumberFormat="1" applyFont="1" applyBorder="1"/>
    <xf numFmtId="41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/>
    <xf numFmtId="0" fontId="1" fillId="0" borderId="0" xfId="0" applyFont="1" applyBorder="1"/>
    <xf numFmtId="0" fontId="1" fillId="2" borderId="0" xfId="0" applyFont="1" applyFill="1" applyBorder="1" applyAlignment="1">
      <alignment horizontal="left"/>
    </xf>
    <xf numFmtId="41" fontId="1" fillId="2" borderId="0" xfId="0" applyNumberFormat="1" applyFont="1" applyFill="1" applyBorder="1"/>
    <xf numFmtId="41" fontId="1" fillId="2" borderId="0" xfId="0" applyNumberFormat="1" applyFont="1" applyFill="1" applyBorder="1" applyAlignment="1">
      <alignment horizontal="right" vertical="center"/>
    </xf>
    <xf numFmtId="41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/>
    <xf numFmtId="0" fontId="1" fillId="2" borderId="0" xfId="0" applyFont="1" applyFill="1" applyBorder="1"/>
    <xf numFmtId="0" fontId="1" fillId="0" borderId="0" xfId="0" applyFont="1" applyBorder="1" applyAlignment="1">
      <alignment horizontal="left"/>
    </xf>
    <xf numFmtId="41" fontId="1" fillId="0" borderId="0" xfId="0" applyNumberFormat="1" applyFont="1" applyBorder="1" applyAlignment="1">
      <alignment horizontal="right"/>
    </xf>
    <xf numFmtId="41" fontId="2" fillId="2" borderId="1" xfId="0" applyNumberFormat="1" applyFont="1" applyFill="1" applyBorder="1" applyAlignment="1">
      <alignment horizontal="right" vertical="center"/>
    </xf>
    <xf numFmtId="38" fontId="3" fillId="0" borderId="0" xfId="0" applyNumberFormat="1" applyFont="1" applyBorder="1" applyAlignment="1">
      <alignment horizontal="right" vertical="center"/>
    </xf>
    <xf numFmtId="0" fontId="0" fillId="0" borderId="0" xfId="0" applyFont="1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3" fontId="1" fillId="2" borderId="0" xfId="0" applyNumberFormat="1" applyFont="1" applyFill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center"/>
    </xf>
    <xf numFmtId="43" fontId="1" fillId="0" borderId="0" xfId="0" applyNumberFormat="1" applyFont="1" applyBorder="1" applyAlignment="1">
      <alignment horizontal="right" vertical="center"/>
    </xf>
    <xf numFmtId="43" fontId="1" fillId="0" borderId="0" xfId="0" applyNumberFormat="1" applyFont="1" applyBorder="1"/>
    <xf numFmtId="164" fontId="1" fillId="0" borderId="0" xfId="0" applyNumberFormat="1" applyFont="1" applyBorder="1" applyAlignment="1">
      <alignment horizontal="right" vertical="center"/>
    </xf>
    <xf numFmtId="3" fontId="4" fillId="0" borderId="0" xfId="0" applyNumberFormat="1" applyFont="1"/>
    <xf numFmtId="0" fontId="8" fillId="0" borderId="0" xfId="0" applyFont="1" applyBorder="1"/>
    <xf numFmtId="0" fontId="9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A3" zoomScaleNormal="100" zoomScaleSheetLayoutView="110" workbookViewId="0">
      <selection activeCell="D4" sqref="D4"/>
    </sheetView>
  </sheetViews>
  <sheetFormatPr defaultRowHeight="12.75" outlineLevelCol="2" x14ac:dyDescent="0.2"/>
  <cols>
    <col min="1" max="1" width="19.42578125" style="15" bestFit="1" customWidth="1"/>
    <col min="2" max="2" width="15.28515625" style="8" bestFit="1" customWidth="1"/>
    <col min="3" max="3" width="1.5703125" style="8" customWidth="1"/>
    <col min="4" max="7" width="10.5703125" style="8" customWidth="1" outlineLevel="2"/>
    <col min="8" max="8" width="11" style="8" bestFit="1" customWidth="1" outlineLevel="2"/>
    <col min="9" max="9" width="12.7109375" style="8" bestFit="1" customWidth="1" outlineLevel="2"/>
    <col min="10" max="11" width="11" style="8" bestFit="1" customWidth="1" outlineLevel="1"/>
    <col min="12" max="12" width="1.5703125" style="8" customWidth="1" outlineLevel="1"/>
    <col min="13" max="13" width="10.5703125" style="8" customWidth="1" outlineLevel="1"/>
    <col min="14" max="14" width="1.5703125" style="8" customWidth="1" outlineLevel="1"/>
    <col min="15" max="15" width="13.5703125" style="8" bestFit="1" customWidth="1"/>
    <col min="16" max="16" width="11.140625" style="8" customWidth="1" outlineLevel="1"/>
    <col min="17" max="17" width="1.5703125" style="8" customWidth="1"/>
    <col min="18" max="18" width="13.5703125" style="8" bestFit="1" customWidth="1"/>
    <col min="19" max="19" width="1.5703125" style="8" customWidth="1"/>
    <col min="20" max="20" width="12" style="8" bestFit="1" customWidth="1"/>
    <col min="21" max="21" width="14.28515625" style="8" bestFit="1" customWidth="1"/>
    <col min="22" max="16384" width="9.140625" style="8"/>
  </cols>
  <sheetData>
    <row r="1" spans="1:22" ht="15.75" x14ac:dyDescent="0.25">
      <c r="B1" s="35" t="s">
        <v>32</v>
      </c>
    </row>
    <row r="3" spans="1:22" s="1" customFormat="1" ht="15" customHeight="1" x14ac:dyDescent="0.25">
      <c r="B3" s="1" t="s">
        <v>16</v>
      </c>
      <c r="D3" s="37" t="s">
        <v>39</v>
      </c>
      <c r="E3" s="37"/>
      <c r="F3" s="37"/>
      <c r="G3" s="37"/>
      <c r="H3" s="37"/>
      <c r="I3" s="37"/>
      <c r="J3" s="37"/>
      <c r="K3" s="37"/>
      <c r="L3" s="37"/>
      <c r="M3" s="37"/>
      <c r="O3" s="1" t="s">
        <v>12</v>
      </c>
      <c r="R3" s="1" t="s">
        <v>13</v>
      </c>
      <c r="T3" s="1" t="s">
        <v>15</v>
      </c>
    </row>
    <row r="4" spans="1:22" s="1" customFormat="1" ht="38.25" x14ac:dyDescent="0.25">
      <c r="B4" s="1" t="s">
        <v>33</v>
      </c>
      <c r="D4" s="1">
        <v>2006</v>
      </c>
      <c r="E4" s="1">
        <v>2007</v>
      </c>
      <c r="F4" s="1">
        <v>2008</v>
      </c>
      <c r="G4" s="1">
        <v>2009</v>
      </c>
      <c r="H4" s="1">
        <v>2010</v>
      </c>
      <c r="I4" s="1">
        <v>2011</v>
      </c>
      <c r="J4" s="1">
        <v>2012</v>
      </c>
      <c r="K4" s="1">
        <v>2013</v>
      </c>
      <c r="M4" s="1" t="s">
        <v>14</v>
      </c>
      <c r="O4" s="1" t="s">
        <v>0</v>
      </c>
      <c r="P4" s="2" t="s">
        <v>17</v>
      </c>
      <c r="R4" s="2">
        <f>53730000*0.3</f>
        <v>16119000</v>
      </c>
      <c r="T4" s="1" t="s">
        <v>0</v>
      </c>
      <c r="U4" s="1" t="s">
        <v>35</v>
      </c>
      <c r="V4" s="1" t="s">
        <v>34</v>
      </c>
    </row>
    <row r="5" spans="1:22" x14ac:dyDescent="0.2">
      <c r="A5" s="3" t="s">
        <v>1</v>
      </c>
      <c r="B5" s="4">
        <v>259773254</v>
      </c>
      <c r="C5" s="5"/>
      <c r="D5" s="4">
        <v>2450276.9166885158</v>
      </c>
      <c r="E5" s="4">
        <v>4597857.4004955329</v>
      </c>
      <c r="F5" s="4">
        <v>6243841.2890044544</v>
      </c>
      <c r="G5" s="4">
        <v>6710144.588772295</v>
      </c>
      <c r="H5" s="4">
        <v>5688993.975063418</v>
      </c>
      <c r="I5" s="4">
        <v>5408608.4056166392</v>
      </c>
      <c r="J5" s="4">
        <v>5214531.3791690199</v>
      </c>
      <c r="K5" s="4">
        <v>5098813.1874571964</v>
      </c>
      <c r="L5" s="5"/>
      <c r="M5" s="4">
        <f>AVERAGE(D5:I5)</f>
        <v>5183287.0959401419</v>
      </c>
      <c r="N5" s="5"/>
      <c r="O5" s="6">
        <f>B5+M5-K5</f>
        <v>259857727.90848294</v>
      </c>
      <c r="P5" s="7">
        <f>O5/($O$13-$O$11-$O$12)</f>
        <v>0.25872431126503015</v>
      </c>
      <c r="Q5" s="5"/>
      <c r="R5" s="5">
        <f>$R$4*P5</f>
        <v>4170377.173281021</v>
      </c>
      <c r="S5" s="5"/>
      <c r="T5" s="4">
        <f>O5-R5</f>
        <v>255687350.73520193</v>
      </c>
      <c r="U5" s="28">
        <f t="shared" ref="U5:U11" si="0">T5-B5</f>
        <v>-4085903.264798075</v>
      </c>
      <c r="V5" s="13">
        <f>U5/B5</f>
        <v>-1.5728729581984121E-2</v>
      </c>
    </row>
    <row r="6" spans="1:22" x14ac:dyDescent="0.2">
      <c r="A6" s="3" t="s">
        <v>2</v>
      </c>
      <c r="B6" s="4">
        <v>99956659</v>
      </c>
      <c r="C6" s="5"/>
      <c r="D6" s="4"/>
      <c r="E6" s="4"/>
      <c r="F6" s="4">
        <v>2913.2290948160717</v>
      </c>
      <c r="G6" s="4">
        <v>1195585.8921678497</v>
      </c>
      <c r="H6" s="4">
        <v>2465841.8721429966</v>
      </c>
      <c r="I6" s="4">
        <v>2465841.8721429966</v>
      </c>
      <c r="J6" s="4">
        <v>2465841.8721429966</v>
      </c>
      <c r="K6" s="4">
        <v>2465841.8721429966</v>
      </c>
      <c r="L6" s="5"/>
      <c r="M6" s="4">
        <f t="shared" ref="M6" si="1">AVERAGE(D6:I6)</f>
        <v>1532545.7163871648</v>
      </c>
      <c r="N6" s="5"/>
      <c r="O6" s="6">
        <f t="shared" ref="O6:O12" si="2">B6+M6-K6</f>
        <v>99023362.844244167</v>
      </c>
      <c r="P6" s="7">
        <f t="shared" ref="P6:P10" si="3">O6/($O$13-$O$11-$O$12)</f>
        <v>9.8591454474838816E-2</v>
      </c>
      <c r="Q6" s="5"/>
      <c r="R6" s="5">
        <f t="shared" ref="R6:R12" si="4">$R$4*P6</f>
        <v>1589195.6546799268</v>
      </c>
      <c r="S6" s="5"/>
      <c r="T6" s="4">
        <f t="shared" ref="T6:T12" si="5">O6-R6</f>
        <v>97434167.189564243</v>
      </c>
      <c r="U6" s="28">
        <f t="shared" si="0"/>
        <v>-2522491.810435757</v>
      </c>
      <c r="V6" s="13">
        <f t="shared" ref="V6:V11" si="6">U6/B6</f>
        <v>-2.5235855576522991E-2</v>
      </c>
    </row>
    <row r="7" spans="1:22" x14ac:dyDescent="0.2">
      <c r="A7" s="3" t="s">
        <v>3</v>
      </c>
      <c r="B7" s="4">
        <v>225433209</v>
      </c>
      <c r="C7" s="5"/>
      <c r="E7" s="5">
        <v>44915.59392393865</v>
      </c>
      <c r="F7" s="5">
        <v>44915.59392393865</v>
      </c>
      <c r="G7" s="5">
        <v>669934.42694782536</v>
      </c>
      <c r="H7" s="5">
        <v>1282480.393151307</v>
      </c>
      <c r="I7" s="5">
        <v>443040.34159381787</v>
      </c>
      <c r="J7" s="5">
        <v>443040.34159381787</v>
      </c>
      <c r="K7" s="5">
        <v>443040.34159381787</v>
      </c>
      <c r="L7" s="5"/>
      <c r="M7" s="4">
        <f>AVERAGE(D25:I25)</f>
        <v>847978.98685480969</v>
      </c>
      <c r="N7" s="5"/>
      <c r="O7" s="6">
        <f>B7+M7-K25</f>
        <v>225525361.80193666</v>
      </c>
      <c r="P7" s="7">
        <f t="shared" si="3"/>
        <v>0.22454169200445018</v>
      </c>
      <c r="Q7" s="5"/>
      <c r="R7" s="5">
        <f t="shared" si="4"/>
        <v>3619387.5334197325</v>
      </c>
      <c r="S7" s="5"/>
      <c r="T7" s="4">
        <f t="shared" si="5"/>
        <v>221905974.26851693</v>
      </c>
      <c r="U7" s="28">
        <f t="shared" si="0"/>
        <v>-3527234.731483072</v>
      </c>
      <c r="V7" s="13">
        <f t="shared" si="6"/>
        <v>-1.5646473503746611E-2</v>
      </c>
    </row>
    <row r="8" spans="1:22" x14ac:dyDescent="0.2">
      <c r="A8" s="3" t="s">
        <v>28</v>
      </c>
      <c r="B8" s="4">
        <v>159155521</v>
      </c>
      <c r="C8" s="5"/>
      <c r="D8" s="4"/>
      <c r="E8" s="5">
        <v>31710.344645756646</v>
      </c>
      <c r="F8" s="5">
        <v>31710.344645756646</v>
      </c>
      <c r="G8" s="5">
        <v>472972.74092708132</v>
      </c>
      <c r="H8" s="5">
        <v>905429.31119026511</v>
      </c>
      <c r="I8" s="5">
        <v>312785.84332436154</v>
      </c>
      <c r="J8" s="5">
        <v>312785.84332436154</v>
      </c>
      <c r="K8" s="5">
        <v>312785.84332436154</v>
      </c>
      <c r="L8" s="5"/>
      <c r="M8" s="4">
        <f>AVERAGE(D26:I26)</f>
        <v>414214.39159013791</v>
      </c>
      <c r="N8" s="5"/>
      <c r="O8" s="6">
        <f t="shared" si="2"/>
        <v>159256949.54826578</v>
      </c>
      <c r="P8" s="7">
        <f t="shared" si="3"/>
        <v>0.15856232145828611</v>
      </c>
      <c r="Q8" s="5"/>
      <c r="R8" s="5">
        <f t="shared" si="4"/>
        <v>2555866.0595861138</v>
      </c>
      <c r="S8" s="5"/>
      <c r="T8" s="4">
        <f t="shared" si="5"/>
        <v>156701083.48867968</v>
      </c>
      <c r="U8" s="28">
        <f t="shared" si="0"/>
        <v>-2454437.5113203228</v>
      </c>
      <c r="V8" s="13">
        <f t="shared" si="6"/>
        <v>-1.5421629710981391E-2</v>
      </c>
    </row>
    <row r="9" spans="1:22" x14ac:dyDescent="0.2">
      <c r="A9" s="3" t="s">
        <v>29</v>
      </c>
      <c r="B9" s="4">
        <v>251579433</v>
      </c>
      <c r="C9" s="5"/>
      <c r="D9" s="4"/>
      <c r="E9" s="4"/>
      <c r="F9" s="4"/>
      <c r="G9" s="4"/>
      <c r="H9" s="4"/>
      <c r="I9" s="4"/>
      <c r="J9" s="4"/>
      <c r="K9" s="4"/>
      <c r="L9" s="5"/>
      <c r="M9" s="4"/>
      <c r="N9" s="5"/>
      <c r="O9" s="6">
        <f t="shared" si="2"/>
        <v>251579433</v>
      </c>
      <c r="P9" s="7">
        <f t="shared" si="3"/>
        <v>0.25048212364226929</v>
      </c>
      <c r="Q9" s="5"/>
      <c r="R9" s="5">
        <f t="shared" si="4"/>
        <v>4037521.3509897389</v>
      </c>
      <c r="S9" s="5"/>
      <c r="T9" s="4">
        <f t="shared" si="5"/>
        <v>247541911.64901027</v>
      </c>
      <c r="U9" s="28">
        <f t="shared" si="0"/>
        <v>-4037521.3509897292</v>
      </c>
      <c r="V9" s="13">
        <f t="shared" si="6"/>
        <v>-1.6048694055963347E-2</v>
      </c>
    </row>
    <row r="10" spans="1:22" x14ac:dyDescent="0.2">
      <c r="A10" s="3" t="s">
        <v>4</v>
      </c>
      <c r="B10" s="4">
        <v>9137954</v>
      </c>
      <c r="C10" s="5"/>
      <c r="D10" s="4"/>
      <c r="E10" s="4"/>
      <c r="F10" s="4"/>
      <c r="G10" s="4"/>
      <c r="H10" s="4"/>
      <c r="I10" s="4"/>
      <c r="J10" s="4"/>
      <c r="K10" s="4"/>
      <c r="L10" s="5"/>
      <c r="M10" s="4"/>
      <c r="N10" s="5"/>
      <c r="O10" s="6">
        <f t="shared" si="2"/>
        <v>9137954</v>
      </c>
      <c r="P10" s="7">
        <f t="shared" si="3"/>
        <v>9.098097155125431E-3</v>
      </c>
      <c r="Q10" s="5"/>
      <c r="R10" s="5">
        <f t="shared" si="4"/>
        <v>146652.22804346684</v>
      </c>
      <c r="S10" s="5"/>
      <c r="T10" s="4">
        <f t="shared" si="5"/>
        <v>8991301.7719565332</v>
      </c>
      <c r="U10" s="28">
        <f t="shared" si="0"/>
        <v>-146652.22804346681</v>
      </c>
      <c r="V10" s="13">
        <f t="shared" si="6"/>
        <v>-1.6048694055963382E-2</v>
      </c>
    </row>
    <row r="11" spans="1:22" x14ac:dyDescent="0.2">
      <c r="A11" s="3" t="s">
        <v>5</v>
      </c>
      <c r="B11" s="4">
        <v>627674</v>
      </c>
      <c r="C11" s="5"/>
      <c r="D11" s="4"/>
      <c r="E11" s="4"/>
      <c r="F11" s="4"/>
      <c r="G11" s="4"/>
      <c r="H11" s="4"/>
      <c r="I11" s="4"/>
      <c r="J11" s="4"/>
      <c r="K11" s="4"/>
      <c r="L11" s="5"/>
      <c r="M11" s="4"/>
      <c r="N11" s="5"/>
      <c r="O11" s="6">
        <f t="shared" si="2"/>
        <v>627674</v>
      </c>
      <c r="P11" s="7">
        <v>0</v>
      </c>
      <c r="Q11" s="5"/>
      <c r="R11" s="5">
        <f t="shared" si="4"/>
        <v>0</v>
      </c>
      <c r="S11" s="5"/>
      <c r="T11" s="4">
        <f t="shared" si="5"/>
        <v>627674</v>
      </c>
      <c r="U11" s="28">
        <f t="shared" si="0"/>
        <v>0</v>
      </c>
      <c r="V11" s="13">
        <f t="shared" si="6"/>
        <v>0</v>
      </c>
    </row>
    <row r="12" spans="1:22" ht="13.5" thickBot="1" x14ac:dyDescent="0.25">
      <c r="A12" s="3" t="s">
        <v>6</v>
      </c>
      <c r="B12" s="4">
        <v>2238935</v>
      </c>
      <c r="C12" s="5"/>
      <c r="D12" s="4"/>
      <c r="E12" s="4"/>
      <c r="F12" s="4"/>
      <c r="G12" s="4"/>
      <c r="H12" s="4"/>
      <c r="I12" s="4"/>
      <c r="J12" s="4"/>
      <c r="K12" s="4"/>
      <c r="L12" s="5"/>
      <c r="M12" s="4"/>
      <c r="N12" s="5"/>
      <c r="O12" s="6">
        <f t="shared" si="2"/>
        <v>2238935</v>
      </c>
      <c r="P12" s="7">
        <v>0</v>
      </c>
      <c r="Q12" s="5"/>
      <c r="R12" s="5">
        <f t="shared" si="4"/>
        <v>0</v>
      </c>
      <c r="S12" s="5"/>
      <c r="T12" s="4">
        <f t="shared" si="5"/>
        <v>2238935</v>
      </c>
      <c r="U12" s="28">
        <f>T12-B12</f>
        <v>0</v>
      </c>
      <c r="V12" s="13">
        <f>U12/B12</f>
        <v>0</v>
      </c>
    </row>
    <row r="13" spans="1:22" s="14" customFormat="1" ht="13.5" thickBot="1" x14ac:dyDescent="0.25">
      <c r="A13" s="9" t="s">
        <v>11</v>
      </c>
      <c r="B13" s="17">
        <f>SUM(B5:B12)</f>
        <v>1007902639</v>
      </c>
      <c r="C13" s="10"/>
      <c r="D13" s="11">
        <f>SUM(D5:D12)</f>
        <v>2450276.9166885158</v>
      </c>
      <c r="E13" s="11">
        <f t="shared" ref="E13:K13" si="7">SUM(E5:E12)</f>
        <v>4674483.3390652277</v>
      </c>
      <c r="F13" s="11">
        <f t="shared" si="7"/>
        <v>6323380.4566689655</v>
      </c>
      <c r="G13" s="11">
        <f t="shared" si="7"/>
        <v>9048637.6488150507</v>
      </c>
      <c r="H13" s="11">
        <f t="shared" si="7"/>
        <v>10342745.551547986</v>
      </c>
      <c r="I13" s="11">
        <f t="shared" si="7"/>
        <v>8630276.4626778159</v>
      </c>
      <c r="J13" s="11">
        <f t="shared" si="7"/>
        <v>8436199.4362301957</v>
      </c>
      <c r="K13" s="11">
        <f t="shared" si="7"/>
        <v>8320481.2445183722</v>
      </c>
      <c r="L13" s="10"/>
      <c r="M13" s="11">
        <f>AVERAGE(D13:I13)</f>
        <v>6911633.3959105937</v>
      </c>
      <c r="N13" s="10"/>
      <c r="O13" s="12">
        <f>SUM(O5:O12)</f>
        <v>1007247398.1029296</v>
      </c>
      <c r="P13" s="13">
        <f>SUM(P5:P12)</f>
        <v>1</v>
      </c>
      <c r="Q13" s="10"/>
      <c r="R13" s="11">
        <f>SUM(R5:R12)</f>
        <v>16118999.999999998</v>
      </c>
      <c r="S13" s="10"/>
      <c r="T13" s="17">
        <f>SUM(T5:T12)</f>
        <v>991128398.10292959</v>
      </c>
      <c r="U13" s="28">
        <f>T13-B13</f>
        <v>-16774240.897070408</v>
      </c>
      <c r="V13" s="13">
        <f>U13/B13</f>
        <v>-1.6642719492939443E-2</v>
      </c>
    </row>
    <row r="14" spans="1:22" x14ac:dyDescent="0.2">
      <c r="B14" s="4"/>
      <c r="C14" s="5"/>
      <c r="D14" s="4"/>
      <c r="E14" s="4"/>
      <c r="F14" s="4"/>
      <c r="G14" s="4"/>
      <c r="H14" s="4"/>
      <c r="I14" s="4"/>
      <c r="J14" s="4"/>
      <c r="K14" s="4"/>
      <c r="L14" s="5"/>
      <c r="M14" s="4"/>
      <c r="N14" s="5"/>
      <c r="O14" s="16"/>
      <c r="P14" s="5"/>
      <c r="Q14" s="5"/>
      <c r="R14" s="5"/>
      <c r="S14" s="5"/>
      <c r="T14" s="4"/>
      <c r="U14" s="29"/>
    </row>
    <row r="15" spans="1:22" x14ac:dyDescent="0.2">
      <c r="A15" s="15" t="s">
        <v>7</v>
      </c>
      <c r="B15" s="4">
        <v>622378</v>
      </c>
      <c r="C15" s="5"/>
      <c r="D15" s="4">
        <v>12261.287937686247</v>
      </c>
      <c r="E15" s="4">
        <v>15022.927874492945</v>
      </c>
      <c r="F15" s="4">
        <v>22572.622830226159</v>
      </c>
      <c r="G15" s="4">
        <v>23450.827732519585</v>
      </c>
      <c r="H15" s="4">
        <v>20458.95068055292</v>
      </c>
      <c r="I15" s="4">
        <v>844.10597024570041</v>
      </c>
      <c r="J15" s="4">
        <v>844.10597024570041</v>
      </c>
      <c r="K15" s="4">
        <v>844.10597024570041</v>
      </c>
      <c r="L15" s="5"/>
      <c r="M15" s="4">
        <f>AVERAGE(D15:I15)</f>
        <v>15768.453837620595</v>
      </c>
      <c r="N15" s="5"/>
      <c r="O15" s="6">
        <f>B15+M15-K15</f>
        <v>637302.34786737489</v>
      </c>
      <c r="P15" s="5"/>
      <c r="Q15" s="5"/>
      <c r="R15" s="5">
        <f>O15-T15</f>
        <v>10227.870402070577</v>
      </c>
      <c r="S15" s="5"/>
      <c r="T15" s="31">
        <f>T7/O7*O15</f>
        <v>627074.47746530431</v>
      </c>
      <c r="U15" s="30">
        <f>T15-B15</f>
        <v>4696.4774653043132</v>
      </c>
      <c r="V15" s="13">
        <f t="shared" ref="V15:V19" si="8">U15/B15</f>
        <v>7.5460210118357546E-3</v>
      </c>
    </row>
    <row r="16" spans="1:22" x14ac:dyDescent="0.2">
      <c r="A16" s="15" t="s">
        <v>28</v>
      </c>
      <c r="B16" s="4">
        <v>335318</v>
      </c>
      <c r="C16" s="5"/>
      <c r="D16" s="4">
        <v>6614.8983714494716</v>
      </c>
      <c r="E16" s="4">
        <v>8104.7881459456812</v>
      </c>
      <c r="F16" s="4">
        <v>12177.807646134002</v>
      </c>
      <c r="G16" s="4">
        <v>12651.59442999416</v>
      </c>
      <c r="H16" s="4">
        <v>11037.492980031315</v>
      </c>
      <c r="I16" s="4">
        <v>455.39059487764723</v>
      </c>
      <c r="J16" s="4">
        <v>455.39059487764723</v>
      </c>
      <c r="K16" s="4">
        <v>455.39059487764723</v>
      </c>
      <c r="L16" s="5"/>
      <c r="M16" s="4">
        <f>AVERAGE(D16:I16)</f>
        <v>8506.9953614053793</v>
      </c>
      <c r="N16" s="5"/>
      <c r="O16" s="6">
        <f>B16+M16-K16</f>
        <v>343369.60476652771</v>
      </c>
      <c r="P16" s="5"/>
      <c r="Q16" s="5"/>
      <c r="R16" s="5">
        <f t="shared" ref="R16:R19" si="9">O16-T16</f>
        <v>5510.633735015057</v>
      </c>
      <c r="S16" s="5"/>
      <c r="T16" s="31">
        <f>T8/O8*O16</f>
        <v>337858.97103151266</v>
      </c>
      <c r="U16" s="30">
        <f t="shared" ref="U16:U19" si="10">T16-B16</f>
        <v>2540.9710315126576</v>
      </c>
      <c r="V16" s="13">
        <f t="shared" si="8"/>
        <v>7.577794903681454E-3</v>
      </c>
    </row>
    <row r="17" spans="1:22" x14ac:dyDescent="0.2">
      <c r="A17" s="15" t="s">
        <v>29</v>
      </c>
      <c r="B17" s="4">
        <v>398793</v>
      </c>
      <c r="C17" s="5"/>
      <c r="D17" s="4"/>
      <c r="E17" s="4"/>
      <c r="F17" s="4"/>
      <c r="G17" s="4"/>
      <c r="H17" s="4"/>
      <c r="I17" s="4"/>
      <c r="J17" s="4"/>
      <c r="K17" s="4"/>
      <c r="L17" s="5"/>
      <c r="M17" s="4"/>
      <c r="N17" s="5"/>
      <c r="O17" s="6">
        <f t="shared" ref="O17:O19" si="11">B17+M17-K17</f>
        <v>398793</v>
      </c>
      <c r="P17" s="5"/>
      <c r="Q17" s="5"/>
      <c r="R17" s="5">
        <f t="shared" si="9"/>
        <v>6400.1068486598087</v>
      </c>
      <c r="S17" s="5"/>
      <c r="T17" s="31">
        <f>T9/O9*O17</f>
        <v>392392.89315134019</v>
      </c>
      <c r="U17" s="30">
        <f t="shared" si="10"/>
        <v>-6400.1068486598087</v>
      </c>
      <c r="V17" s="13">
        <f t="shared" si="8"/>
        <v>-1.6048694055963392E-2</v>
      </c>
    </row>
    <row r="18" spans="1:22" x14ac:dyDescent="0.2">
      <c r="A18" s="3" t="s">
        <v>8</v>
      </c>
      <c r="B18" s="4">
        <v>24551</v>
      </c>
      <c r="C18" s="5"/>
      <c r="D18" s="4"/>
      <c r="E18" s="4"/>
      <c r="F18" s="4"/>
      <c r="G18" s="4"/>
      <c r="H18" s="4"/>
      <c r="I18" s="4"/>
      <c r="J18" s="4"/>
      <c r="K18" s="4"/>
      <c r="L18" s="5"/>
      <c r="M18" s="4"/>
      <c r="N18" s="5"/>
      <c r="O18" s="6">
        <f t="shared" si="11"/>
        <v>24551</v>
      </c>
      <c r="P18" s="5"/>
      <c r="Q18" s="5"/>
      <c r="R18" s="5">
        <f t="shared" si="9"/>
        <v>394.0114877679589</v>
      </c>
      <c r="S18" s="5"/>
      <c r="T18" s="31">
        <f>T10/O10*O18</f>
        <v>24156.988512232041</v>
      </c>
      <c r="U18" s="30">
        <f t="shared" si="10"/>
        <v>-394.0114877679589</v>
      </c>
      <c r="V18" s="13">
        <f t="shared" si="8"/>
        <v>-1.6048694055963458E-2</v>
      </c>
    </row>
    <row r="19" spans="1:22" ht="13.5" thickBot="1" x14ac:dyDescent="0.25">
      <c r="A19" s="3" t="s">
        <v>9</v>
      </c>
      <c r="B19" s="4">
        <v>1452</v>
      </c>
      <c r="C19" s="5"/>
      <c r="D19" s="4"/>
      <c r="E19" s="4"/>
      <c r="F19" s="4"/>
      <c r="G19" s="4"/>
      <c r="H19" s="4"/>
      <c r="I19" s="4"/>
      <c r="J19" s="4"/>
      <c r="K19" s="4"/>
      <c r="L19" s="5"/>
      <c r="M19" s="4"/>
      <c r="N19" s="5"/>
      <c r="O19" s="6">
        <f t="shared" si="11"/>
        <v>1452</v>
      </c>
      <c r="P19" s="5"/>
      <c r="Q19" s="5"/>
      <c r="R19" s="5">
        <f t="shared" si="9"/>
        <v>0</v>
      </c>
      <c r="S19" s="5"/>
      <c r="T19" s="4">
        <f t="shared" ref="T19" si="12">T11/O11*O19</f>
        <v>1452</v>
      </c>
      <c r="U19" s="30">
        <f t="shared" si="10"/>
        <v>0</v>
      </c>
      <c r="V19" s="13">
        <f t="shared" si="8"/>
        <v>0</v>
      </c>
    </row>
    <row r="20" spans="1:22" s="14" customFormat="1" ht="13.5" thickBot="1" x14ac:dyDescent="0.25">
      <c r="A20" s="9" t="s">
        <v>10</v>
      </c>
      <c r="B20" s="17">
        <f>SUM(B15:B19)</f>
        <v>1382492</v>
      </c>
      <c r="C20" s="10"/>
      <c r="D20" s="11">
        <f t="shared" ref="D20:K20" si="13">SUM(D15:D19)</f>
        <v>18876.186309135719</v>
      </c>
      <c r="E20" s="11">
        <f t="shared" si="13"/>
        <v>23127.716020438627</v>
      </c>
      <c r="F20" s="11">
        <f t="shared" si="13"/>
        <v>34750.430476360161</v>
      </c>
      <c r="G20" s="11">
        <f t="shared" si="13"/>
        <v>36102.422162513743</v>
      </c>
      <c r="H20" s="11">
        <f t="shared" si="13"/>
        <v>31496.443660584235</v>
      </c>
      <c r="I20" s="11">
        <f t="shared" si="13"/>
        <v>1299.4965651233476</v>
      </c>
      <c r="J20" s="11">
        <f t="shared" si="13"/>
        <v>1299.4965651233476</v>
      </c>
      <c r="K20" s="11">
        <f t="shared" si="13"/>
        <v>1299.4965651233476</v>
      </c>
      <c r="L20" s="10"/>
      <c r="M20" s="11">
        <f>SUM(M15:M19)</f>
        <v>24275.449199025974</v>
      </c>
      <c r="N20" s="10"/>
      <c r="O20" s="11">
        <f>SUM(O15:O19)</f>
        <v>1405467.9526339027</v>
      </c>
      <c r="P20" s="10"/>
      <c r="Q20" s="10"/>
      <c r="R20" s="10">
        <f>SUM(R15:R19)</f>
        <v>22532.622473513402</v>
      </c>
      <c r="S20" s="10"/>
      <c r="T20" s="17">
        <f t="shared" ref="T20" si="14">SUM(T15:T19)</f>
        <v>1382935.3301603892</v>
      </c>
      <c r="U20" s="30">
        <f>T20-B20</f>
        <v>443.33016038918868</v>
      </c>
      <c r="V20" s="13">
        <f>U20/B20</f>
        <v>3.2067466603003029E-4</v>
      </c>
    </row>
    <row r="21" spans="1:22" x14ac:dyDescent="0.2">
      <c r="B21" s="4"/>
      <c r="C21" s="5"/>
      <c r="D21" s="4"/>
      <c r="E21" s="4"/>
      <c r="F21" s="4"/>
      <c r="G21" s="4"/>
      <c r="H21" s="4"/>
      <c r="I21" s="4"/>
      <c r="J21" s="4"/>
      <c r="K21" s="4"/>
      <c r="L21" s="5"/>
      <c r="M21" s="4"/>
      <c r="N21" s="5"/>
      <c r="O21" s="5"/>
      <c r="P21" s="5"/>
      <c r="Q21" s="5"/>
      <c r="R21" s="5"/>
      <c r="S21" s="5"/>
      <c r="T21" s="4"/>
      <c r="U21" s="16"/>
    </row>
    <row r="22" spans="1:22" x14ac:dyDescent="0.2">
      <c r="B22" s="18"/>
      <c r="T22" s="18"/>
      <c r="U22" s="16"/>
    </row>
    <row r="23" spans="1:22" x14ac:dyDescent="0.2">
      <c r="B23" s="18"/>
      <c r="T23" s="18"/>
      <c r="U23" s="16"/>
    </row>
    <row r="24" spans="1:22" x14ac:dyDescent="0.2">
      <c r="A24" s="36" t="s">
        <v>37</v>
      </c>
      <c r="B24" s="18"/>
      <c r="T24" s="18"/>
      <c r="U24" s="16"/>
    </row>
    <row r="25" spans="1:22" x14ac:dyDescent="0.2">
      <c r="A25" s="15" t="s">
        <v>30</v>
      </c>
      <c r="B25" s="18"/>
      <c r="D25" s="4"/>
      <c r="E25" s="4">
        <v>76625.938569695296</v>
      </c>
      <c r="F25" s="4">
        <v>76625.938569695296</v>
      </c>
      <c r="G25" s="4">
        <v>1142907.1678749067</v>
      </c>
      <c r="H25" s="4">
        <v>2187909.7043415722</v>
      </c>
      <c r="I25" s="4">
        <v>755826.18491817941</v>
      </c>
      <c r="J25" s="4">
        <v>755826.18491817941</v>
      </c>
      <c r="K25" s="4">
        <v>755826.18491817941</v>
      </c>
      <c r="T25" s="18"/>
      <c r="U25" s="16"/>
    </row>
    <row r="26" spans="1:22" x14ac:dyDescent="0.2">
      <c r="A26" s="15" t="str">
        <f>A7</f>
        <v>GS&gt;50 (kWh)</v>
      </c>
      <c r="B26" s="33">
        <f>B7/(B7+B8)</f>
        <v>0.58616696594307383</v>
      </c>
      <c r="D26" s="5">
        <f>$B26*D$25</f>
        <v>0</v>
      </c>
      <c r="E26" s="5">
        <f t="shared" ref="E26:K27" si="15">$B26*E$25</f>
        <v>44915.59392393865</v>
      </c>
      <c r="F26" s="5">
        <f t="shared" si="15"/>
        <v>44915.59392393865</v>
      </c>
      <c r="G26" s="5">
        <f t="shared" si="15"/>
        <v>669934.42694782536</v>
      </c>
      <c r="H26" s="5">
        <f t="shared" si="15"/>
        <v>1282480.393151307</v>
      </c>
      <c r="I26" s="5">
        <f t="shared" si="15"/>
        <v>443040.34159381787</v>
      </c>
      <c r="J26" s="5">
        <f t="shared" si="15"/>
        <v>443040.34159381787</v>
      </c>
      <c r="K26" s="5">
        <f t="shared" si="15"/>
        <v>443040.34159381787</v>
      </c>
      <c r="R26" s="32"/>
      <c r="T26" s="4"/>
    </row>
    <row r="27" spans="1:22" x14ac:dyDescent="0.2">
      <c r="A27" s="15" t="str">
        <f>A8</f>
        <v>Intermediate</v>
      </c>
      <c r="B27" s="7">
        <f>1-B26</f>
        <v>0.41383303405692617</v>
      </c>
      <c r="D27" s="5">
        <f>$B27*D$25</f>
        <v>0</v>
      </c>
      <c r="E27" s="5">
        <f t="shared" si="15"/>
        <v>31710.344645756646</v>
      </c>
      <c r="F27" s="5">
        <f t="shared" si="15"/>
        <v>31710.344645756646</v>
      </c>
      <c r="G27" s="5">
        <f t="shared" si="15"/>
        <v>472972.74092708132</v>
      </c>
      <c r="H27" s="5">
        <f t="shared" si="15"/>
        <v>905429.31119026511</v>
      </c>
      <c r="I27" s="5">
        <f t="shared" si="15"/>
        <v>312785.84332436154</v>
      </c>
      <c r="J27" s="5">
        <f t="shared" si="15"/>
        <v>312785.84332436154</v>
      </c>
      <c r="K27" s="5">
        <f t="shared" si="15"/>
        <v>312785.84332436154</v>
      </c>
      <c r="T27" s="5"/>
    </row>
    <row r="28" spans="1:22" x14ac:dyDescent="0.2">
      <c r="B28" s="5"/>
      <c r="T28" s="5"/>
    </row>
    <row r="29" spans="1:22" x14ac:dyDescent="0.2">
      <c r="B29" s="5"/>
      <c r="T29" s="5"/>
    </row>
    <row r="30" spans="1:22" x14ac:dyDescent="0.2">
      <c r="A30" s="15" t="s">
        <v>31</v>
      </c>
      <c r="D30" s="5">
        <v>18876.186309135719</v>
      </c>
      <c r="E30" s="5">
        <v>23127.716020438627</v>
      </c>
      <c r="F30" s="5">
        <v>34750.430476360161</v>
      </c>
      <c r="G30" s="5">
        <v>36102.422162513743</v>
      </c>
      <c r="H30" s="5">
        <v>31496.443660584235</v>
      </c>
      <c r="I30" s="5">
        <v>1299.4965651233476</v>
      </c>
      <c r="J30" s="5">
        <v>1299.4965651233476</v>
      </c>
      <c r="K30" s="5">
        <v>1299.4965651233476</v>
      </c>
    </row>
    <row r="31" spans="1:22" x14ac:dyDescent="0.2">
      <c r="A31" s="15" t="str">
        <f>A11</f>
        <v>Sentinel Lights (kWh)</v>
      </c>
      <c r="B31" s="33">
        <f>B15/(B16+B15)</f>
        <v>0.64987010491847097</v>
      </c>
      <c r="D31" s="5">
        <f>D$30*$B31</f>
        <v>12267.069177178635</v>
      </c>
      <c r="E31" s="5">
        <f t="shared" ref="E31:K32" si="16">E$30*$B31</f>
        <v>15030.011236727052</v>
      </c>
      <c r="F31" s="5">
        <f t="shared" si="16"/>
        <v>22583.265899634211</v>
      </c>
      <c r="G31" s="5">
        <f t="shared" si="16"/>
        <v>23461.884878563738</v>
      </c>
      <c r="H31" s="5">
        <f t="shared" si="16"/>
        <v>20468.597146262586</v>
      </c>
      <c r="I31" s="5">
        <f t="shared" si="16"/>
        <v>844.50396911790256</v>
      </c>
      <c r="J31" s="5">
        <f t="shared" si="16"/>
        <v>844.50396911790256</v>
      </c>
      <c r="K31" s="5">
        <f t="shared" si="16"/>
        <v>844.50396911790256</v>
      </c>
    </row>
    <row r="32" spans="1:22" x14ac:dyDescent="0.2">
      <c r="A32" s="15" t="str">
        <f>A12</f>
        <v>USL (kWh)</v>
      </c>
      <c r="B32" s="7">
        <f>1-B31</f>
        <v>0.35012989508152903</v>
      </c>
      <c r="D32" s="5">
        <f>D$30*$B32</f>
        <v>6609.117131957084</v>
      </c>
      <c r="E32" s="5">
        <f t="shared" si="16"/>
        <v>8097.7047837115742</v>
      </c>
      <c r="F32" s="5">
        <f t="shared" si="16"/>
        <v>12167.164576725952</v>
      </c>
      <c r="G32" s="5">
        <f t="shared" si="16"/>
        <v>12640.537283950005</v>
      </c>
      <c r="H32" s="5">
        <f t="shared" si="16"/>
        <v>11027.846514321649</v>
      </c>
      <c r="I32" s="5">
        <f t="shared" si="16"/>
        <v>454.99259600544508</v>
      </c>
      <c r="J32" s="5">
        <f t="shared" si="16"/>
        <v>454.99259600544508</v>
      </c>
      <c r="K32" s="5">
        <f t="shared" si="16"/>
        <v>454.99259600544508</v>
      </c>
    </row>
    <row r="35" spans="1:1" x14ac:dyDescent="0.2">
      <c r="A35" s="15" t="s">
        <v>36</v>
      </c>
    </row>
  </sheetData>
  <mergeCells count="1">
    <mergeCell ref="D3:M3"/>
  </mergeCells>
  <printOptions horizontalCentered="1"/>
  <pageMargins left="0.25" right="0.25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D6" sqref="D6"/>
    </sheetView>
  </sheetViews>
  <sheetFormatPr defaultRowHeight="15" x14ac:dyDescent="0.25"/>
  <cols>
    <col min="1" max="1" width="18.5703125" style="20" customWidth="1"/>
    <col min="2" max="6" width="10.7109375" style="19" customWidth="1"/>
    <col min="7" max="7" width="10.7109375" style="20" customWidth="1"/>
    <col min="8" max="8" width="9.140625" style="19"/>
    <col min="9" max="9" width="10.140625" style="19" bestFit="1" customWidth="1"/>
    <col min="10" max="16384" width="9.140625" style="19"/>
  </cols>
  <sheetData>
    <row r="1" spans="1:9" x14ac:dyDescent="0.25">
      <c r="A1" s="41" t="s">
        <v>26</v>
      </c>
      <c r="B1" s="41"/>
      <c r="C1" s="41"/>
      <c r="D1" s="41"/>
      <c r="E1" s="41"/>
      <c r="F1" s="41"/>
      <c r="G1" s="41"/>
    </row>
    <row r="2" spans="1:9" s="20" customFormat="1" ht="25.5" x14ac:dyDescent="0.25">
      <c r="A2" s="21"/>
      <c r="B2" s="22" t="s">
        <v>18</v>
      </c>
      <c r="C2" s="38" t="s">
        <v>19</v>
      </c>
      <c r="D2" s="38"/>
      <c r="E2" s="22" t="s">
        <v>18</v>
      </c>
      <c r="F2" s="22" t="s">
        <v>20</v>
      </c>
      <c r="G2" s="22" t="s">
        <v>18</v>
      </c>
    </row>
    <row r="3" spans="1:9" s="20" customFormat="1" x14ac:dyDescent="0.25">
      <c r="A3" s="39"/>
      <c r="B3" s="22" t="s">
        <v>0</v>
      </c>
      <c r="C3" s="22" t="s">
        <v>38</v>
      </c>
      <c r="D3" s="22">
        <v>2013</v>
      </c>
      <c r="E3" s="22" t="s">
        <v>12</v>
      </c>
      <c r="F3" s="40" t="s">
        <v>24</v>
      </c>
      <c r="G3" s="22" t="s">
        <v>15</v>
      </c>
    </row>
    <row r="4" spans="1:9" s="20" customFormat="1" x14ac:dyDescent="0.25">
      <c r="A4" s="39"/>
      <c r="B4" s="22" t="s">
        <v>21</v>
      </c>
      <c r="C4" s="22" t="s">
        <v>22</v>
      </c>
      <c r="D4" s="22" t="s">
        <v>23</v>
      </c>
      <c r="E4" s="22" t="s">
        <v>0</v>
      </c>
      <c r="F4" s="40"/>
      <c r="G4" s="22" t="s">
        <v>0</v>
      </c>
    </row>
    <row r="5" spans="1:9" x14ac:dyDescent="0.25">
      <c r="A5" s="21" t="s">
        <v>1</v>
      </c>
      <c r="B5" s="23">
        <f>CDM_Adjusted!B5</f>
        <v>259773254</v>
      </c>
      <c r="C5" s="23">
        <f>CDM_Adjusted!M5</f>
        <v>5183287.0959401419</v>
      </c>
      <c r="D5" s="24">
        <f>CDM_Adjusted!K5</f>
        <v>5098813.1874571964</v>
      </c>
      <c r="E5" s="24">
        <f>CDM_Adjusted!O5</f>
        <v>259857727.90848294</v>
      </c>
      <c r="F5" s="23">
        <f>CDM_Adjusted!R5</f>
        <v>4170377.173281021</v>
      </c>
      <c r="G5" s="25">
        <f>CDM_Adjusted!T5</f>
        <v>255687350.73520193</v>
      </c>
    </row>
    <row r="6" spans="1:9" x14ac:dyDescent="0.25">
      <c r="A6" s="21" t="s">
        <v>2</v>
      </c>
      <c r="B6" s="23">
        <f>CDM_Adjusted!B6</f>
        <v>99956659</v>
      </c>
      <c r="C6" s="23">
        <f>CDM_Adjusted!M6</f>
        <v>1532545.7163871648</v>
      </c>
      <c r="D6" s="24">
        <f>CDM_Adjusted!K6</f>
        <v>2465841.8721429966</v>
      </c>
      <c r="E6" s="24">
        <f>CDM_Adjusted!O6</f>
        <v>99023362.844244167</v>
      </c>
      <c r="F6" s="23">
        <f>CDM_Adjusted!R6</f>
        <v>1589195.6546799268</v>
      </c>
      <c r="G6" s="25">
        <f>CDM_Adjusted!T6</f>
        <v>97434167.189564243</v>
      </c>
    </row>
    <row r="7" spans="1:9" x14ac:dyDescent="0.25">
      <c r="A7" s="21" t="s">
        <v>7</v>
      </c>
      <c r="B7" s="23">
        <f>CDM_Adjusted!B7</f>
        <v>225433209</v>
      </c>
      <c r="C7" s="23">
        <f>CDM_Adjusted!M7</f>
        <v>847978.98685480969</v>
      </c>
      <c r="D7" s="24">
        <f>CDM_Adjusted!K25</f>
        <v>755826.18491817941</v>
      </c>
      <c r="E7" s="24">
        <f>CDM_Adjusted!O7</f>
        <v>225525361.80193666</v>
      </c>
      <c r="F7" s="23">
        <f>CDM_Adjusted!R7</f>
        <v>3619387.5334197325</v>
      </c>
      <c r="G7" s="25">
        <f>CDM_Adjusted!T7</f>
        <v>221905974.26851693</v>
      </c>
    </row>
    <row r="8" spans="1:9" x14ac:dyDescent="0.25">
      <c r="A8" s="21" t="s">
        <v>28</v>
      </c>
      <c r="B8" s="23">
        <f>CDM_Adjusted!B8</f>
        <v>159155521</v>
      </c>
      <c r="C8" s="23">
        <f>CDM_Adjusted!M8</f>
        <v>414214.39159013791</v>
      </c>
      <c r="D8" s="24">
        <f>CDM_Adjusted!K8</f>
        <v>312785.84332436154</v>
      </c>
      <c r="E8" s="24">
        <f>CDM_Adjusted!O8</f>
        <v>159256949.54826578</v>
      </c>
      <c r="F8" s="23">
        <f>CDM_Adjusted!R8</f>
        <v>2555866.0595861138</v>
      </c>
      <c r="G8" s="25">
        <f>CDM_Adjusted!T8</f>
        <v>156701083.48867968</v>
      </c>
    </row>
    <row r="9" spans="1:9" x14ac:dyDescent="0.25">
      <c r="A9" s="21" t="s">
        <v>29</v>
      </c>
      <c r="B9" s="23">
        <f>CDM_Adjusted!B9</f>
        <v>251579433</v>
      </c>
      <c r="C9" s="23">
        <f>CDM_Adjusted!M9</f>
        <v>0</v>
      </c>
      <c r="D9" s="24">
        <f>CDM_Adjusted!K9</f>
        <v>0</v>
      </c>
      <c r="E9" s="24">
        <f>CDM_Adjusted!O9</f>
        <v>251579433</v>
      </c>
      <c r="F9" s="23">
        <f>CDM_Adjusted!R9</f>
        <v>4037521.3509897389</v>
      </c>
      <c r="G9" s="25">
        <f>CDM_Adjusted!T9</f>
        <v>247541911.64901027</v>
      </c>
    </row>
    <row r="10" spans="1:9" x14ac:dyDescent="0.25">
      <c r="A10" s="21" t="s">
        <v>8</v>
      </c>
      <c r="B10" s="23">
        <f>CDM_Adjusted!B10</f>
        <v>9137954</v>
      </c>
      <c r="C10" s="23">
        <f>CDM_Adjusted!M10</f>
        <v>0</v>
      </c>
      <c r="D10" s="24">
        <f>CDM_Adjusted!K10</f>
        <v>0</v>
      </c>
      <c r="E10" s="24">
        <f>CDM_Adjusted!O10</f>
        <v>9137954</v>
      </c>
      <c r="F10" s="23">
        <f>CDM_Adjusted!R10</f>
        <v>146652.22804346684</v>
      </c>
      <c r="G10" s="25">
        <f>CDM_Adjusted!T10</f>
        <v>8991301.7719565332</v>
      </c>
    </row>
    <row r="11" spans="1:9" x14ac:dyDescent="0.25">
      <c r="A11" s="21" t="s">
        <v>9</v>
      </c>
      <c r="B11" s="23">
        <f>CDM_Adjusted!B11</f>
        <v>627674</v>
      </c>
      <c r="C11" s="23">
        <f>CDM_Adjusted!M11</f>
        <v>0</v>
      </c>
      <c r="D11" s="24">
        <f>CDM_Adjusted!K11</f>
        <v>0</v>
      </c>
      <c r="E11" s="24">
        <f>CDM_Adjusted!O11</f>
        <v>627674</v>
      </c>
      <c r="F11" s="23">
        <f>CDM_Adjusted!R11</f>
        <v>0</v>
      </c>
      <c r="G11" s="25">
        <f>CDM_Adjusted!T11</f>
        <v>627674</v>
      </c>
    </row>
    <row r="12" spans="1:9" x14ac:dyDescent="0.25">
      <c r="A12" s="21" t="s">
        <v>6</v>
      </c>
      <c r="B12" s="23">
        <f>CDM_Adjusted!B12</f>
        <v>2238935</v>
      </c>
      <c r="C12" s="23">
        <f>CDM_Adjusted!M12</f>
        <v>0</v>
      </c>
      <c r="D12" s="24">
        <f>CDM_Adjusted!K12</f>
        <v>0</v>
      </c>
      <c r="E12" s="24">
        <f>CDM_Adjusted!O12</f>
        <v>2238935</v>
      </c>
      <c r="F12" s="23">
        <f>CDM_Adjusted!R12</f>
        <v>0</v>
      </c>
      <c r="G12" s="25">
        <f>CDM_Adjusted!T12</f>
        <v>2238935</v>
      </c>
    </row>
    <row r="13" spans="1:9" s="20" customFormat="1" x14ac:dyDescent="0.25">
      <c r="A13" s="26" t="s">
        <v>11</v>
      </c>
      <c r="B13" s="25">
        <f>CDM_Adjusted!B13</f>
        <v>1007902639</v>
      </c>
      <c r="C13" s="25">
        <f>CDM_Adjusted!M13</f>
        <v>6911633.3959105937</v>
      </c>
      <c r="D13" s="27">
        <f>CDM_Adjusted!K13</f>
        <v>8320481.2445183722</v>
      </c>
      <c r="E13" s="27">
        <f>CDM_Adjusted!O13</f>
        <v>1007247398.1029296</v>
      </c>
      <c r="F13" s="25">
        <f>CDM_Adjusted!R13</f>
        <v>16118999.999999998</v>
      </c>
      <c r="G13" s="25">
        <f>CDM_Adjusted!T13</f>
        <v>991128398.10292959</v>
      </c>
      <c r="I13" s="34"/>
    </row>
    <row r="15" spans="1:9" x14ac:dyDescent="0.25">
      <c r="A15" s="41" t="s">
        <v>27</v>
      </c>
      <c r="B15" s="41"/>
      <c r="C15" s="41"/>
      <c r="D15" s="41"/>
      <c r="E15" s="41"/>
      <c r="F15" s="41"/>
      <c r="G15" s="41"/>
    </row>
    <row r="16" spans="1:9" ht="26.25" customHeight="1" x14ac:dyDescent="0.25">
      <c r="A16" s="21"/>
      <c r="B16" s="22" t="s">
        <v>18</v>
      </c>
      <c r="C16" s="38" t="s">
        <v>19</v>
      </c>
      <c r="D16" s="38"/>
      <c r="E16" s="22" t="s">
        <v>18</v>
      </c>
      <c r="F16" s="22" t="s">
        <v>20</v>
      </c>
      <c r="G16" s="22" t="s">
        <v>18</v>
      </c>
    </row>
    <row r="17" spans="1:7" x14ac:dyDescent="0.25">
      <c r="A17" s="39"/>
      <c r="B17" s="22" t="s">
        <v>0</v>
      </c>
      <c r="C17" s="22" t="s">
        <v>38</v>
      </c>
      <c r="D17" s="22">
        <v>2013</v>
      </c>
      <c r="E17" s="22" t="s">
        <v>12</v>
      </c>
      <c r="F17" s="40" t="s">
        <v>25</v>
      </c>
      <c r="G17" s="22" t="s">
        <v>15</v>
      </c>
    </row>
    <row r="18" spans="1:7" x14ac:dyDescent="0.25">
      <c r="A18" s="39"/>
      <c r="B18" s="22" t="s">
        <v>21</v>
      </c>
      <c r="C18" s="22" t="s">
        <v>22</v>
      </c>
      <c r="D18" s="22" t="s">
        <v>23</v>
      </c>
      <c r="E18" s="22" t="s">
        <v>0</v>
      </c>
      <c r="F18" s="40"/>
      <c r="G18" s="22" t="s">
        <v>0</v>
      </c>
    </row>
    <row r="19" spans="1:7" x14ac:dyDescent="0.25">
      <c r="A19" s="21" t="s">
        <v>7</v>
      </c>
      <c r="B19" s="23">
        <f>CDM_Adjusted!B15</f>
        <v>622378</v>
      </c>
      <c r="C19" s="23">
        <f>CDM_Adjusted!M15</f>
        <v>15768.453837620595</v>
      </c>
      <c r="D19" s="24">
        <f>CDM_Adjusted!K15</f>
        <v>844.10597024570041</v>
      </c>
      <c r="E19" s="24">
        <f>CDM_Adjusted!O15</f>
        <v>637302.34786737489</v>
      </c>
      <c r="F19" s="23">
        <f>CDM_Adjusted!R15</f>
        <v>10227.870402070577</v>
      </c>
      <c r="G19" s="25">
        <f>CDM_Adjusted!T15</f>
        <v>627074.47746530431</v>
      </c>
    </row>
    <row r="20" spans="1:7" x14ac:dyDescent="0.25">
      <c r="A20" s="21" t="s">
        <v>28</v>
      </c>
      <c r="B20" s="23">
        <f>CDM_Adjusted!B16</f>
        <v>335318</v>
      </c>
      <c r="C20" s="23">
        <f>CDM_Adjusted!M16</f>
        <v>8506.9953614053793</v>
      </c>
      <c r="D20" s="24">
        <f>CDM_Adjusted!K16</f>
        <v>455.39059487764723</v>
      </c>
      <c r="E20" s="24">
        <f>CDM_Adjusted!O16</f>
        <v>343369.60476652771</v>
      </c>
      <c r="F20" s="23">
        <f>CDM_Adjusted!R16</f>
        <v>5510.633735015057</v>
      </c>
      <c r="G20" s="25">
        <f>CDM_Adjusted!T16</f>
        <v>337858.97103151266</v>
      </c>
    </row>
    <row r="21" spans="1:7" x14ac:dyDescent="0.25">
      <c r="A21" s="21" t="s">
        <v>29</v>
      </c>
      <c r="B21" s="23">
        <f>CDM_Adjusted!B17</f>
        <v>398793</v>
      </c>
      <c r="C21" s="23">
        <f>CDM_Adjusted!M17</f>
        <v>0</v>
      </c>
      <c r="D21" s="24">
        <f>CDM_Adjusted!K17</f>
        <v>0</v>
      </c>
      <c r="E21" s="24">
        <f>CDM_Adjusted!O17</f>
        <v>398793</v>
      </c>
      <c r="F21" s="23">
        <f>CDM_Adjusted!R17</f>
        <v>6400.1068486598087</v>
      </c>
      <c r="G21" s="25">
        <f>CDM_Adjusted!T17</f>
        <v>392392.89315134019</v>
      </c>
    </row>
    <row r="22" spans="1:7" x14ac:dyDescent="0.25">
      <c r="A22" s="21" t="s">
        <v>8</v>
      </c>
      <c r="B22" s="23">
        <f>CDM_Adjusted!B18</f>
        <v>24551</v>
      </c>
      <c r="C22" s="23">
        <f>CDM_Adjusted!M18</f>
        <v>0</v>
      </c>
      <c r="D22" s="24">
        <f>CDM_Adjusted!K18</f>
        <v>0</v>
      </c>
      <c r="E22" s="24">
        <f>CDM_Adjusted!O18</f>
        <v>24551</v>
      </c>
      <c r="F22" s="23">
        <f>CDM_Adjusted!R18</f>
        <v>394.0114877679589</v>
      </c>
      <c r="G22" s="25">
        <f>CDM_Adjusted!T18</f>
        <v>24156.988512232041</v>
      </c>
    </row>
    <row r="23" spans="1:7" x14ac:dyDescent="0.25">
      <c r="A23" s="21" t="s">
        <v>9</v>
      </c>
      <c r="B23" s="23">
        <f>CDM_Adjusted!B19</f>
        <v>1452</v>
      </c>
      <c r="C23" s="23">
        <f>CDM_Adjusted!M19</f>
        <v>0</v>
      </c>
      <c r="D23" s="24">
        <f>CDM_Adjusted!K19</f>
        <v>0</v>
      </c>
      <c r="E23" s="24">
        <f>CDM_Adjusted!O19</f>
        <v>1452</v>
      </c>
      <c r="F23" s="23">
        <f>CDM_Adjusted!R19</f>
        <v>0</v>
      </c>
      <c r="G23" s="25">
        <f>CDM_Adjusted!T19</f>
        <v>1452</v>
      </c>
    </row>
    <row r="24" spans="1:7" s="20" customFormat="1" x14ac:dyDescent="0.25">
      <c r="A24" s="26" t="s">
        <v>10</v>
      </c>
      <c r="B24" s="25">
        <f>CDM_Adjusted!B20</f>
        <v>1382492</v>
      </c>
      <c r="C24" s="25">
        <f>CDM_Adjusted!M20</f>
        <v>24275.449199025974</v>
      </c>
      <c r="D24" s="27">
        <f>CDM_Adjusted!K20</f>
        <v>1299.4965651233476</v>
      </c>
      <c r="E24" s="27">
        <f>CDM_Adjusted!O20</f>
        <v>1405467.9526339027</v>
      </c>
      <c r="F24" s="25">
        <f>CDM_Adjusted!R20</f>
        <v>22532.622473513402</v>
      </c>
      <c r="G24" s="25">
        <f>CDM_Adjusted!T20</f>
        <v>1382935.3301603892</v>
      </c>
    </row>
  </sheetData>
  <mergeCells count="8">
    <mergeCell ref="C16:D16"/>
    <mergeCell ref="A17:A18"/>
    <mergeCell ref="F17:F18"/>
    <mergeCell ref="A1:G1"/>
    <mergeCell ref="A15:G15"/>
    <mergeCell ref="C2:D2"/>
    <mergeCell ref="A3:A4"/>
    <mergeCell ref="F3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CDM_Adjusted</vt:lpstr>
      <vt:lpstr>Reporting_Table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Marc-Antoine Fleury</dc:creator>
  <cp:lastModifiedBy>Leslie Dugas</cp:lastModifiedBy>
  <cp:lastPrinted>2012-09-05T22:07:31Z</cp:lastPrinted>
  <dcterms:created xsi:type="dcterms:W3CDTF">2012-08-03T17:47:00Z</dcterms:created>
  <dcterms:modified xsi:type="dcterms:W3CDTF">2013-01-27T18:07:02Z</dcterms:modified>
</cp:coreProperties>
</file>