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<sst xmlns="http://schemas.openxmlformats.org/spreadsheetml/2006/main" count="881" uniqueCount="506">
  <si>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</si>
  <si>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</si>
  <si>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</si>
  <si>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</si>
  <si>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</si>
  <si>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</si>
  <si>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</si>
  <si>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</si>
  <si>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</si>
  <si>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</si>
  <si>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</si>
  <si>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</si>
  <si>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</si>
  <si>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</si>
  <si>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</si>
  <si>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</si>
  <si>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</si>
  <si>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</si>
  <si>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</si>
  <si>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</si>
  <si>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</si>
  <si>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</si>
  <si>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</si>
  <si>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</si>
  <si>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</si>
  <si>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</si>
  <si>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</si>
  <si>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</si>
  <si>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</si>
  <si>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</si>
  <si>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</si>
  <si>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</si>
  <si>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</si>
  <si>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</si>
  <si>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</si>
  <si>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</si>
  <si>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</si>
  <si>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</si>
  <si>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</si>
  <si>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</si>
  <si>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</si>
  <si>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</si>
  <si>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</si>
  <si>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</si>
  <si>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</si>
  <si>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</si>
  <si>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</si>
  <si>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</si>
  <si>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</si>
  <si>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</si>
  <si>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</si>
  <si>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</si>
  <si>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</si>
  <si>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</si>
  <si>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</si>
  <si>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</si>
  <si>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</si>
  <si>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</si>
  <si>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</si>
  <si>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</si>
  <si>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</si>
  <si>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</si>
  <si>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</si>
  <si>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</si>
  <si>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</si>
  <si>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</si>
  <si>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</si>
  <si>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</si>
  <si>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</si>
  <si>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</si>
  <si>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</si>
  <si>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</si>
  <si>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</si>
  <si>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</si>
  <si>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</si>
  <si>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</si>
  <si>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</si>
  <si>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</si>
  <si>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</si>
  <si>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</si>
  <si>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</si>
  <si>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</si>
  <si>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</si>
  <si>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</si>
  <si>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</si>
  <si>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</si>
  <si>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</si>
  <si>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</si>
  <si>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</si>
  <si>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</si>
  <si>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</si>
  <si>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</si>
  <si>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</si>
  <si>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</si>
  <si>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</si>
  <si>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</si>
  <si>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</si>
  <si>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</si>
  <si>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</si>
  <si>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</si>
  <si>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</si>
  <si>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</si>
  <si>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</si>
  <si>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</si>
  <si>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</si>
  <si>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</si>
  <si>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</si>
  <si>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</si>
  <si>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</si>
  <si>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</si>
  <si>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</si>
  <si>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</si>
  <si>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</si>
  <si>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</si>
  <si>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</si>
  <si>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</si>
  <si>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</si>
  <si>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</si>
  <si>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</si>
  <si>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</si>
  <si>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</si>
  <si>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</si>
  <si>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</si>
  <si>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</si>
  <si>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</si>
  <si>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</si>
  <si>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</si>
  <si>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</si>
  <si>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</si>
  <si>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</si>
  <si>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</si>
  <si>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</si>
  <si>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</si>
  <si>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</si>
  <si>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</si>
  <si>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</si>
  <si>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</si>
  <si>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</si>
  <si>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</si>
  <si>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</si>
  <si>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</si>
  <si>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</si>
  <si>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</si>
  <si>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</si>
  <si>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</si>
  <si>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</si>
  <si>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</si>
  <si>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</si>
  <si>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</si>
  <si>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</si>
  <si>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</si>
  <si>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</si>
  <si>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</si>
  <si>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</si>
  <si>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</si>
  <si>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</si>
  <si>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</si>
  <si>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</si>
  <si>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</si>
  <si>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</si>
  <si>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</si>
  <si>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</si>
  <si>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</si>
  <si>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</si>
  <si>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</si>
  <si>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</si>
  <si>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</si>
  <si>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</si>
  <si>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</si>
  <si>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</si>
  <si>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</si>
  <si>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</si>
  <si>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</si>
  <si>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</si>
  <si>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</si>
  <si>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</si>
  <si>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</si>
  <si>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</si>
  <si>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</si>
  <si>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</si>
  <si>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</si>
  <si>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</si>
  <si>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</si>
  <si>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</si>
  <si>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</si>
  <si>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</si>
  <si>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</si>
  <si>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</si>
  <si>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</si>
  <si>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</si>
  <si>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</si>
  <si>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</si>
  <si>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</si>
  <si>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</si>
  <si>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</si>
  <si>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</si>
  <si>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</si>
  <si>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</si>
  <si>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</si>
  <si>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</si>
  <si>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</si>
  <si>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</si>
  <si>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</si>
  <si>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</si>
  <si>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</si>
  <si>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</si>
  <si>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</si>
  <si>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</si>
  <si>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</si>
  <si>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</si>
  <si>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</si>
  <si>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</si>
  <si>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</si>
  <si>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</si>
  <si>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</si>
  <si>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</si>
  <si>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</si>
  <si>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</si>
  <si>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</si>
  <si>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</si>
  <si>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</si>
  <si>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</si>
  <si>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</si>
  <si>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</si>
  <si>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</si>
  <si>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</si>
  <si>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</si>
  <si>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</si>
  <si>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</si>
  <si>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</si>
  <si>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</si>
  <si>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</si>
  <si>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</si>
  <si>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</si>
  <si>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</si>
  <si>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</si>
  <si>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</si>
  <si>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</si>
  <si>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</si>
  <si>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</si>
  <si>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</si>
  <si>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</si>
  <si>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</si>
  <si>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</si>
  <si>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</si>
  <si>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</si>
  <si>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</si>
  <si>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</si>
  <si>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</si>
  <si>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</si>
  <si>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</si>
  <si>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</si>
  <si>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</si>
  <si>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</si>
  <si>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</si>
  <si>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</si>
  <si>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</si>
  <si>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</si>
  <si>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</si>
  <si>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</si>
  <si>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</si>
  <si>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</si>
  <si>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</si>
  <si>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</si>
  <si>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</si>
  <si>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</si>
  <si>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</si>
  <si>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</si>
  <si>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</si>
  <si>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</si>
  <si>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</si>
  <si>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</si>
  <si>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</si>
  <si>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</si>
  <si>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</si>
  <si>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</si>
  <si>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</si>
  <si>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</si>
  <si>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</si>
  <si>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</si>
  <si>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</si>
  <si>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</si>
  <si>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</si>
  <si>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</si>
  <si>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</si>
  <si>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</si>
  <si>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</si>
  <si>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</si>
  <si>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</si>
  <si>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</si>
  <si>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</si>
  <si>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</si>
  <si>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</si>
  <si>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</si>
  <si>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</si>
  <si>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</si>
  <si>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</si>
  <si>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</si>
  <si>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</si>
  <si>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</si>
  <si>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</si>
  <si>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</si>
  <si>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</si>
  <si>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</si>
  <si>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</si>
  <si>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</si>
  <si>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</si>
  <si>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</si>
  <si>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</si>
  <si>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</si>
  <si>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</si>
  <si>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</si>
  <si>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</si>
  <si>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</si>
  <si>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</si>
  <si>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</si>
  <si>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</si>
  <si>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</si>
  <si>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</si>
  <si>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</si>
  <si>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</si>
  <si>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</si>
  <si>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</si>
  <si>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</si>
  <si>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</si>
  <si>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</si>
  <si>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</si>
  <si>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</si>
  <si>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</si>
  <si>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</si>
  <si>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</si>
  <si>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</si>
  <si>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</si>
  <si>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</si>
  <si>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</si>
  <si>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</si>
  <si>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</si>
  <si>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</si>
  <si>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</si>
  <si>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</si>
  <si>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</si>
  <si>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</si>
  <si>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</si>
  <si>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</si>
  <si>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</si>
  <si>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</si>
  <si>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</si>
  <si>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</si>
  <si>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</si>
  <si>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</si>
  <si>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</si>
  <si>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</si>
  <si>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</si>
  <si>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</si>
  <si>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</si>
  <si>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</si>
  <si>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</si>
  <si>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</si>
  <si>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</si>
  <si>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</si>
  <si>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</si>
  <si>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</si>
  <si>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</si>
  <si>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</si>
  <si>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</si>
  <si>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</si>
  <si>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</si>
  <si>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</si>
  <si>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</si>
  <si>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</si>
  <si>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</si>
  <si>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</si>
  <si>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</si>
  <si>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</si>
  <si>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</si>
  <si>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</si>
  <si>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</si>
  <si>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</si>
  <si>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</si>
  <si>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</si>
  <si>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</si>
  <si>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</si>
  <si>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</si>
  <si>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</si>
  <si>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</si>
  <si>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</si>
  <si>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</si>
  <si>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</si>
  <si>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</si>
  <si>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</si>
  <si>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</si>
  <si>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</si>
  <si>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</si>
  <si>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</si>
  <si>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</si>
  <si>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</si>
  <si>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</si>
  <si>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</si>
  <si>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</si>
  <si>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</si>
  <si>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</si>
  <si>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</si>
  <si>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</si>
  <si>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</si>
  <si>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</si>
  <si>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</si>
  <si>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</si>
  <si>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</si>
  <si>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</si>
  <si>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</si>
  <si>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</si>
  <si>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</si>
  <si>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</si>
  <si>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</si>
  <si>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</si>
  <si>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</si>
  <si>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</si>
  <si>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</si>
  <si>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</si>
  <si>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</si>
  <si>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</si>
  <si>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</si>
  <si>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</si>
  <si>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</si>
  <si>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</si>
  <si>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</si>
  <si>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</si>
  <si>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</si>
  <si>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</si>
  <si>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</si>
  <si>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</si>
  <si>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</si>
  <si>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</si>
  <si>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</si>
  <si>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</si>
  <si>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</si>
  <si>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</si>
  <si>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</si>
  <si>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</si>
  <si>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</si>
  <si>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</si>
  <si>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</si>
  <si>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</si>
  <si>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</si>
  <si>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</si>
  <si>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</si>
  <si>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</si>
  <si>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</si>
  <si>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</si>
  <si>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</si>
  <si>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</si>
  <si>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</si>
  <si>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</si>
  <si>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</si>
  <si>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</si>
  <si>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</si>
  <si>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</si>
  <si>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</si>
  <si>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</si>
  <si>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</si>
  <si>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</si>
  <si>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</si>
  <si>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</si>
  <si>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</si>
  <si>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</si>
  <si>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</si>
  <si>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</si>
  <si>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</si>
  <si>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</si>
  <si>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</si>
  <si>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</si>
  <si>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</si>
  <si>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</si>
  <si>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</si>
  <si>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</si>
  <si>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</si>
  <si>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</si>
  <si>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</si>
  <si>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</si>
  <si>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</si>
  <si>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</si>
  <si>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</si>
  <si>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</si>
  <si>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</si>
  <si>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</si>
  <si>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</si>
  <si>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</si>
  <si>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</si>
  <si>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</si>
  <si>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</si>
  <si>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</si>
  <si>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</si>
  <si>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</si>
  <si>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</si>
  <si>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</si>
  <si>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</si>
  <si>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</si>
  <si>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</si>
  <si>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</si>
  <si>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Utility Name: UTILITYNAME</t>
  </si>
  <si>
    <t>ENNERCONNECT LIMITED PARTNERSHIP INCOME</t>
  </si>
  <si>
    <t>Taxable dividends under 112</t>
  </si>
  <si>
    <t>Y</t>
  </si>
  <si>
    <t>N</t>
  </si>
  <si>
    <t>\</t>
  </si>
  <si>
    <t>Interest on customer deposits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</si>
</sst>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3" fontId="0" fillId="41" borderId="14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180" fontId="0" fillId="41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3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463</v>
      </c>
      <c r="C1" s="8"/>
      <c r="E1" s="2" t="s">
        <v>464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499</v>
      </c>
      <c r="C3" s="8"/>
      <c r="D3" s="455" t="s">
        <v>449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444</v>
      </c>
      <c r="E4" s="428"/>
      <c r="H4" s="8"/>
    </row>
    <row r="5" spans="1:8" ht="12.75">
      <c r="A5" s="52"/>
      <c r="C5" s="8"/>
      <c r="D5" s="453" t="s">
        <v>445</v>
      </c>
      <c r="E5" s="398"/>
      <c r="H5" s="8"/>
    </row>
    <row r="6" spans="1:8" ht="12.75">
      <c r="A6" s="2" t="s">
        <v>125</v>
      </c>
      <c r="B6" s="388">
        <v>365</v>
      </c>
      <c r="C6" s="8" t="s">
        <v>126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1" t="s">
        <v>502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1" t="s">
        <v>503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491" t="s">
        <v>503</v>
      </c>
    </row>
    <row r="18" spans="1:4" ht="15" customHeight="1">
      <c r="A18" s="389" t="s">
        <v>313</v>
      </c>
      <c r="C18" s="8"/>
      <c r="D18" s="8"/>
    </row>
    <row r="19" spans="1:4" ht="15" customHeight="1">
      <c r="A19" s="496" t="s">
        <v>314</v>
      </c>
      <c r="B19" s="8" t="s">
        <v>311</v>
      </c>
      <c r="C19" s="8" t="s">
        <v>63</v>
      </c>
      <c r="D19" s="492" t="s">
        <v>502</v>
      </c>
    </row>
    <row r="20" spans="1:4" ht="13.5" thickBot="1">
      <c r="A20" s="497"/>
      <c r="B20" s="8" t="s">
        <v>312</v>
      </c>
      <c r="C20" s="8" t="s">
        <v>63</v>
      </c>
      <c r="D20" s="491" t="s">
        <v>503</v>
      </c>
    </row>
    <row r="21" spans="1:4" ht="12.75">
      <c r="A21" s="496" t="s">
        <v>310</v>
      </c>
      <c r="B21" s="8" t="s">
        <v>311</v>
      </c>
      <c r="C21" s="8"/>
      <c r="D21" s="493">
        <v>0.997</v>
      </c>
    </row>
    <row r="22" spans="1:4" ht="12.75">
      <c r="A22" s="496"/>
      <c r="B22" s="8" t="s">
        <v>312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482</v>
      </c>
    </row>
    <row r="25" ht="6.75" customHeight="1" thickBot="1">
      <c r="A25" s="12"/>
    </row>
    <row r="26" spans="1:5" ht="12.75">
      <c r="A26" s="255" t="s">
        <v>66</v>
      </c>
      <c r="C26" s="8"/>
      <c r="E26" s="443" t="s">
        <v>295</v>
      </c>
    </row>
    <row r="27" spans="1:5" ht="12.75">
      <c r="A27" s="256" t="s">
        <v>67</v>
      </c>
      <c r="C27" s="8"/>
      <c r="E27" s="444" t="s">
        <v>296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285</v>
      </c>
      <c r="D31" s="421">
        <v>11068045</v>
      </c>
      <c r="H31" s="5"/>
    </row>
    <row r="32" ht="6" customHeight="1"/>
    <row r="33" spans="1:8" ht="12.75">
      <c r="A33" t="s">
        <v>70</v>
      </c>
      <c r="D33" s="42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2">
        <v>0.0988</v>
      </c>
      <c r="H37" s="41"/>
    </row>
    <row r="38" ht="4.5" customHeight="1">
      <c r="H38" s="34"/>
    </row>
    <row r="39" spans="1:8" ht="12.75">
      <c r="A39" t="s">
        <v>73</v>
      </c>
      <c r="D39" s="42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5">
        <v>255161</v>
      </c>
      <c r="E43" s="387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692817.05425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6">
        <v>230939</v>
      </c>
      <c r="E47" s="387">
        <f aca="true" t="shared" si="0" ref="E47:E53">D47</f>
        <v>230939</v>
      </c>
      <c r="H47" s="40"/>
      <c r="J47" s="5"/>
      <c r="K47" s="5"/>
    </row>
    <row r="48" spans="1:11" ht="12.75">
      <c r="A48" t="s">
        <v>288</v>
      </c>
      <c r="D48" s="426">
        <v>230939</v>
      </c>
      <c r="E48" s="387">
        <f>D48</f>
        <v>230939</v>
      </c>
      <c r="F48" s="22"/>
      <c r="H48" s="40"/>
      <c r="J48" s="5"/>
      <c r="K48" s="5"/>
    </row>
    <row r="49" spans="1:11" ht="12.75">
      <c r="A49" t="s">
        <v>289</v>
      </c>
      <c r="D49" s="427">
        <v>230939</v>
      </c>
      <c r="E49" s="387">
        <v>0</v>
      </c>
      <c r="F49" s="22"/>
      <c r="H49" s="40"/>
      <c r="J49" s="5"/>
      <c r="K49" s="5"/>
    </row>
    <row r="50" spans="1:11" ht="12.75">
      <c r="A50" t="s">
        <v>290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465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46">
      <selection activeCell="G46" sqref="G4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127</v>
      </c>
      <c r="C1" s="205" t="s">
        <v>33</v>
      </c>
      <c r="D1" s="206"/>
      <c r="E1" s="207" t="s">
        <v>22</v>
      </c>
      <c r="F1" s="208" t="s">
        <v>22</v>
      </c>
      <c r="G1" s="209" t="s">
        <v>467</v>
      </c>
      <c r="H1" s="210"/>
    </row>
    <row r="2" spans="1:8" ht="12.75">
      <c r="A2" s="211" t="s">
        <v>466</v>
      </c>
      <c r="B2" s="212"/>
      <c r="C2" s="213" t="s">
        <v>34</v>
      </c>
      <c r="D2" s="214"/>
      <c r="E2" s="215" t="s">
        <v>23</v>
      </c>
      <c r="F2" s="216" t="s">
        <v>23</v>
      </c>
      <c r="G2" s="183" t="s">
        <v>468</v>
      </c>
      <c r="H2" s="217"/>
    </row>
    <row r="3" spans="1:8" ht="12.75">
      <c r="A3" s="211" t="s">
        <v>48</v>
      </c>
      <c r="B3" s="218"/>
      <c r="C3" s="219"/>
      <c r="D3" s="214"/>
      <c r="E3" s="137" t="s">
        <v>20</v>
      </c>
      <c r="F3" s="220" t="s">
        <v>20</v>
      </c>
      <c r="G3" s="137"/>
      <c r="H3" s="217"/>
    </row>
    <row r="4" spans="1:8" ht="12.75">
      <c r="A4" s="221" t="s">
        <v>40</v>
      </c>
      <c r="B4" s="222"/>
      <c r="C4" s="219"/>
      <c r="D4" s="214"/>
      <c r="E4" s="137" t="s">
        <v>248</v>
      </c>
      <c r="F4" s="220" t="s">
        <v>21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29">
        <f>REGINFO!B6</f>
        <v>365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254</v>
      </c>
      <c r="B10" s="429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24</v>
      </c>
      <c r="D12" s="214"/>
      <c r="E12" s="219" t="s">
        <v>24</v>
      </c>
      <c r="F12" s="220"/>
      <c r="G12" s="219" t="s">
        <v>24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29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v>717039</v>
      </c>
      <c r="D16" s="17"/>
      <c r="E16" s="267">
        <f>G16-C16</f>
        <v>150918</v>
      </c>
      <c r="F16" s="3"/>
      <c r="G16" s="267">
        <f>TAXREC!E50</f>
        <v>867957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30609</v>
      </c>
      <c r="F20" s="6"/>
      <c r="G20" s="267">
        <f>TAXREC!E61</f>
        <v>694112</v>
      </c>
      <c r="H20" s="151"/>
    </row>
    <row r="21" spans="1:8" ht="12.75">
      <c r="A21" s="158" t="s">
        <v>55</v>
      </c>
      <c r="B21" s="127">
        <v>3</v>
      </c>
      <c r="C21" s="261"/>
      <c r="D21" s="18"/>
      <c r="E21" s="267">
        <f>G21-C21</f>
        <v>123643</v>
      </c>
      <c r="F21" s="6"/>
      <c r="G21" s="267">
        <f>TAXREC!E62</f>
        <v>123643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52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158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157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156</v>
      </c>
      <c r="B29" s="127">
        <v>6</v>
      </c>
      <c r="C29" s="261"/>
      <c r="D29" s="18"/>
      <c r="E29" s="267">
        <f>G29-C29</f>
        <v>725</v>
      </c>
      <c r="F29" s="6"/>
      <c r="G29" s="267">
        <f>TAXREC!E68</f>
        <v>725</v>
      </c>
      <c r="H29" s="151"/>
    </row>
    <row r="30" spans="1:8" ht="15.75">
      <c r="A30" s="484" t="s">
        <v>397</v>
      </c>
      <c r="B30" s="127"/>
      <c r="C30" s="259"/>
      <c r="D30" s="18"/>
      <c r="E30" s="267">
        <f>G30-C30</f>
        <v>504672</v>
      </c>
      <c r="F30" s="6"/>
      <c r="G30" s="267">
        <f>TAXREC!E66</f>
        <v>504672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1">
        <v>453968</v>
      </c>
      <c r="D33" s="132"/>
      <c r="E33" s="267">
        <f aca="true" t="shared" si="0" ref="E33:E42">G33-C33</f>
        <v>427515</v>
      </c>
      <c r="F33" s="6"/>
      <c r="G33" s="267">
        <f>TAXREC!E97+TAXREC!E98</f>
        <v>881483</v>
      </c>
      <c r="H33" s="151"/>
    </row>
    <row r="34" spans="1:8" ht="12.75">
      <c r="A34" s="158" t="s">
        <v>56</v>
      </c>
      <c r="B34" s="127">
        <v>8</v>
      </c>
      <c r="C34" s="261"/>
      <c r="D34" s="132"/>
      <c r="E34" s="267">
        <f t="shared" si="0"/>
        <v>34846</v>
      </c>
      <c r="F34" s="6"/>
      <c r="G34" s="267">
        <f>TAXREC!E99</f>
        <v>34846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0">
        <v>303475</v>
      </c>
      <c r="D37" s="132"/>
      <c r="E37" s="267">
        <f t="shared" si="0"/>
        <v>-214096</v>
      </c>
      <c r="F37" s="6"/>
      <c r="G37" s="267">
        <f>TAXREC!E51</f>
        <v>89379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183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1"/>
      <c r="D47" s="132"/>
      <c r="E47" s="267">
        <f>G47-C47</f>
        <v>826</v>
      </c>
      <c r="F47" s="6"/>
      <c r="G47" s="251">
        <f>TAXREC!E111</f>
        <v>826</v>
      </c>
      <c r="H47" s="151"/>
    </row>
    <row r="48" spans="1:8" ht="15.75">
      <c r="A48" s="484" t="s">
        <v>397</v>
      </c>
      <c r="B48" s="127"/>
      <c r="C48" s="259"/>
      <c r="D48" s="132"/>
      <c r="E48" s="267">
        <f>G48-C48</f>
        <v>24750</v>
      </c>
      <c r="F48" s="6"/>
      <c r="G48" s="251">
        <f>TAXREC!E108</f>
        <v>24750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623099</v>
      </c>
      <c r="D50" s="102"/>
      <c r="E50" s="263">
        <f>E16+SUM(E20:E30)-SUM(E33:E48)</f>
        <v>536726</v>
      </c>
      <c r="F50" s="431" t="s">
        <v>369</v>
      </c>
      <c r="G50" s="263">
        <f>G16+SUM(G20:G30)-SUM(G33:G48)</f>
        <v>1159825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v>0.3862</v>
      </c>
      <c r="D53" s="102"/>
      <c r="E53" s="268">
        <f>+G53-C53</f>
        <v>0</v>
      </c>
      <c r="F53" s="114"/>
      <c r="G53" s="473">
        <f>TAXREC!E151</f>
        <v>0.3862</v>
      </c>
      <c r="H53" s="151"/>
      <c r="I53" s="470" t="s">
        <v>477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240640.8338</v>
      </c>
      <c r="D55" s="102"/>
      <c r="E55" s="267">
        <f>G55-C55</f>
        <v>-224394.8338</v>
      </c>
      <c r="F55" s="431" t="s">
        <v>370</v>
      </c>
      <c r="G55" s="264">
        <f>TAXREC!E144</f>
        <v>16246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31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240640.8338</v>
      </c>
      <c r="D60" s="133"/>
      <c r="E60" s="269">
        <f>+E55-E58</f>
        <v>-224394.8338</v>
      </c>
      <c r="F60" s="431" t="s">
        <v>370</v>
      </c>
      <c r="G60" s="269">
        <f>+G55-G58</f>
        <v>16246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5"/>
      <c r="H66" s="151"/>
      <c r="I66" s="476" t="s">
        <v>478</v>
      </c>
    </row>
    <row r="67" spans="1:10" ht="12.75">
      <c r="A67" s="152" t="s">
        <v>362</v>
      </c>
      <c r="B67" s="125">
        <v>16</v>
      </c>
      <c r="C67" s="260">
        <f>IF(C66&gt;0,'Tax Rates'!C21,0)</f>
        <v>5000000</v>
      </c>
      <c r="D67" s="102"/>
      <c r="E67" s="267">
        <f>G67-C67</f>
        <v>-5000000</v>
      </c>
      <c r="F67" s="6"/>
      <c r="G67" s="475">
        <v>0</v>
      </c>
      <c r="H67" s="151"/>
      <c r="I67" s="476" t="s">
        <v>478</v>
      </c>
      <c r="J67" s="477" t="s">
        <v>479</v>
      </c>
    </row>
    <row r="68" spans="1:8" ht="12.75">
      <c r="A68" s="152" t="s">
        <v>41</v>
      </c>
      <c r="B68" s="125"/>
      <c r="C68" s="264">
        <f>IF((C66-C67)&gt;0,C66-C67,0)</f>
        <v>6068045</v>
      </c>
      <c r="D68" s="102"/>
      <c r="E68" s="267">
        <f>SUM(E66:E67)</f>
        <v>-16068045</v>
      </c>
      <c r="F68" s="114"/>
      <c r="G68" s="264">
        <f>G66-G67</f>
        <v>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18204.135000000002</v>
      </c>
      <c r="D72" s="101"/>
      <c r="E72" s="267">
        <f>+G72-C72</f>
        <v>-18204.135000000002</v>
      </c>
      <c r="F72" s="478" t="s">
        <v>480</v>
      </c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5"/>
      <c r="H75" s="151"/>
      <c r="I75" s="476" t="s">
        <v>478</v>
      </c>
    </row>
    <row r="76" spans="1:9" ht="12.75">
      <c r="A76" s="152" t="s">
        <v>362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76" t="s">
        <v>478</v>
      </c>
    </row>
    <row r="77" spans="1:8" ht="12.75">
      <c r="A77" s="152" t="s">
        <v>41</v>
      </c>
      <c r="B77" s="125"/>
      <c r="C77" s="264">
        <f>IF((C75-C76)&gt;0,C75-C76,0)</f>
        <v>1068045</v>
      </c>
      <c r="D77" s="19"/>
      <c r="E77" s="267">
        <f>SUM(E75:E76)</f>
        <v>-11068045</v>
      </c>
      <c r="F77" s="114"/>
      <c r="G77" s="264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2403.1012499999997</v>
      </c>
      <c r="D81" s="102"/>
      <c r="E81" s="267">
        <f>+G81-C81</f>
        <v>-24903.10125</v>
      </c>
      <c r="F81" s="6"/>
      <c r="G81" s="264">
        <f>G77*G79*B9/B10</f>
        <v>-22500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6978.7088</v>
      </c>
      <c r="D82" s="102"/>
      <c r="E82" s="267">
        <f>+G82-C82</f>
        <v>-6978.7088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IF(C81-C82&lt;0,0,C81-C82)</f>
        <v>0</v>
      </c>
      <c r="D84" s="16"/>
      <c r="E84" s="267">
        <f>E81-E82</f>
        <v>-17924.39245</v>
      </c>
      <c r="F84" s="103"/>
      <c r="G84" s="264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392050.88595633756</v>
      </c>
      <c r="D90" s="20"/>
      <c r="E90" s="139"/>
      <c r="F90" s="430" t="s">
        <v>491</v>
      </c>
      <c r="G90" s="270">
        <f>TAXREC!E156</f>
        <v>16246</v>
      </c>
      <c r="H90" s="151"/>
    </row>
    <row r="91" spans="1:8" ht="12.75">
      <c r="A91" s="158" t="s">
        <v>372</v>
      </c>
      <c r="B91" s="127">
        <v>23</v>
      </c>
      <c r="C91" s="264">
        <f>C84/(1-C88)</f>
        <v>0</v>
      </c>
      <c r="D91" s="20"/>
      <c r="E91" s="139"/>
      <c r="F91" s="430" t="s">
        <v>491</v>
      </c>
      <c r="G91" s="270"/>
      <c r="H91" s="151"/>
    </row>
    <row r="92" spans="1:8" ht="12.75">
      <c r="A92" s="158" t="s">
        <v>350</v>
      </c>
      <c r="B92" s="127">
        <v>24</v>
      </c>
      <c r="C92" s="264">
        <f>C72</f>
        <v>18204.135000000002</v>
      </c>
      <c r="D92" s="20"/>
      <c r="E92" s="139"/>
      <c r="F92" s="430" t="s">
        <v>491</v>
      </c>
      <c r="G92" s="270">
        <f>TAXREC!E157</f>
        <v>28644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492</v>
      </c>
      <c r="B95" s="125">
        <v>25</v>
      </c>
      <c r="C95" s="269">
        <f>SUM(C90:C93)</f>
        <v>410255.02095633757</v>
      </c>
      <c r="D95" s="6"/>
      <c r="E95" s="139"/>
      <c r="F95" s="430" t="s">
        <v>491</v>
      </c>
      <c r="G95" s="413">
        <f>SUM(G90:G94)</f>
        <v>44890</v>
      </c>
      <c r="H95" s="164"/>
    </row>
    <row r="96" spans="1:8" ht="12.75">
      <c r="A96" s="403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348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123643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43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34846</v>
      </c>
      <c r="F109" s="37"/>
      <c r="G109" s="201"/>
      <c r="H109" s="164"/>
    </row>
    <row r="110" spans="1:8" ht="12.75">
      <c r="A110" s="158" t="s">
        <v>44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43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320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4">
        <f>SUM(E102:E107)-SUM(E109:E118)</f>
        <v>88797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229</v>
      </c>
      <c r="E122" s="469">
        <v>0.3166</v>
      </c>
      <c r="F122" s="470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244</v>
      </c>
      <c r="B124" s="127"/>
      <c r="C124" s="112"/>
      <c r="D124" s="3" t="s">
        <v>188</v>
      </c>
      <c r="E124" s="264">
        <f>E120*E122</f>
        <v>28113.1302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4">
        <f>E124-E126</f>
        <v>28113.1302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69">
        <v>0.3054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354</v>
      </c>
      <c r="B132" s="130"/>
      <c r="C132" s="112"/>
      <c r="D132" s="3"/>
      <c r="E132" s="263">
        <f>E128/(1-E130)</f>
        <v>40473.84134753815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233</v>
      </c>
      <c r="B136" s="130"/>
      <c r="C136" s="112"/>
      <c r="D136" s="118" t="s">
        <v>188</v>
      </c>
      <c r="E136" s="302">
        <f>C50</f>
        <v>623099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469">
        <f>E122</f>
        <v>0.3166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188</v>
      </c>
      <c r="E140" s="303">
        <f>IF(E136&gt;0,E136*E138,0)</f>
        <v>197273.1434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188</v>
      </c>
      <c r="E144" s="302">
        <f>E140-E142</f>
        <v>197273.1434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237</v>
      </c>
      <c r="B146" s="130"/>
      <c r="C146" s="112"/>
      <c r="D146" s="118" t="s">
        <v>187</v>
      </c>
      <c r="E146" s="302">
        <f>C60</f>
        <v>240640.8338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188</v>
      </c>
      <c r="E148" s="302">
        <f>E144-E146</f>
        <v>-43367.69039999999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19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16</v>
      </c>
      <c r="B151" s="130"/>
      <c r="C151" s="112"/>
      <c r="D151" s="119" t="s">
        <v>188</v>
      </c>
      <c r="E151" s="302">
        <f>C66</f>
        <v>11068045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188</v>
      </c>
      <c r="E153" s="302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188</v>
      </c>
      <c r="E157" s="302">
        <f>IF(E153&gt;0,E153*E155*B9/B10,0)</f>
        <v>18204.135000000002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187</v>
      </c>
      <c r="E158" s="305">
        <f>C72</f>
        <v>18204.135000000002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188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187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188</v>
      </c>
      <c r="E164" s="302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2403.1012499999997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187</v>
      </c>
      <c r="E169" s="307">
        <f>IF(E164&gt;0,IF(E144&gt;0,E136*'Tax Rates'!C56,0),0)</f>
        <v>6978.7088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188</v>
      </c>
      <c r="E170" s="302">
        <f>E168-E169</f>
        <v>-4575.607550000001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349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188</v>
      </c>
      <c r="E173" s="474">
        <f>E170-E172</f>
        <v>-4575.607550000001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69">
        <f>E130</f>
        <v>0.3054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186</v>
      </c>
      <c r="E177" s="302">
        <f>E148/(1-E175)</f>
        <v>-62435.488626547645</v>
      </c>
      <c r="F177" s="37"/>
      <c r="G177" s="201"/>
      <c r="H177" s="164"/>
    </row>
    <row r="178" spans="1:8" ht="12.75">
      <c r="A178" s="168" t="s">
        <v>32</v>
      </c>
      <c r="B178" s="130"/>
      <c r="C178" s="112"/>
      <c r="D178" s="119" t="s">
        <v>186</v>
      </c>
      <c r="E178" s="302">
        <f>E173/(1-E175)</f>
        <v>-6587.39929455802</v>
      </c>
      <c r="F178" s="37"/>
      <c r="G178" s="201"/>
      <c r="H178" s="164"/>
    </row>
    <row r="179" spans="1:8" ht="12.75">
      <c r="A179" s="168" t="s">
        <v>19</v>
      </c>
      <c r="B179" s="130"/>
      <c r="C179" s="112"/>
      <c r="D179" s="119" t="s">
        <v>186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188</v>
      </c>
      <c r="E181" s="302">
        <f>SUM(E177:E179)</f>
        <v>-69022.88792110566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347</v>
      </c>
      <c r="B183" s="130"/>
      <c r="C183" s="112"/>
      <c r="D183" s="119" t="s">
        <v>186</v>
      </c>
      <c r="E183" s="302">
        <f>E132</f>
        <v>40473.84134753815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188</v>
      </c>
      <c r="E185" s="302">
        <f>E181+E183</f>
        <v>-28549.04657356751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48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89379</v>
      </c>
      <c r="F201" s="3"/>
      <c r="G201" s="487"/>
      <c r="H201" s="164"/>
    </row>
    <row r="202" spans="1:8" ht="12.75">
      <c r="A202" s="155" t="s">
        <v>345</v>
      </c>
      <c r="B202" s="127"/>
      <c r="C202" s="112"/>
      <c r="D202" s="120"/>
      <c r="E202" s="308">
        <f>REGINFO!D62</f>
        <v>401216.63125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319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97741.280987303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6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8">
        <f>Ratebase*0.0025*REGINFO!D33</f>
        <v>13835.05625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494" t="s">
        <v>502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221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186</v>
      </c>
      <c r="C31" s="285">
        <v>14177688</v>
      </c>
      <c r="D31" s="286"/>
      <c r="E31" s="284">
        <f>C31-D31</f>
        <v>14177688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2837116</v>
      </c>
      <c r="D32" s="286"/>
      <c r="E32" s="284">
        <f>C32-D32</f>
        <v>2837116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550256</v>
      </c>
      <c r="D33" s="286"/>
      <c r="E33" s="284">
        <f>C33-D33</f>
        <v>550256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>
        <v>14177688</v>
      </c>
      <c r="D39" s="286"/>
      <c r="E39" s="284">
        <f>C39-D39</f>
        <v>14177688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>
        <v>680194</v>
      </c>
      <c r="D40" s="286"/>
      <c r="E40" s="284">
        <f aca="true" t="shared" si="0" ref="E40:E48">C40-D40</f>
        <v>680194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5">
        <v>437968</v>
      </c>
      <c r="D41" s="286"/>
      <c r="E41" s="284">
        <f t="shared" si="0"/>
        <v>437968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5">
        <v>703630</v>
      </c>
      <c r="D42" s="286"/>
      <c r="E42" s="284">
        <f t="shared" si="0"/>
        <v>703630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5">
        <v>694112</v>
      </c>
      <c r="D43" s="286"/>
      <c r="E43" s="284">
        <f t="shared" si="0"/>
        <v>694112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95" t="s">
        <v>505</v>
      </c>
      <c r="B45" s="23" t="s">
        <v>187</v>
      </c>
      <c r="C45" s="285">
        <v>3511</v>
      </c>
      <c r="D45" s="286"/>
      <c r="E45" s="284">
        <f t="shared" si="0"/>
        <v>3511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SUM(C31:C35)-SUM(C39:C48)</f>
        <v>867957</v>
      </c>
      <c r="D50" s="281">
        <f>SUM(D31:D36)-SUM(D39:D49)</f>
        <v>0</v>
      </c>
      <c r="E50" s="281">
        <f>SUM(E31:E35)-SUM(E39:E48)</f>
        <v>867957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5">
        <f>-3511+92890</f>
        <v>89379</v>
      </c>
      <c r="D51" s="285"/>
      <c r="E51" s="282">
        <f>+C51-D51</f>
        <v>89379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>
        <v>306000</v>
      </c>
      <c r="D52" s="285"/>
      <c r="E52" s="283">
        <f>+C52-D52</f>
        <v>306000</v>
      </c>
      <c r="F52" s="8"/>
    </row>
    <row r="53" spans="1:6" ht="12.75">
      <c r="A53" s="2" t="s">
        <v>130</v>
      </c>
      <c r="B53" s="8" t="s">
        <v>188</v>
      </c>
      <c r="C53" s="281">
        <f>C50-C51-C52</f>
        <v>472578</v>
      </c>
      <c r="D53" s="281">
        <f>D50-D51-D52</f>
        <v>0</v>
      </c>
      <c r="E53" s="281">
        <f>E50-E51-E52</f>
        <v>472578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186</v>
      </c>
      <c r="C59" s="287">
        <f>C52</f>
        <v>306000</v>
      </c>
      <c r="D59" s="287">
        <f>D52</f>
        <v>0</v>
      </c>
      <c r="E59" s="272">
        <f>+C59-D59</f>
        <v>306000</v>
      </c>
      <c r="F59" s="8"/>
    </row>
    <row r="60" spans="1:6" ht="12.75">
      <c r="A60" s="4" t="s">
        <v>327</v>
      </c>
      <c r="B60" s="8" t="s">
        <v>186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186</v>
      </c>
      <c r="C61" s="479">
        <f>C43</f>
        <v>694112</v>
      </c>
      <c r="D61" s="287">
        <f>D43</f>
        <v>0</v>
      </c>
      <c r="E61" s="272">
        <f>+C61-D61</f>
        <v>694112</v>
      </c>
      <c r="F61" s="8"/>
      <c r="G61" s="415"/>
    </row>
    <row r="62" spans="1:6" ht="12.75">
      <c r="A62" t="s">
        <v>6</v>
      </c>
      <c r="B62" s="8" t="s">
        <v>186</v>
      </c>
      <c r="C62" s="317">
        <v>123643</v>
      </c>
      <c r="D62" s="287">
        <v>0</v>
      </c>
      <c r="E62" s="272">
        <f>+C62-D62</f>
        <v>123643</v>
      </c>
      <c r="F62" s="8"/>
    </row>
    <row r="63" spans="1:6" ht="12.75">
      <c r="A63" s="31" t="s">
        <v>277</v>
      </c>
      <c r="B63" s="8" t="s">
        <v>186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446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7" t="s">
        <v>397</v>
      </c>
      <c r="B66" s="8"/>
      <c r="C66" s="446">
        <f>'TAXREC 3 No True-up'!C47</f>
        <v>504672</v>
      </c>
      <c r="D66" s="446">
        <f>'TAXREC 3 No True-up'!D47</f>
        <v>0</v>
      </c>
      <c r="E66" s="272">
        <f>+C66-D66</f>
        <v>504672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725</v>
      </c>
      <c r="D68" s="251">
        <f>'TAXREC 2'!D78</f>
        <v>0</v>
      </c>
      <c r="E68" s="272">
        <f>+C68-D68</f>
        <v>725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1629152</v>
      </c>
      <c r="D70" s="272">
        <f>SUM(D59:D68)</f>
        <v>0</v>
      </c>
      <c r="E70" s="272">
        <f>SUM(E59:E68)</f>
        <v>1629152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485</v>
      </c>
      <c r="B76" s="8" t="s">
        <v>186</v>
      </c>
      <c r="C76" s="480"/>
      <c r="D76" s="294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188</v>
      </c>
      <c r="C82" s="251">
        <f>C70+C80</f>
        <v>1629152</v>
      </c>
      <c r="D82" s="251">
        <f>D70+D80</f>
        <v>0</v>
      </c>
      <c r="E82" s="251">
        <f>E70+E80</f>
        <v>1629152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294">
        <v>825120</v>
      </c>
      <c r="D97" s="294"/>
      <c r="E97" s="272">
        <f>+C97-D97</f>
        <v>825120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89">
        <v>56363</v>
      </c>
      <c r="D98" s="294"/>
      <c r="E98" s="272">
        <f>+C98-D98</f>
        <v>56363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>
        <v>34846</v>
      </c>
      <c r="D99" s="294"/>
      <c r="E99" s="272">
        <f>+C99-D99</f>
        <v>34846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397</v>
      </c>
      <c r="B108" s="8"/>
      <c r="C108" s="254">
        <f>'TAXREC 3 No True-up'!C73</f>
        <v>24750</v>
      </c>
      <c r="D108" s="254">
        <f>'TAXREC 3 No True-up'!D73</f>
        <v>0</v>
      </c>
      <c r="E108" s="272">
        <f t="shared" si="5"/>
        <v>24750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826</v>
      </c>
      <c r="D111" s="251">
        <f>'TAXREC 2'!D120</f>
        <v>0</v>
      </c>
      <c r="E111" s="251">
        <f>'TAXREC 2'!E120</f>
        <v>826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941905</v>
      </c>
      <c r="D113" s="251">
        <f>SUM(D97:D111)</f>
        <v>0</v>
      </c>
      <c r="E113" s="251">
        <f>SUM(E97:E111)</f>
        <v>941905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/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188</v>
      </c>
      <c r="C122" s="251">
        <f>C113+C120</f>
        <v>941905</v>
      </c>
      <c r="D122" s="251">
        <f>D113+D120</f>
        <v>0</v>
      </c>
      <c r="E122" s="251">
        <f>+E113+E120</f>
        <v>941905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1159825</v>
      </c>
      <c r="J133" s="45"/>
      <c r="K133" s="45"/>
    </row>
    <row r="134" spans="1:11" ht="12.75">
      <c r="A134" s="13" t="s">
        <v>80</v>
      </c>
      <c r="B134" s="8" t="s">
        <v>188</v>
      </c>
      <c r="C134" s="251">
        <f>+C53+C82-C122</f>
        <v>1159825</v>
      </c>
      <c r="D134" s="251">
        <f>D53+D82-D122</f>
        <v>0</v>
      </c>
      <c r="E134" s="251">
        <f>E53+E82-E122</f>
        <v>1159825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86">
        <f>I133-I134</f>
        <v>-386969</v>
      </c>
      <c r="J135" s="45" t="s">
        <v>312</v>
      </c>
      <c r="K135" s="45"/>
    </row>
    <row r="136" spans="1:11" ht="12.75">
      <c r="A136" s="12" t="s">
        <v>377</v>
      </c>
      <c r="B136" s="8" t="s">
        <v>187</v>
      </c>
      <c r="C136" s="294">
        <v>151845</v>
      </c>
      <c r="D136" s="294"/>
      <c r="E136" s="264">
        <f>C136-D136</f>
        <v>151845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187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2">
        <f>C134-C136-C137-C138</f>
        <v>1007980</v>
      </c>
      <c r="D139" s="252">
        <f>D134-D136-D137-D138</f>
        <v>0</v>
      </c>
      <c r="E139" s="252">
        <f>E134-E136-E137-E138</f>
        <v>1007980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186</v>
      </c>
      <c r="C142" s="298"/>
      <c r="D142" s="298"/>
      <c r="E142" s="252">
        <f>C142-D142</f>
        <v>0</v>
      </c>
      <c r="F142" s="8"/>
      <c r="G142" s="45" t="s">
        <v>498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186</v>
      </c>
      <c r="C143" s="298">
        <v>16246</v>
      </c>
      <c r="D143" s="298"/>
      <c r="E143" s="292">
        <f>C143-D143</f>
        <v>16246</v>
      </c>
      <c r="F143" s="8"/>
      <c r="G143" s="45" t="s">
        <v>498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16246</v>
      </c>
      <c r="D144" s="252">
        <f>D142+D143</f>
        <v>0</v>
      </c>
      <c r="E144" s="252">
        <f>E142+E143</f>
        <v>16246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2">
        <f>C144-C145</f>
        <v>16246</v>
      </c>
      <c r="D146" s="252">
        <f>D144-D145</f>
        <v>0</v>
      </c>
      <c r="E146" s="252">
        <f>E144-E145</f>
        <v>16246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 t="s">
        <v>472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 t="s">
        <v>473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0.3862</v>
      </c>
      <c r="D151" s="485" t="s">
        <v>493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490</v>
      </c>
      <c r="B155" s="8"/>
    </row>
    <row r="156" spans="1:5" ht="12.75">
      <c r="A156" t="s">
        <v>218</v>
      </c>
      <c r="B156" s="86" t="s">
        <v>186</v>
      </c>
      <c r="C156" s="251">
        <f>C146</f>
        <v>16246</v>
      </c>
      <c r="D156" s="251">
        <f>D146</f>
        <v>0</v>
      </c>
      <c r="E156" s="251">
        <f>E146</f>
        <v>16246</v>
      </c>
    </row>
    <row r="157" spans="1:5" ht="12.75">
      <c r="A157" t="s">
        <v>19</v>
      </c>
      <c r="B157" s="86" t="s">
        <v>186</v>
      </c>
      <c r="C157" s="482">
        <v>28644</v>
      </c>
      <c r="D157" s="251"/>
      <c r="E157" s="251">
        <f>C157+D157</f>
        <v>28644</v>
      </c>
    </row>
    <row r="158" spans="1:5" ht="12.75">
      <c r="A158" t="s">
        <v>217</v>
      </c>
      <c r="B158" s="86" t="s">
        <v>186</v>
      </c>
      <c r="C158" s="482">
        <v>11648</v>
      </c>
      <c r="D158" s="251"/>
      <c r="E158" s="251">
        <f>C158+D158</f>
        <v>11648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1">
        <f>C156+C157+C158</f>
        <v>56538</v>
      </c>
      <c r="D160" s="251">
        <f>D156+D157+D158</f>
        <v>0</v>
      </c>
      <c r="E160" s="251">
        <f>E156+E157+E158</f>
        <v>56538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0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/>
      <c r="D44" s="294"/>
      <c r="E44" s="251">
        <f t="shared" si="2"/>
        <v>0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451</v>
      </c>
      <c r="B47" s="61"/>
      <c r="C47" s="294"/>
      <c r="D47" s="294"/>
      <c r="E47" s="251">
        <f t="shared" si="2"/>
        <v>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/>
      <c r="D56" s="294"/>
      <c r="E56" s="251">
        <f t="shared" si="3"/>
        <v>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451</v>
      </c>
      <c r="B59" s="61"/>
      <c r="C59" s="294"/>
      <c r="D59" s="294"/>
      <c r="E59" s="251">
        <f t="shared" si="3"/>
        <v>0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8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93" sqref="A9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469</v>
      </c>
      <c r="B5" s="8"/>
      <c r="C5" s="8" t="s">
        <v>2</v>
      </c>
      <c r="D5" s="8"/>
      <c r="E5" s="8"/>
      <c r="F5" s="8"/>
    </row>
    <row r="6" spans="1:6" ht="12.75">
      <c r="A6" s="415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2">
        <f>C17-D17</f>
        <v>0</v>
      </c>
    </row>
    <row r="18" spans="1:5" ht="12.75">
      <c r="A18" s="67" t="s">
        <v>251</v>
      </c>
      <c r="B18" t="s">
        <v>186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186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7"/>
      <c r="B22" t="s">
        <v>186</v>
      </c>
      <c r="C22" s="295"/>
      <c r="D22" s="295"/>
      <c r="E22" s="312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7" t="s">
        <v>252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2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2">
        <f t="shared" si="0"/>
        <v>0</v>
      </c>
    </row>
    <row r="36" spans="1:5" ht="12.75">
      <c r="A36" s="67" t="s">
        <v>483</v>
      </c>
      <c r="B36" t="s">
        <v>186</v>
      </c>
      <c r="C36" s="295"/>
      <c r="D36" s="295"/>
      <c r="E36" s="312">
        <f t="shared" si="0"/>
        <v>0</v>
      </c>
    </row>
    <row r="37" spans="1:5" ht="12.75">
      <c r="A37" s="67"/>
      <c r="B37" t="s">
        <v>186</v>
      </c>
      <c r="C37" s="295"/>
      <c r="D37" s="295"/>
      <c r="E37" s="312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490" t="s">
        <v>500</v>
      </c>
      <c r="B41" t="s">
        <v>186</v>
      </c>
      <c r="C41" s="294">
        <v>725</v>
      </c>
      <c r="D41" s="294"/>
      <c r="E41" s="251">
        <f t="shared" si="0"/>
        <v>725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725</v>
      </c>
      <c r="D46" s="251">
        <f>SUM(D17:D45)</f>
        <v>0</v>
      </c>
      <c r="E46" s="251">
        <f>SUM(E17:E45)</f>
        <v>725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IF($E20&gt;$C$11,$A$20,"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4">
        <f>C46-C77</f>
        <v>725</v>
      </c>
      <c r="D78" s="314">
        <f>D46-D77</f>
        <v>0</v>
      </c>
      <c r="E78" s="314">
        <f>E46-E77</f>
        <v>725</v>
      </c>
    </row>
    <row r="79" spans="1:5" ht="12.75">
      <c r="A79" s="276" t="s">
        <v>169</v>
      </c>
      <c r="B79" s="277"/>
      <c r="C79" s="314">
        <f>C77+C78</f>
        <v>725</v>
      </c>
      <c r="D79" s="314">
        <f>D77+D78</f>
        <v>0</v>
      </c>
      <c r="E79" s="314">
        <f>E77+E78</f>
        <v>725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187</v>
      </c>
      <c r="C87" s="294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1:5" ht="12.75">
      <c r="A92" s="490" t="s">
        <v>504</v>
      </c>
      <c r="B92" s="8" t="s">
        <v>187</v>
      </c>
      <c r="C92" s="294"/>
      <c r="D92" s="294"/>
      <c r="E92" s="251">
        <f t="shared" si="5"/>
        <v>0</v>
      </c>
    </row>
    <row r="93" spans="1:5" ht="12.75">
      <c r="A93" s="6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67" t="s">
        <v>484</v>
      </c>
      <c r="B96" s="8" t="s">
        <v>187</v>
      </c>
      <c r="C96" s="294"/>
      <c r="D96" s="294"/>
      <c r="E96" s="251">
        <f t="shared" si="5"/>
        <v>0</v>
      </c>
    </row>
    <row r="97" spans="1:5" ht="12.75">
      <c r="A97" s="490" t="s">
        <v>501</v>
      </c>
      <c r="B97" s="8" t="s">
        <v>187</v>
      </c>
      <c r="C97" s="294">
        <v>826</v>
      </c>
      <c r="D97" s="294"/>
      <c r="E97" s="251">
        <f t="shared" si="5"/>
        <v>826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826</v>
      </c>
      <c r="D99" s="251">
        <f>SUM(D82:D98)</f>
        <v>0</v>
      </c>
      <c r="E99" s="251">
        <f>SUM(E82:E98)</f>
        <v>826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826</v>
      </c>
      <c r="D120" s="251">
        <f>D99-D119</f>
        <v>0</v>
      </c>
      <c r="E120" s="251">
        <f>E99-E119</f>
        <v>826</v>
      </c>
    </row>
    <row r="121" spans="1:5" ht="12.75">
      <c r="A121" s="278" t="s">
        <v>170</v>
      </c>
      <c r="B121" s="273"/>
      <c r="C121" s="251">
        <f>C119+C120</f>
        <v>826</v>
      </c>
      <c r="D121" s="251">
        <f>D119+D120</f>
        <v>0</v>
      </c>
      <c r="E121" s="251">
        <f>E119+E120</f>
        <v>826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1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387</v>
      </c>
      <c r="E3" s="92"/>
    </row>
    <row r="4" spans="1:6" ht="15.75">
      <c r="A4" s="464" t="s">
        <v>448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6" t="s">
        <v>388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186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186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7" t="s">
        <v>435</v>
      </c>
      <c r="B32" t="s">
        <v>186</v>
      </c>
      <c r="C32" s="295">
        <v>657</v>
      </c>
      <c r="D32" s="295"/>
      <c r="E32" s="312">
        <f t="shared" si="0"/>
        <v>657</v>
      </c>
    </row>
    <row r="33" spans="1:5" ht="12.75">
      <c r="A33" s="67" t="s">
        <v>436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>
        <v>25</v>
      </c>
      <c r="D35" s="295"/>
      <c r="E35" s="312">
        <f t="shared" si="0"/>
        <v>25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186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186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186</v>
      </c>
      <c r="C41" s="295">
        <v>503990</v>
      </c>
      <c r="D41" s="295"/>
      <c r="E41" s="312">
        <f t="shared" si="0"/>
        <v>503990</v>
      </c>
    </row>
    <row r="42" spans="2:5" ht="12.75">
      <c r="B42" t="s">
        <v>186</v>
      </c>
      <c r="C42" s="295"/>
      <c r="D42" s="295"/>
      <c r="E42" s="312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2">
        <f t="shared" si="0"/>
        <v>0</v>
      </c>
    </row>
    <row r="44" spans="2:5" ht="12.75">
      <c r="B44" t="s">
        <v>186</v>
      </c>
      <c r="C44" s="294"/>
      <c r="D44" s="294"/>
      <c r="E44" s="251">
        <f t="shared" si="0"/>
        <v>0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9" t="s">
        <v>399</v>
      </c>
      <c r="B47" t="s">
        <v>188</v>
      </c>
      <c r="C47" s="251">
        <f>SUM(C19:C46)</f>
        <v>504672</v>
      </c>
      <c r="D47" s="251">
        <f>SUM(D19:D46)</f>
        <v>0</v>
      </c>
      <c r="E47" s="251">
        <f>SUM(E19:E46)</f>
        <v>504672</v>
      </c>
    </row>
    <row r="48" ht="12.75">
      <c r="A48" s="67"/>
    </row>
    <row r="49" ht="12.75">
      <c r="A49" s="81" t="s">
        <v>144</v>
      </c>
    </row>
    <row r="51" spans="1:5" ht="12.75">
      <c r="A51" s="71" t="s">
        <v>390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187</v>
      </c>
      <c r="C54" s="294">
        <v>24625</v>
      </c>
      <c r="D54" s="294"/>
      <c r="E54" s="251">
        <f t="shared" si="1"/>
        <v>24625</v>
      </c>
    </row>
    <row r="55" spans="1:5" ht="12.75">
      <c r="A55" s="67" t="s">
        <v>447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187</v>
      </c>
      <c r="C57" s="294">
        <v>125</v>
      </c>
      <c r="D57" s="294"/>
      <c r="E57" s="251">
        <f t="shared" si="1"/>
        <v>125</v>
      </c>
    </row>
    <row r="58" spans="1:5" ht="12.75">
      <c r="A58" s="67" t="s">
        <v>458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2:5" ht="12.75">
      <c r="B60" s="8" t="s">
        <v>187</v>
      </c>
      <c r="C60" s="294"/>
      <c r="D60" s="294"/>
      <c r="E60" s="251">
        <f t="shared" si="1"/>
        <v>0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2:5" ht="12.75">
      <c r="B62" s="8" t="s">
        <v>187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187</v>
      </c>
      <c r="C63" s="294"/>
      <c r="D63" s="294"/>
      <c r="E63" s="251">
        <f t="shared" si="2"/>
        <v>0</v>
      </c>
    </row>
    <row r="64" spans="1:5" ht="12.75">
      <c r="A64" s="468" t="s">
        <v>396</v>
      </c>
      <c r="B64" s="8" t="s">
        <v>187</v>
      </c>
      <c r="C64" s="294"/>
      <c r="D64" s="294"/>
      <c r="E64" s="251">
        <f t="shared" si="2"/>
        <v>0</v>
      </c>
    </row>
    <row r="65" spans="2:5" ht="12.75">
      <c r="B65" s="8" t="s">
        <v>187</v>
      </c>
      <c r="C65" s="294"/>
      <c r="D65" s="294"/>
      <c r="E65" s="251">
        <f t="shared" si="2"/>
        <v>0</v>
      </c>
    </row>
    <row r="66" spans="1:5" ht="12.75">
      <c r="A66" s="468" t="s">
        <v>389</v>
      </c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67"/>
      <c r="B69" s="8" t="s">
        <v>187</v>
      </c>
      <c r="C69" s="294"/>
      <c r="D69" s="294"/>
      <c r="E69" s="251">
        <f t="shared" si="2"/>
        <v>0</v>
      </c>
    </row>
    <row r="70" spans="1:5" ht="12.75">
      <c r="A70" s="67"/>
      <c r="B70" s="8" t="s">
        <v>187</v>
      </c>
      <c r="C70" s="294"/>
      <c r="D70" s="294"/>
      <c r="E70" s="251">
        <f t="shared" si="2"/>
        <v>0</v>
      </c>
    </row>
    <row r="71" spans="1:5" ht="12.75">
      <c r="A71" s="67"/>
      <c r="B71" s="8" t="s">
        <v>187</v>
      </c>
      <c r="C71" s="294"/>
      <c r="D71" s="294"/>
      <c r="E71" s="251">
        <f t="shared" si="2"/>
        <v>0</v>
      </c>
    </row>
    <row r="72" spans="1:5" ht="12.75">
      <c r="A72" s="67"/>
      <c r="B72" s="8" t="s">
        <v>187</v>
      </c>
      <c r="C72" s="294"/>
      <c r="D72" s="294"/>
      <c r="E72" s="279">
        <f t="shared" si="2"/>
        <v>0</v>
      </c>
    </row>
    <row r="73" spans="1:5" ht="12.75">
      <c r="A73" s="448" t="s">
        <v>398</v>
      </c>
      <c r="B73" s="8" t="s">
        <v>188</v>
      </c>
      <c r="C73" s="251">
        <f>SUM(C51:C72)</f>
        <v>24750</v>
      </c>
      <c r="D73" s="251">
        <f>SUM(D51:D72)</f>
        <v>0</v>
      </c>
      <c r="E73" s="251">
        <f>SUM(E51:E72)</f>
        <v>24750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0">
      <selection activeCell="F52" sqref="F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106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495</v>
      </c>
      <c r="B8" s="505"/>
      <c r="C8" s="505"/>
      <c r="D8" s="505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111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471</v>
      </c>
      <c r="B10" s="326"/>
      <c r="C10" s="375" t="s">
        <v>110</v>
      </c>
      <c r="D10" s="375"/>
      <c r="E10" s="375" t="s">
        <v>110</v>
      </c>
      <c r="F10" s="376" t="s">
        <v>496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115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108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109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112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475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476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497</v>
      </c>
      <c r="B23" s="499"/>
      <c r="C23" s="499"/>
      <c r="D23" s="499"/>
      <c r="E23" s="499"/>
      <c r="F23" s="499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489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111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110</v>
      </c>
      <c r="D28" s="369"/>
      <c r="E28" s="369" t="s">
        <v>110</v>
      </c>
      <c r="F28" s="370" t="s">
        <v>496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115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114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28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108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109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112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486</v>
      </c>
      <c r="B39" s="406" t="s">
        <v>475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487</v>
      </c>
      <c r="B40" s="407" t="s">
        <v>476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488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111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110</v>
      </c>
      <c r="D46" s="369"/>
      <c r="E46" s="369" t="s">
        <v>110</v>
      </c>
      <c r="F46" s="370" t="s">
        <v>496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115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114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8">
        <v>0.2612</v>
      </c>
      <c r="I50" s="488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28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8">
        <v>0.125</v>
      </c>
      <c r="I51" s="488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8">
        <f>+H51+H50</f>
        <v>0.3862</v>
      </c>
      <c r="I52" s="488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108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109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112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351</v>
      </c>
      <c r="B57" s="406" t="s">
        <v>475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352</v>
      </c>
      <c r="B58" s="407" t="s">
        <v>476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353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UTILITYNAME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400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442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401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402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40473.84134753815</v>
      </c>
      <c r="N15" s="391"/>
      <c r="O15" s="396">
        <f t="shared" si="0"/>
        <v>40473.84134753815</v>
      </c>
    </row>
    <row r="16" spans="1:15" ht="27" customHeight="1">
      <c r="A16" s="81" t="s">
        <v>403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404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-69022.88792110566</v>
      </c>
      <c r="N17" s="391"/>
      <c r="O17" s="396">
        <f t="shared" si="0"/>
        <v>-69022.88792110566</v>
      </c>
    </row>
    <row r="18" spans="1:15" ht="25.5">
      <c r="A18" s="81" t="s">
        <v>405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406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474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376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-28549.04657356751</v>
      </c>
      <c r="N22" s="390"/>
      <c r="O22" s="450">
        <f>SUM(O11:O20)</f>
        <v>-28549.04657356751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407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408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409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410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411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0"/>
      <c r="Q33" s="420"/>
      <c r="R33" s="420"/>
      <c r="S33" s="420"/>
    </row>
    <row r="34" spans="1:19" ht="12.75">
      <c r="A34" s="508" t="s">
        <v>412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0"/>
      <c r="Q34" s="420"/>
      <c r="R34" s="420"/>
      <c r="S34" s="420"/>
    </row>
    <row r="35" spans="1:19" ht="12.75">
      <c r="A35" s="508" t="s">
        <v>433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0"/>
      <c r="Q35" s="420"/>
      <c r="R35" s="420"/>
      <c r="S35" s="420"/>
    </row>
    <row r="36" spans="1:19" ht="12.75">
      <c r="A36" s="508" t="s">
        <v>413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0"/>
      <c r="Q36" s="420"/>
      <c r="R36" s="420"/>
      <c r="S36" s="420"/>
    </row>
    <row r="37" spans="1:19" ht="12.75">
      <c r="A37" s="437" t="s">
        <v>373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374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415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417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418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419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420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421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422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419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423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424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425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426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427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383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428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429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385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386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430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431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8" t="s">
        <v>462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4" t="s">
        <v>375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