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8.xml><?xml version="1.0" encoding="utf-8"?>
<comments xmlns="http://schemas.openxmlformats.org/spreadsheetml/2006/main">
  <authors>
    <author>Author</author>
  </authors>
  <commentList>
    <comment ref="K13" authorId="0">
      <text>
        <r>
          <rPr>
            <b/>
            <sz val="11"/>
            <rFont val="Tahoma"/>
            <family val="2"/>
          </rPr>
          <t>Author: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<sst xmlns="http://schemas.openxmlformats.org/spreadsheetml/2006/main" count="879" uniqueCount="505">
  <si>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</si>
  <si>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</si>
  <si>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</si>
  <si>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</si>
  <si>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</si>
  <si>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</si>
  <si>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</si>
  <si>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</si>
  <si>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</si>
  <si>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</si>
  <si>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</si>
  <si>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</si>
  <si>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</si>
  <si>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</si>
  <si>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</si>
  <si>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</si>
  <si>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</si>
  <si>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</si>
  <si>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</si>
  <si>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</si>
  <si>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</si>
  <si>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</si>
  <si>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</si>
  <si>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</si>
  <si>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</si>
  <si>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</si>
  <si>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</si>
  <si>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</si>
  <si>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</si>
  <si>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</si>
  <si>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</si>
  <si>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</si>
  <si>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</si>
  <si>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</si>
  <si>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</si>
  <si>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</si>
  <si>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</si>
  <si>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</si>
  <si>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</si>
  <si>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</si>
  <si>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</si>
  <si>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</si>
  <si>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</si>
  <si>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</si>
  <si>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</si>
  <si>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</si>
  <si>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</si>
  <si>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</si>
  <si>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</si>
  <si>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</si>
  <si>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</si>
  <si>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</si>
  <si>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</si>
  <si>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</si>
  <si>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</si>
  <si>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</si>
  <si>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</si>
  <si>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</si>
  <si>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</si>
  <si>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</si>
  <si>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</si>
  <si>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</si>
  <si>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</si>
  <si>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</si>
  <si>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</si>
  <si>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</si>
  <si>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</si>
  <si>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</si>
  <si>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</si>
  <si>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</si>
  <si>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</si>
  <si>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</si>
  <si>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</si>
  <si>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</si>
  <si>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</si>
  <si>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</si>
  <si>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</si>
  <si>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</si>
  <si>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</si>
  <si>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</si>
  <si>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</si>
  <si>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</si>
  <si>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</si>
  <si>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</si>
  <si>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</si>
  <si>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</si>
  <si>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</si>
  <si>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</si>
  <si>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</si>
  <si>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</si>
  <si>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</si>
  <si>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</si>
  <si>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</si>
  <si>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</si>
  <si>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</si>
  <si>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</si>
  <si>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</si>
  <si>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</si>
  <si>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</si>
  <si>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</si>
  <si>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</si>
  <si>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</si>
  <si>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</si>
  <si>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</si>
  <si>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</si>
  <si>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</si>
  <si>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</si>
  <si>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</si>
  <si>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</si>
  <si>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</si>
  <si>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</si>
  <si>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</si>
  <si>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</si>
  <si>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</si>
  <si>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</si>
  <si>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</si>
  <si>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</si>
  <si>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</si>
  <si>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</si>
  <si>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</si>
  <si>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</si>
  <si>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</si>
  <si>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</si>
  <si>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</si>
  <si>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</si>
  <si>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</si>
  <si>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</si>
  <si>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</si>
  <si>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</si>
  <si>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</si>
  <si>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</si>
  <si>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</si>
  <si>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</si>
  <si>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</si>
  <si>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</si>
  <si>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</si>
  <si>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</si>
  <si>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</si>
  <si>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</si>
  <si>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</si>
  <si>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</si>
  <si>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</si>
  <si>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</si>
  <si>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</si>
  <si>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</si>
  <si>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</si>
  <si>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</si>
  <si>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</si>
  <si>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</si>
  <si>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</si>
  <si>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</si>
  <si>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</si>
  <si>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</si>
  <si>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</si>
  <si>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</si>
  <si>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</si>
  <si>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</si>
  <si>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</si>
  <si>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</si>
  <si>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</si>
  <si>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</si>
  <si>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</si>
  <si>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</si>
  <si>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</si>
  <si>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</si>
  <si>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</si>
  <si>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</si>
  <si>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</si>
  <si>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</si>
  <si>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</si>
  <si>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</si>
  <si>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</si>
  <si>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</si>
  <si>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</si>
  <si>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</si>
  <si>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</si>
  <si>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</si>
  <si>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</si>
  <si>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</si>
  <si>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</si>
  <si>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</si>
  <si>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</si>
  <si>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</si>
  <si>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</si>
  <si>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</si>
  <si>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</si>
  <si>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</si>
  <si>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</si>
  <si>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</si>
  <si>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</si>
  <si>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</si>
  <si>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</si>
  <si>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</si>
  <si>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</si>
  <si>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</si>
  <si>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</si>
  <si>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</si>
  <si>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</si>
  <si>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</si>
  <si>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</si>
  <si>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</si>
  <si>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</si>
  <si>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</si>
  <si>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</si>
  <si>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</si>
  <si>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</si>
  <si>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</si>
  <si>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</si>
  <si>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</si>
  <si>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</si>
  <si>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</si>
  <si>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</si>
  <si>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</si>
  <si>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</si>
  <si>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</si>
  <si>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</si>
  <si>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</si>
  <si>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</si>
  <si>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</si>
  <si>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</si>
  <si>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</si>
  <si>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</si>
  <si>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</si>
  <si>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</si>
  <si>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</si>
  <si>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</si>
  <si>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</si>
  <si>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</si>
  <si>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</si>
  <si>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</si>
  <si>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</si>
  <si>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</si>
  <si>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</si>
  <si>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</si>
  <si>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</si>
  <si>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</si>
  <si>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</si>
  <si>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</si>
  <si>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</si>
  <si>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</si>
  <si>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</si>
  <si>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</si>
  <si>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</si>
  <si>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</si>
  <si>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</si>
  <si>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</si>
  <si>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</si>
  <si>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</si>
  <si>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</si>
  <si>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</si>
  <si>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</si>
  <si>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</si>
  <si>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</si>
  <si>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</si>
  <si>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</si>
  <si>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</si>
  <si>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</si>
  <si>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</si>
  <si>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</si>
  <si>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</si>
  <si>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</si>
  <si>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</si>
  <si>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</si>
  <si>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</si>
  <si>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</si>
  <si>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</si>
  <si>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</si>
  <si>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</si>
  <si>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</si>
  <si>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</si>
  <si>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</si>
  <si>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</si>
  <si>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</si>
  <si>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</si>
  <si>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</si>
  <si>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</si>
  <si>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</si>
  <si>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</si>
  <si>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</si>
  <si>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</si>
  <si>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</si>
  <si>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</si>
  <si>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</si>
  <si>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</si>
  <si>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</si>
  <si>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</si>
  <si>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</si>
  <si>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</si>
  <si>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</si>
  <si>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</si>
  <si>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</si>
  <si>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</si>
  <si>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</si>
  <si>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</si>
  <si>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</si>
  <si>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</si>
  <si>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</si>
  <si>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</si>
  <si>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</si>
  <si>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</si>
  <si>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</si>
  <si>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</si>
  <si>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</si>
  <si>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</si>
  <si>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</si>
  <si>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</si>
  <si>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</si>
  <si>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</si>
  <si>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</si>
  <si>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</si>
  <si>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</si>
  <si>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</si>
  <si>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</si>
  <si>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</si>
  <si>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</si>
  <si>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</si>
  <si>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</si>
  <si>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</si>
  <si>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</si>
  <si>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</si>
  <si>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</si>
  <si>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</si>
  <si>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</si>
  <si>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</si>
  <si>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</si>
  <si>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</si>
  <si>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</si>
  <si>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</si>
  <si>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</si>
  <si>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</si>
  <si>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</si>
  <si>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</si>
  <si>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</si>
  <si>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</si>
  <si>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</si>
  <si>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</si>
  <si>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</si>
  <si>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</si>
  <si>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</si>
  <si>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</si>
  <si>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</si>
  <si>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</si>
  <si>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</si>
  <si>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</si>
  <si>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</si>
  <si>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</si>
  <si>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</si>
  <si>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</si>
  <si>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</si>
  <si>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</si>
  <si>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</si>
  <si>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</si>
  <si>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</si>
  <si>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</si>
  <si>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</si>
  <si>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</si>
  <si>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</si>
  <si>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</si>
  <si>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</si>
  <si>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</si>
  <si>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</si>
  <si>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</si>
  <si>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</si>
  <si>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</si>
  <si>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</si>
  <si>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</si>
  <si>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</si>
  <si>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</si>
  <si>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</si>
  <si>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</si>
  <si>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</si>
  <si>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</si>
  <si>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</si>
  <si>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</si>
  <si>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</si>
  <si>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</si>
  <si>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</si>
  <si>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</si>
  <si>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</si>
  <si>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</si>
  <si>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</si>
  <si>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</si>
  <si>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</si>
  <si>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</si>
  <si>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</si>
  <si>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</si>
  <si>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</si>
  <si>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</si>
  <si>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</si>
  <si>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</si>
  <si>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</si>
  <si>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</si>
  <si>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</si>
  <si>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</si>
  <si>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</si>
  <si>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</si>
  <si>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</si>
  <si>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</si>
  <si>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</si>
  <si>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</si>
  <si>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</si>
  <si>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</si>
  <si>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</si>
  <si>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</si>
  <si>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</si>
  <si>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</si>
  <si>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</si>
  <si>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</si>
  <si>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</si>
  <si>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</si>
  <si>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</si>
  <si>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</si>
  <si>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</si>
  <si>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</si>
  <si>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</si>
  <si>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</si>
  <si>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</si>
  <si>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</si>
  <si>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</si>
  <si>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</si>
  <si>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</si>
  <si>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</si>
  <si>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</si>
  <si>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</si>
  <si>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</si>
  <si>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</si>
  <si>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</si>
  <si>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</si>
  <si>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</si>
  <si>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</si>
  <si>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</si>
  <si>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</si>
  <si>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</si>
  <si>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</si>
  <si>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</si>
  <si>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</si>
  <si>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</si>
  <si>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</si>
  <si>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</si>
  <si>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</si>
  <si>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</si>
  <si>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</si>
  <si>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</si>
  <si>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</si>
  <si>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</si>
  <si>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</si>
  <si>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</si>
  <si>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</si>
  <si>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</si>
  <si>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</si>
  <si>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</si>
  <si>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</si>
  <si>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</si>
  <si>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</si>
  <si>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</si>
  <si>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</si>
  <si>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</si>
  <si>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</si>
  <si>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</si>
  <si>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</si>
  <si>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</si>
  <si>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</si>
  <si>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</si>
  <si>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</si>
  <si>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</si>
  <si>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</si>
  <si>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</si>
  <si>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</si>
  <si>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</si>
  <si>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</si>
  <si>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</si>
  <si>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</si>
  <si>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</si>
  <si>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</si>
  <si>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</si>
  <si>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</si>
  <si>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</si>
  <si>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</si>
  <si>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</si>
  <si>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</si>
  <si>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</si>
  <si>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</si>
  <si>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</si>
  <si>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</si>
  <si>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</si>
  <si>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</si>
  <si>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</si>
  <si>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</si>
  <si>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</si>
  <si>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</si>
  <si>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</si>
  <si>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</si>
  <si>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</si>
  <si>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</si>
  <si>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</si>
  <si>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</si>
  <si>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</si>
  <si>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  UTILITYNAME</t>
  </si>
  <si>
    <t>ENNERCONNECT LIMITED PARTNERSHIP INCOME</t>
  </si>
  <si>
    <t>Employee future benefits</t>
  </si>
  <si>
    <t>Taxable dividends under 112</t>
  </si>
  <si>
    <t>Y</t>
  </si>
  <si>
    <t>N</t>
  </si>
  <si>
    <t>Ennerconnect loss</t>
  </si>
  <si>
    <t xml:space="preserve">     Interest on customer deposits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</si>
</sst>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42" borderId="0" xfId="63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8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441</v>
      </c>
      <c r="E4" s="429"/>
      <c r="H4" s="8"/>
    </row>
    <row r="5" spans="1:8" ht="12.75">
      <c r="A5" s="52"/>
      <c r="C5" s="8"/>
      <c r="D5" s="453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502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9" t="s">
        <v>315</v>
      </c>
      <c r="B19" s="8" t="s">
        <v>312</v>
      </c>
      <c r="C19" s="8" t="s">
        <v>64</v>
      </c>
      <c r="D19" s="389" t="s">
        <v>502</v>
      </c>
    </row>
    <row r="20" spans="1:4" ht="13.5" thickBot="1">
      <c r="A20" s="500"/>
      <c r="B20" s="8" t="s">
        <v>313</v>
      </c>
      <c r="C20" s="8" t="s">
        <v>64</v>
      </c>
      <c r="D20" s="258" t="s">
        <v>502</v>
      </c>
    </row>
    <row r="21" spans="1:4" ht="12.75">
      <c r="A21" s="499" t="s">
        <v>311</v>
      </c>
      <c r="B21" s="8" t="s">
        <v>312</v>
      </c>
      <c r="C21" s="8"/>
      <c r="D21" s="424">
        <v>1</v>
      </c>
    </row>
    <row r="22" spans="1:4" ht="12.75">
      <c r="A22" s="499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11068045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947978.05425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230939</v>
      </c>
      <c r="E47" s="388">
        <f aca="true" t="shared" si="0" ref="E47:E53">D47</f>
        <v>230939</v>
      </c>
      <c r="H47" s="40"/>
      <c r="J47" s="5"/>
      <c r="K47" s="5"/>
    </row>
    <row r="48" spans="1:11" ht="12.75">
      <c r="A48" t="s">
        <v>289</v>
      </c>
      <c r="D48" s="427">
        <v>230939</v>
      </c>
      <c r="E48" s="388">
        <f>D48</f>
        <v>230939</v>
      </c>
      <c r="F48" s="22"/>
      <c r="H48" s="40"/>
      <c r="J48" s="5"/>
      <c r="K48" s="5"/>
    </row>
    <row r="49" spans="1:11" ht="12.75">
      <c r="A49" t="s">
        <v>290</v>
      </c>
      <c r="D49" s="428">
        <v>230939</v>
      </c>
      <c r="E49" s="388">
        <f>D49</f>
        <v>230939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C51" s="494"/>
      <c r="D51" s="429"/>
      <c r="E51" s="388"/>
      <c r="G51" s="3"/>
      <c r="H51" s="40"/>
      <c r="J51" s="5"/>
      <c r="K51" s="5"/>
    </row>
    <row r="52" spans="1:11" ht="12.75">
      <c r="A52" t="s">
        <v>461</v>
      </c>
      <c r="D52" s="429"/>
      <c r="E52" s="388"/>
      <c r="G52" s="493"/>
      <c r="H52" s="40"/>
      <c r="J52" s="5"/>
      <c r="K52" s="5"/>
    </row>
    <row r="53" spans="4:11" ht="12.75">
      <c r="D53" s="429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292</v>
      </c>
      <c r="E54" s="254">
        <f>SUM(E43:E53)</f>
        <v>692817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97741.25802685347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195482.51605370693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195482.51605370693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F153">
      <selection activeCell="P184" sqref="P18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 UTILITYNAME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9">
        <v>1028724</v>
      </c>
      <c r="D16" s="17"/>
      <c r="E16" s="267">
        <f>G16-C16</f>
        <v>656735</v>
      </c>
      <c r="F16" s="3"/>
      <c r="G16" s="267">
        <f>TAXREC!E50</f>
        <v>1685459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-16690</v>
      </c>
      <c r="F20" s="6"/>
      <c r="G20" s="267">
        <f>TAXREC!E61</f>
        <v>646813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38603</v>
      </c>
      <c r="F21" s="6"/>
      <c r="G21" s="267">
        <f>TAXREC!E62</f>
        <v>38603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264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1218</v>
      </c>
      <c r="F29" s="6"/>
      <c r="G29" s="267">
        <f>TAXREC!E68</f>
        <v>1218</v>
      </c>
      <c r="H29" s="151"/>
    </row>
    <row r="30" spans="1:8" ht="15.75">
      <c r="A30" s="482" t="s">
        <v>394</v>
      </c>
      <c r="B30" s="127"/>
      <c r="C30" s="259"/>
      <c r="D30" s="18"/>
      <c r="E30" s="267">
        <f>G30-C30</f>
        <v>31454</v>
      </c>
      <c r="F30" s="6"/>
      <c r="G30" s="267">
        <f>TAXREC!E66</f>
        <v>31454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453968</v>
      </c>
      <c r="D33" s="132"/>
      <c r="E33" s="267">
        <f aca="true" t="shared" si="0" ref="E33:E42">G33-C33</f>
        <v>152023</v>
      </c>
      <c r="F33" s="6"/>
      <c r="G33" s="267">
        <f>TAXREC!E97+TAXREC!E98</f>
        <v>605991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41795</v>
      </c>
      <c r="F34" s="6"/>
      <c r="G34" s="267">
        <f>TAXREC!E99</f>
        <v>41795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401216.63125</v>
      </c>
      <c r="D37" s="132"/>
      <c r="E37" s="267">
        <f t="shared" si="0"/>
        <v>-19543.631249999977</v>
      </c>
      <c r="F37" s="6"/>
      <c r="G37" s="495">
        <f>TAXREC!E51</f>
        <v>381673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>
        <v>103000</v>
      </c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TAXREC!E131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TAXREC!E132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335</v>
      </c>
      <c r="F47" s="6"/>
      <c r="G47" s="251">
        <f>TAXREC!E111</f>
        <v>335</v>
      </c>
      <c r="H47" s="151"/>
    </row>
    <row r="48" spans="1:8" ht="15.75">
      <c r="A48" s="482" t="s">
        <v>394</v>
      </c>
      <c r="B48" s="127"/>
      <c r="C48" s="259"/>
      <c r="D48" s="132"/>
      <c r="E48" s="267">
        <f>G48-C48</f>
        <v>578943</v>
      </c>
      <c r="F48" s="6"/>
      <c r="G48" s="251">
        <f>TAXREC!E108</f>
        <v>578943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3">
        <f>C16+SUM(C20:C30)-SUM(C33:C48)</f>
        <v>734042.36875</v>
      </c>
      <c r="D50" s="102"/>
      <c r="E50" s="263">
        <f>E16+SUM(E20:E30)-SUM(E33:E48)</f>
        <v>-42232.36875000002</v>
      </c>
      <c r="F50" s="432" t="s">
        <v>366</v>
      </c>
      <c r="G50" s="263">
        <f>G16+SUM(G20:G30)-SUM(G33:G48)</f>
        <v>794810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2">
        <f>IF($C$50&gt;'Tax Rates'!$E$11,'Tax Rates'!$F$16,IF($C$50&gt;'Tax Rates'!$C$11,'Tax Rates'!$E$16,'Tax Rates'!$C$16))</f>
        <v>0.275</v>
      </c>
      <c r="D53" s="102"/>
      <c r="E53" s="268">
        <f>+G53-C53</f>
        <v>0.0862</v>
      </c>
      <c r="F53" s="114"/>
      <c r="G53" s="473">
        <f>+'Tax Rates'!F52</f>
        <v>0.3612</v>
      </c>
      <c r="H53" s="151"/>
      <c r="I53" s="470" t="s">
        <v>470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201861.65140625002</v>
      </c>
      <c r="D55" s="102"/>
      <c r="E55" s="267">
        <f>G55-C55</f>
        <v>84714.34859374998</v>
      </c>
      <c r="F55" s="432" t="s">
        <v>367</v>
      </c>
      <c r="G55" s="264">
        <f>TAXREC!E145</f>
        <v>286576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367</v>
      </c>
      <c r="G58" s="270">
        <f>TAXREC!E146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201861.65140625002</v>
      </c>
      <c r="D60" s="133"/>
      <c r="E60" s="269">
        <f>+E55-E58</f>
        <v>84714.34859374998</v>
      </c>
      <c r="F60" s="432" t="s">
        <v>367</v>
      </c>
      <c r="G60" s="269">
        <f>+G55-G58</f>
        <v>286576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5"/>
      <c r="H66" s="151"/>
      <c r="I66" s="476" t="s">
        <v>471</v>
      </c>
    </row>
    <row r="67" spans="1:10" ht="12.75">
      <c r="A67" s="152" t="s">
        <v>359</v>
      </c>
      <c r="B67" s="125">
        <v>16</v>
      </c>
      <c r="C67" s="260">
        <f>IF(C66&gt;0,'Tax Rates'!C21,0)</f>
        <v>7500000</v>
      </c>
      <c r="D67" s="102"/>
      <c r="E67" s="267">
        <f>G67-C67</f>
        <v>-544072</v>
      </c>
      <c r="F67" s="6"/>
      <c r="G67" s="267">
        <f>'Tax Rates'!C57</f>
        <v>6955928</v>
      </c>
      <c r="H67" s="151"/>
      <c r="I67" s="476" t="s">
        <v>471</v>
      </c>
      <c r="J67" s="477" t="s">
        <v>472</v>
      </c>
    </row>
    <row r="68" spans="1:8" ht="12.75">
      <c r="A68" s="152" t="s">
        <v>42</v>
      </c>
      <c r="B68" s="125"/>
      <c r="C68" s="264">
        <f>IF((C66-C67)&gt;0,C66-C67,0)</f>
        <v>3568045</v>
      </c>
      <c r="D68" s="102"/>
      <c r="E68" s="267">
        <f>SUM(E66:E67)</f>
        <v>-11612117</v>
      </c>
      <c r="F68" s="114"/>
      <c r="G68" s="264">
        <f>G66-G67</f>
        <v>-6955928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10704.135</v>
      </c>
      <c r="D72" s="101"/>
      <c r="E72" s="267">
        <f>+G72-C72</f>
        <v>-10704.135</v>
      </c>
      <c r="F72" s="478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5">
        <v>0</v>
      </c>
      <c r="H75" s="151"/>
      <c r="I75" s="476" t="s">
        <v>471</v>
      </c>
    </row>
    <row r="76" spans="1:9" ht="12.75">
      <c r="A76" s="152" t="s">
        <v>359</v>
      </c>
      <c r="B76" s="125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1"/>
      <c r="I76" s="476" t="s">
        <v>471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-15073045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0.00175</v>
      </c>
      <c r="D79" s="102"/>
      <c r="E79" s="268">
        <f>G79-C79</f>
        <v>0.00025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318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4">
        <f>C60/(1-C88)</f>
        <v>278429.86400862073</v>
      </c>
      <c r="D90" s="20"/>
      <c r="E90" s="139"/>
      <c r="F90" s="431" t="s">
        <v>492</v>
      </c>
      <c r="G90" s="270">
        <f>TAXREC!E157</f>
        <v>286576</v>
      </c>
      <c r="H90" s="151"/>
    </row>
    <row r="91" spans="1:8" ht="12.75">
      <c r="A91" s="158" t="s">
        <v>369</v>
      </c>
      <c r="B91" s="127">
        <v>23</v>
      </c>
      <c r="C91" s="264">
        <f>C84/(1-C88)</f>
        <v>0</v>
      </c>
      <c r="D91" s="20"/>
      <c r="E91" s="139"/>
      <c r="F91" s="431" t="s">
        <v>492</v>
      </c>
      <c r="G91" s="270">
        <f>TAXREC!E159</f>
        <v>0</v>
      </c>
      <c r="H91" s="151"/>
    </row>
    <row r="92" spans="1:8" ht="12.75">
      <c r="A92" s="158" t="s">
        <v>347</v>
      </c>
      <c r="B92" s="127">
        <v>24</v>
      </c>
      <c r="C92" s="264">
        <f>C72</f>
        <v>10704.135</v>
      </c>
      <c r="D92" s="20"/>
      <c r="E92" s="139"/>
      <c r="F92" s="431" t="s">
        <v>492</v>
      </c>
      <c r="G92" s="270">
        <f>TAXREC!E158</f>
        <v>30464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493</v>
      </c>
      <c r="B95" s="125">
        <v>25</v>
      </c>
      <c r="C95" s="269">
        <f>SUM(C90:C93)</f>
        <v>289133.99900862074</v>
      </c>
      <c r="D95" s="6"/>
      <c r="E95" s="139"/>
      <c r="F95" s="431" t="s">
        <v>492</v>
      </c>
      <c r="G95" s="414">
        <f>SUM(G90:G94)</f>
        <v>317040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38603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41795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-3192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230</v>
      </c>
      <c r="E122" s="469">
        <f>+'Tax Rates'!F52</f>
        <v>0.3612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-1152.9504000000002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-1152.9504000000002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0.35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6">
        <f>E128/(1-E130)</f>
        <v>-1773.7698461538464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2">
        <f>C50</f>
        <v>734042.36875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E122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265136.10359250003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TAXREC!E146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265136.10359250003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2">
        <f>C60</f>
        <v>201861.65140625002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63274.45218625001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11068045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3568045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10704.135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5">
        <f>C72</f>
        <v>10704.135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-38931955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346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69">
        <f>E130</f>
        <v>0.35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97345.31105576924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5">
        <f>SUM(E177:E179)</f>
        <v>97345.31105576924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187</v>
      </c>
      <c r="E183" s="485">
        <f>E132</f>
        <v>-1773.7698461538464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5">
        <f>E181+E183</f>
        <v>95571.54120961539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8">
        <f>REGINFO!D66</f>
        <v>195482.51605370693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8">
        <f>E193-E194</f>
        <v>205734.11519629305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2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381673</v>
      </c>
      <c r="F201" s="3"/>
      <c r="G201" s="492"/>
      <c r="H201" s="164"/>
    </row>
    <row r="202" spans="1:8" ht="12.75">
      <c r="A202" s="155" t="s">
        <v>496</v>
      </c>
      <c r="B202" s="127"/>
      <c r="C202" s="112"/>
      <c r="D202" s="120"/>
      <c r="E202" s="491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381673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71">
        <f>IF((E201-E193)&gt;0,E201-E193,0)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-175938.88480370695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4"/>
  <sheetViews>
    <sheetView zoomScale="75" zoomScaleNormal="75" zoomScalePageLayoutView="0" workbookViewId="0" topLeftCell="A18">
      <selection activeCell="A47" sqref="A4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325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323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324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5">
        <v>16965467</v>
      </c>
      <c r="D31" s="286"/>
      <c r="E31" s="284">
        <f>C31-D31</f>
        <v>16965467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3432712</v>
      </c>
      <c r="D32" s="286"/>
      <c r="E32" s="284">
        <f>C32-D32</f>
        <v>3432712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614745</v>
      </c>
      <c r="D33" s="286"/>
      <c r="E33" s="284">
        <f>C33-D33</f>
        <v>614745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16965467</v>
      </c>
      <c r="D39" s="286"/>
      <c r="E39" s="284">
        <f>C39-D39</f>
        <v>16965467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626995</v>
      </c>
      <c r="D40" s="286"/>
      <c r="E40" s="284">
        <f aca="true" t="shared" si="0" ref="E40:E48">C40-D40</f>
        <v>626995</v>
      </c>
      <c r="F40" s="11"/>
      <c r="G40" s="487"/>
      <c r="H40" s="6"/>
      <c r="I40" s="6"/>
    </row>
    <row r="41" spans="1:9" ht="12.75">
      <c r="A41" s="4" t="s">
        <v>274</v>
      </c>
      <c r="B41" s="23" t="s">
        <v>188</v>
      </c>
      <c r="C41" s="285">
        <v>481419</v>
      </c>
      <c r="D41" s="286"/>
      <c r="E41" s="284">
        <f t="shared" si="0"/>
        <v>481419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5">
        <v>601125</v>
      </c>
      <c r="D42" s="286"/>
      <c r="E42" s="284">
        <f t="shared" si="0"/>
        <v>601125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5">
        <v>646813</v>
      </c>
      <c r="D43" s="286"/>
      <c r="E43" s="284">
        <f t="shared" si="0"/>
        <v>646813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483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8" t="s">
        <v>504</v>
      </c>
      <c r="B46" s="23" t="s">
        <v>188</v>
      </c>
      <c r="C46" s="285">
        <v>5646</v>
      </c>
      <c r="D46" s="286"/>
      <c r="E46" s="284">
        <f t="shared" si="0"/>
        <v>5646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SUM(C31:C35)-SUM(C39:C48)</f>
        <v>1685459</v>
      </c>
      <c r="D50" s="281">
        <f>SUM(D31:D36)-SUM(D39:D49)</f>
        <v>0</v>
      </c>
      <c r="E50" s="281">
        <f>SUM(E31:E35)-SUM(E39:E48)</f>
        <v>1685459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f>-5646+387319</f>
        <v>381673</v>
      </c>
      <c r="D51" s="285"/>
      <c r="E51" s="282">
        <f>+C51-D51</f>
        <v>381673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162000</v>
      </c>
      <c r="D52" s="285"/>
      <c r="E52" s="283">
        <f>+C52-D52</f>
        <v>162000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1141786</v>
      </c>
      <c r="D53" s="281">
        <f>D50-D51-D52</f>
        <v>0</v>
      </c>
      <c r="E53" s="281">
        <f>E50-E51-E52</f>
        <v>1141786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162000</v>
      </c>
      <c r="D59" s="287">
        <f>D52</f>
        <v>0</v>
      </c>
      <c r="E59" s="272">
        <f>+C59-D59</f>
        <v>162000</v>
      </c>
      <c r="F59" s="8"/>
      <c r="G59" s="416"/>
    </row>
    <row r="60" spans="1:6" ht="12.75">
      <c r="A60" s="4" t="s">
        <v>326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646813</v>
      </c>
      <c r="D61" s="287">
        <f>D43</f>
        <v>0</v>
      </c>
      <c r="E61" s="272">
        <f>+C61-D61</f>
        <v>646813</v>
      </c>
      <c r="F61" s="8"/>
      <c r="G61" s="416"/>
    </row>
    <row r="62" spans="1:6" ht="12.75">
      <c r="A62" t="s">
        <v>6</v>
      </c>
      <c r="B62" s="8" t="s">
        <v>187</v>
      </c>
      <c r="C62" s="318">
        <f>5571+33032</f>
        <v>38603</v>
      </c>
      <c r="D62" s="287">
        <v>0</v>
      </c>
      <c r="E62" s="272">
        <f>+C62-D62</f>
        <v>38603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394</v>
      </c>
      <c r="B66" s="8"/>
      <c r="C66" s="447">
        <f>'TAXREC 3 No True-up'!C47</f>
        <v>31454</v>
      </c>
      <c r="D66" s="447">
        <f>'TAXREC 3 No True-up'!D47</f>
        <v>0</v>
      </c>
      <c r="E66" s="272">
        <f>+C66-D66</f>
        <v>31454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1218</v>
      </c>
      <c r="D68" s="251">
        <f>'TAXREC 2'!D78</f>
        <v>0</v>
      </c>
      <c r="E68" s="272">
        <f>+C68-D68</f>
        <v>1218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880088</v>
      </c>
      <c r="D70" s="272">
        <f>SUM(D59:D68)</f>
        <v>0</v>
      </c>
      <c r="E70" s="272">
        <f>SUM(E59:E68)</f>
        <v>880088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880088</v>
      </c>
      <c r="D82" s="251">
        <f>D70+D80</f>
        <v>0</v>
      </c>
      <c r="E82" s="251">
        <f>E70+E80</f>
        <v>880088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560655</v>
      </c>
      <c r="D97" s="294"/>
      <c r="E97" s="272">
        <f>+C97-D97</f>
        <v>560655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45336</v>
      </c>
      <c r="D98" s="294"/>
      <c r="E98" s="272">
        <f>+C98-D98</f>
        <v>45336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41795</v>
      </c>
      <c r="D99" s="294"/>
      <c r="E99" s="272">
        <f>+C99-D99</f>
        <v>41795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578943</v>
      </c>
      <c r="D108" s="254">
        <f>'TAXREC 3 No True-up'!D73</f>
        <v>0</v>
      </c>
      <c r="E108" s="272">
        <f t="shared" si="5"/>
        <v>578943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335</v>
      </c>
      <c r="D111" s="251">
        <f>'TAXREC 2'!D120</f>
        <v>0</v>
      </c>
      <c r="E111" s="251">
        <f>'TAXREC 2'!E120</f>
        <v>335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1227064</v>
      </c>
      <c r="D113" s="251">
        <f>SUM(D97:D111)</f>
        <v>0</v>
      </c>
      <c r="E113" s="251">
        <f>SUM(E97:E111)</f>
        <v>1227064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 aca="true" t="shared" si="6" ref="E115:E120"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/>
      <c r="B116" s="8" t="s">
        <v>188</v>
      </c>
      <c r="C116" s="294"/>
      <c r="D116" s="294"/>
      <c r="E116" s="272">
        <f t="shared" si="6"/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 t="shared" si="6"/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 t="shared" si="6"/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 t="shared" si="6"/>
        <v>0</v>
      </c>
      <c r="F119" s="8"/>
      <c r="G119" s="76"/>
      <c r="H119" s="77"/>
      <c r="I119" s="77"/>
      <c r="J119" s="77"/>
      <c r="K119" s="77"/>
    </row>
    <row r="120" spans="1:11" ht="12.75">
      <c r="A120" s="69" t="s">
        <v>500</v>
      </c>
      <c r="B120" s="8"/>
      <c r="C120" s="294">
        <v>1410</v>
      </c>
      <c r="D120" s="294"/>
      <c r="E120" s="272">
        <f t="shared" si="6"/>
        <v>1410</v>
      </c>
      <c r="F120" s="8"/>
      <c r="G120" s="76"/>
      <c r="H120" s="77"/>
      <c r="I120" s="77"/>
      <c r="J120" s="77"/>
      <c r="K120" s="77"/>
    </row>
    <row r="121" spans="1:11" ht="12.75">
      <c r="A121" s="10" t="s">
        <v>51</v>
      </c>
      <c r="B121" s="8" t="s">
        <v>189</v>
      </c>
      <c r="C121" s="251">
        <f>SUM(C114:C120)</f>
        <v>1410</v>
      </c>
      <c r="D121" s="251">
        <f>SUM(D114:D119)</f>
        <v>0</v>
      </c>
      <c r="E121" s="251">
        <f>SUM(E114:E119)</f>
        <v>0</v>
      </c>
      <c r="F121" s="8"/>
      <c r="G121" s="79"/>
      <c r="H121" s="77"/>
      <c r="I121" s="77"/>
      <c r="J121" s="77"/>
      <c r="K121" s="77"/>
    </row>
    <row r="122" spans="2:11" ht="12.75">
      <c r="B122" s="8"/>
      <c r="C122" s="22"/>
      <c r="D122" s="22"/>
      <c r="E122" s="22"/>
      <c r="F122" s="8"/>
      <c r="G122" s="77"/>
      <c r="H122" s="77"/>
      <c r="I122" s="73"/>
      <c r="J122" s="73"/>
      <c r="K122" s="73"/>
    </row>
    <row r="123" spans="1:11" ht="12.75">
      <c r="A123" s="4" t="s">
        <v>19</v>
      </c>
      <c r="B123" s="8" t="s">
        <v>189</v>
      </c>
      <c r="C123" s="251">
        <f>C113+C121</f>
        <v>1228474</v>
      </c>
      <c r="D123" s="251">
        <f>D113+D121</f>
        <v>0</v>
      </c>
      <c r="E123" s="251">
        <f>+E113+E121</f>
        <v>1227064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91" t="s">
        <v>176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8" t="str">
        <f>IF($E115&gt;$C$13,A115," ")</f>
        <v> </v>
      </c>
      <c r="B126" s="273"/>
      <c r="C126" s="290">
        <f aca="true" t="shared" si="7" ref="C126:E130">IF($E115&gt;$C$13,C115,)</f>
        <v>0</v>
      </c>
      <c r="D126" s="290">
        <f>IF($E115&gt;$C$13,D115,)</f>
        <v>0</v>
      </c>
      <c r="E126" s="290">
        <f>IF($E115&gt;$C$13,E115,)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IF($E116&gt;$C$13,A116," ")</f>
        <v> </v>
      </c>
      <c r="B127" s="273"/>
      <c r="C127" s="290">
        <f t="shared" si="7"/>
        <v>0</v>
      </c>
      <c r="D127" s="290">
        <f>IF($E116&gt;$C$13,D116,)</f>
        <v>0</v>
      </c>
      <c r="E127" s="290">
        <f>IF($E116&gt;$C$13,E116,)</f>
        <v>0</v>
      </c>
      <c r="F127" s="8"/>
      <c r="G127" s="45"/>
      <c r="H127" s="45"/>
      <c r="I127" s="45"/>
      <c r="J127" s="45"/>
      <c r="K127" s="45"/>
    </row>
    <row r="128" spans="1:11" ht="12.75">
      <c r="A128" s="288" t="str">
        <f>IF($E117&gt;$C$13,A117," ")</f>
        <v> </v>
      </c>
      <c r="B128" s="273"/>
      <c r="C128" s="290">
        <f t="shared" si="7"/>
        <v>0</v>
      </c>
      <c r="D128" s="290">
        <f t="shared" si="7"/>
        <v>0</v>
      </c>
      <c r="E128" s="290">
        <f t="shared" si="7"/>
        <v>0</v>
      </c>
      <c r="F128" s="8"/>
      <c r="G128" s="45"/>
      <c r="H128" s="45"/>
      <c r="I128" s="45"/>
      <c r="J128" s="45"/>
      <c r="K128" s="45"/>
    </row>
    <row r="129" spans="1:11" ht="12.75">
      <c r="A129" s="288"/>
      <c r="B129" s="273"/>
      <c r="C129" s="290">
        <f t="shared" si="7"/>
        <v>0</v>
      </c>
      <c r="D129" s="290">
        <f t="shared" si="7"/>
        <v>0</v>
      </c>
      <c r="E129" s="290">
        <f t="shared" si="7"/>
        <v>0</v>
      </c>
      <c r="F129" s="8"/>
      <c r="G129" s="45"/>
      <c r="H129" s="45"/>
      <c r="I129" s="45"/>
      <c r="J129" s="45"/>
      <c r="K129" s="45"/>
    </row>
    <row r="130" spans="1:11" ht="12.75">
      <c r="A130" s="288" t="str">
        <f>IF($E119&gt;$C$13,A119," ")</f>
        <v> </v>
      </c>
      <c r="B130" s="273"/>
      <c r="C130" s="290">
        <f t="shared" si="7"/>
        <v>0</v>
      </c>
      <c r="D130" s="290">
        <f t="shared" si="7"/>
        <v>0</v>
      </c>
      <c r="E130" s="290">
        <f t="shared" si="7"/>
        <v>0</v>
      </c>
      <c r="F130" s="8"/>
      <c r="G130" s="45"/>
      <c r="H130" s="45"/>
      <c r="I130" s="45"/>
      <c r="J130" s="45"/>
      <c r="K130" s="45"/>
    </row>
    <row r="131" spans="1:11" ht="12.75">
      <c r="A131" s="289" t="s">
        <v>199</v>
      </c>
      <c r="B131" s="273"/>
      <c r="C131" s="251">
        <f>SUM(C126:C130)</f>
        <v>0</v>
      </c>
      <c r="D131" s="251">
        <f>SUM(D126:D130)</f>
        <v>0</v>
      </c>
      <c r="E131" s="251">
        <f>SUM(E126:E130)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200</v>
      </c>
      <c r="B132" s="273"/>
      <c r="C132" s="251">
        <f>C121-C131</f>
        <v>1410</v>
      </c>
      <c r="D132" s="251">
        <f>D121-D131</f>
        <v>0</v>
      </c>
      <c r="E132" s="251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3" t="s">
        <v>198</v>
      </c>
      <c r="B133" s="273"/>
      <c r="C133" s="251">
        <f>C131+C132</f>
        <v>1410</v>
      </c>
      <c r="D133" s="251">
        <f>D131+D132</f>
        <v>0</v>
      </c>
      <c r="E133" s="251">
        <f>E131+E132</f>
        <v>0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189</v>
      </c>
      <c r="C135" s="251">
        <f>+C53+C82-C123</f>
        <v>793400</v>
      </c>
      <c r="D135" s="251">
        <f>D53+D82-D123</f>
        <v>0</v>
      </c>
      <c r="E135" s="251">
        <f>E53+E82-E123</f>
        <v>794810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374</v>
      </c>
      <c r="B137" s="8" t="s">
        <v>188</v>
      </c>
      <c r="C137" s="294">
        <v>0</v>
      </c>
      <c r="D137" s="294"/>
      <c r="E137" s="26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 t="s">
        <v>375</v>
      </c>
      <c r="B138" s="8" t="s">
        <v>188</v>
      </c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10"/>
      <c r="D139" s="310"/>
      <c r="E139" s="394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2">
        <f>C135-C137-C138-C139</f>
        <v>793400</v>
      </c>
      <c r="D140" s="252">
        <f>D135-D137-D138-D139</f>
        <v>0</v>
      </c>
      <c r="E140" s="252">
        <f>E135-E137-E138-E139</f>
        <v>794810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8"/>
      <c r="D141" s="88"/>
      <c r="E141" s="88"/>
      <c r="F141" s="8"/>
      <c r="G141" s="45"/>
      <c r="H141" s="45"/>
      <c r="I141" s="45"/>
      <c r="J141" s="45"/>
      <c r="K141" s="45"/>
    </row>
    <row r="142" spans="1:11" ht="12.75">
      <c r="A142" s="320" t="s">
        <v>305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175500</v>
      </c>
      <c r="D143" s="298">
        <f>D140*C150</f>
        <v>0</v>
      </c>
      <c r="E143" s="252">
        <f>C143-D143</f>
        <v>175500</v>
      </c>
      <c r="F143" s="8"/>
      <c r="G143" s="45"/>
      <c r="H143" s="45"/>
      <c r="I143" s="45"/>
      <c r="J143" s="45"/>
      <c r="K143" s="45"/>
    </row>
    <row r="144" spans="1:11" ht="12.75">
      <c r="A144" s="46" t="s">
        <v>321</v>
      </c>
      <c r="B144" s="8" t="s">
        <v>187</v>
      </c>
      <c r="C144" s="298">
        <v>111076</v>
      </c>
      <c r="D144" s="298">
        <f>D140*C151</f>
        <v>0</v>
      </c>
      <c r="E144" s="292">
        <f>C144-D144</f>
        <v>111076</v>
      </c>
      <c r="F144" s="8"/>
      <c r="G144" s="45"/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2">
        <f>C143+C144</f>
        <v>286576</v>
      </c>
      <c r="D145" s="252">
        <f>D143+D144</f>
        <v>0</v>
      </c>
      <c r="E145" s="252">
        <f>E143+E144</f>
        <v>286576</v>
      </c>
      <c r="F145" s="8"/>
      <c r="G145" s="45"/>
      <c r="H145" s="45"/>
      <c r="I145" s="45"/>
      <c r="J145" s="45"/>
      <c r="K145" s="45"/>
    </row>
    <row r="146" spans="1:11" ht="12.75">
      <c r="A146" s="46" t="s">
        <v>333</v>
      </c>
      <c r="B146" s="8" t="s">
        <v>188</v>
      </c>
      <c r="C146" s="298">
        <v>0</v>
      </c>
      <c r="D146" s="298"/>
      <c r="E146" s="293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20" t="s">
        <v>99</v>
      </c>
      <c r="B147" s="8" t="s">
        <v>189</v>
      </c>
      <c r="C147" s="252">
        <f>C145-C146</f>
        <v>286576</v>
      </c>
      <c r="D147" s="252">
        <f>D145-D146</f>
        <v>0</v>
      </c>
      <c r="E147" s="252">
        <f>E145-E146</f>
        <v>286576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20" t="s">
        <v>305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f>C143/C140</f>
        <v>0.22119989916813712</v>
      </c>
      <c r="D150" s="5"/>
      <c r="E150" s="406">
        <f>C150</f>
        <v>0.22119989916813712</v>
      </c>
      <c r="F150" s="8"/>
      <c r="G150" s="484" t="s">
        <v>467</v>
      </c>
      <c r="H150" s="45"/>
      <c r="I150" s="45"/>
      <c r="J150" s="45"/>
      <c r="K150" s="45"/>
    </row>
    <row r="151" spans="1:11" ht="12.75">
      <c r="A151" s="46" t="s">
        <v>329</v>
      </c>
      <c r="B151" s="8"/>
      <c r="C151" s="405">
        <f>C144/C140</f>
        <v>0.14</v>
      </c>
      <c r="D151" s="5"/>
      <c r="E151" s="406">
        <f>C151</f>
        <v>0.14</v>
      </c>
      <c r="F151" s="8"/>
      <c r="G151" s="484" t="s">
        <v>468</v>
      </c>
      <c r="H151" s="45"/>
      <c r="I151" s="45"/>
      <c r="J151" s="45"/>
      <c r="K151" s="45"/>
    </row>
    <row r="152" spans="1:11" ht="12.75">
      <c r="A152" t="s">
        <v>330</v>
      </c>
      <c r="B152" s="8"/>
      <c r="C152" s="406">
        <f>SUM(C150:C151)</f>
        <v>0.3611998991681371</v>
      </c>
      <c r="D152" s="5"/>
      <c r="E152" s="406">
        <f>SUM(E150:E151)</f>
        <v>0.3611998991681371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355</v>
      </c>
      <c r="B154" s="8"/>
    </row>
    <row r="155" spans="1:2" ht="12.75">
      <c r="A155" s="14"/>
      <c r="B155" s="8"/>
    </row>
    <row r="156" spans="1:2" ht="12.75">
      <c r="A156" s="2" t="s">
        <v>475</v>
      </c>
      <c r="B156" s="8"/>
    </row>
    <row r="157" spans="1:5" ht="12.75">
      <c r="A157" t="s">
        <v>219</v>
      </c>
      <c r="B157" s="86" t="s">
        <v>187</v>
      </c>
      <c r="C157" s="251">
        <f>C147</f>
        <v>286576</v>
      </c>
      <c r="D157" s="251">
        <f>D147</f>
        <v>0</v>
      </c>
      <c r="E157" s="251">
        <f>E147</f>
        <v>286576</v>
      </c>
    </row>
    <row r="158" spans="1:5" ht="12.75">
      <c r="A158" t="s">
        <v>20</v>
      </c>
      <c r="B158" s="86" t="s">
        <v>187</v>
      </c>
      <c r="C158" s="480">
        <v>30464</v>
      </c>
      <c r="D158" s="251"/>
      <c r="E158" s="251">
        <f>C158+D158</f>
        <v>30464</v>
      </c>
    </row>
    <row r="159" spans="1:5" ht="12.75">
      <c r="A159" t="s">
        <v>218</v>
      </c>
      <c r="B159" s="86" t="s">
        <v>187</v>
      </c>
      <c r="C159" s="480">
        <v>0</v>
      </c>
      <c r="D159" s="251"/>
      <c r="E159" s="251">
        <f>C159+D159</f>
        <v>0</v>
      </c>
    </row>
    <row r="160" ht="12.75">
      <c r="B160" s="8"/>
    </row>
    <row r="161" spans="1:5" ht="12.75">
      <c r="A161" s="2" t="s">
        <v>302</v>
      </c>
      <c r="B161" s="66" t="s">
        <v>189</v>
      </c>
      <c r="C161" s="251">
        <f>C157+C158+C159</f>
        <v>317040</v>
      </c>
      <c r="D161" s="251">
        <f>D157+D158+D159</f>
        <v>0</v>
      </c>
      <c r="E161" s="251">
        <f>E157+E158+E159</f>
        <v>317040</v>
      </c>
    </row>
    <row r="162" ht="12.75">
      <c r="C162" s="85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34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7" ht="12.75">
      <c r="A14" s="61" t="s">
        <v>280</v>
      </c>
      <c r="B14" s="61"/>
      <c r="C14" s="294"/>
      <c r="D14" s="294"/>
      <c r="E14" s="251">
        <f aca="true" t="shared" si="0" ref="E14:E21">C14-D14</f>
        <v>0</v>
      </c>
      <c r="G14">
        <v>70004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448</v>
      </c>
      <c r="B18" s="61"/>
      <c r="C18" s="294"/>
      <c r="D18" s="294"/>
      <c r="E18" s="251">
        <f t="shared" si="0"/>
        <v>0</v>
      </c>
    </row>
    <row r="19" spans="1:5" ht="12.75">
      <c r="A19" s="61" t="s">
        <v>448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7" ht="12.75">
      <c r="A26" s="61" t="s">
        <v>280</v>
      </c>
      <c r="B26" s="61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448</v>
      </c>
      <c r="B30" s="61"/>
      <c r="C30" s="294"/>
      <c r="D30" s="294"/>
      <c r="E30" s="251">
        <f t="shared" si="1"/>
        <v>0</v>
      </c>
    </row>
    <row r="31" spans="1:5" ht="12.75">
      <c r="A31" s="61" t="s">
        <v>448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61" t="s">
        <v>499</v>
      </c>
      <c r="B47" s="61"/>
      <c r="C47" s="294"/>
      <c r="D47" s="294"/>
      <c r="E47" s="251">
        <f t="shared" si="2"/>
        <v>0</v>
      </c>
    </row>
    <row r="48" spans="1:5" ht="12.75">
      <c r="A48" s="61" t="s">
        <v>448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>
        <v>0</v>
      </c>
      <c r="D56" s="294"/>
      <c r="E56" s="251">
        <f t="shared" si="3"/>
        <v>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61" t="s">
        <v>499</v>
      </c>
      <c r="B59" s="61"/>
      <c r="C59" s="294"/>
      <c r="D59" s="294"/>
      <c r="E59" s="251">
        <f t="shared" si="3"/>
        <v>0</v>
      </c>
    </row>
    <row r="60" spans="1:5" ht="12.75">
      <c r="A60" s="61" t="s">
        <v>448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465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252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253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473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7" t="s">
        <v>498</v>
      </c>
      <c r="B41" t="s">
        <v>187</v>
      </c>
      <c r="C41" s="294">
        <v>1218</v>
      </c>
      <c r="D41" s="294"/>
      <c r="E41" s="251">
        <f t="shared" si="0"/>
        <v>1218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1218</v>
      </c>
      <c r="D46" s="251">
        <f>SUM(D17:D45)</f>
        <v>0</v>
      </c>
      <c r="E46" s="251">
        <f>SUM(E17:E45)</f>
        <v>1218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1218</v>
      </c>
      <c r="D78" s="315">
        <f>D46-D77</f>
        <v>0</v>
      </c>
      <c r="E78" s="315">
        <f>E46-E77</f>
        <v>1218</v>
      </c>
    </row>
    <row r="79" spans="1:5" ht="12.75">
      <c r="A79" s="276" t="s">
        <v>170</v>
      </c>
      <c r="B79" s="277"/>
      <c r="C79" s="315">
        <f>C77+C78</f>
        <v>1218</v>
      </c>
      <c r="D79" s="315">
        <f>D77+D78</f>
        <v>0</v>
      </c>
      <c r="E79" s="315">
        <f>E77+E78</f>
        <v>1218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7" t="s">
        <v>503</v>
      </c>
      <c r="B92" s="8" t="s">
        <v>188</v>
      </c>
      <c r="C92" s="294">
        <v>335</v>
      </c>
      <c r="D92" s="294"/>
      <c r="E92" s="251">
        <f t="shared" si="5"/>
        <v>335</v>
      </c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335</v>
      </c>
      <c r="D99" s="251">
        <f>SUM(D82:D98)</f>
        <v>0</v>
      </c>
      <c r="E99" s="251">
        <f>SUM(E82:E98)</f>
        <v>335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335</v>
      </c>
      <c r="D120" s="251">
        <f>D99-D119</f>
        <v>0</v>
      </c>
      <c r="E120" s="251">
        <f>E99-E119</f>
        <v>335</v>
      </c>
    </row>
    <row r="121" spans="1:5" ht="12.75">
      <c r="A121" s="278" t="s">
        <v>171</v>
      </c>
      <c r="B121" s="273"/>
      <c r="C121" s="251">
        <f>C119+C120</f>
        <v>335</v>
      </c>
      <c r="D121" s="251">
        <f>D119+D120</f>
        <v>0</v>
      </c>
      <c r="E121" s="251">
        <f>E119+E120</f>
        <v>335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390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5">
        <v>16851</v>
      </c>
      <c r="D23" s="295"/>
      <c r="E23" s="313">
        <f t="shared" si="0"/>
        <v>16851</v>
      </c>
    </row>
    <row r="24" spans="1:5" ht="12.75">
      <c r="A24" s="67" t="s">
        <v>454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389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388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>
        <v>1176</v>
      </c>
      <c r="D32" s="295"/>
      <c r="E32" s="313">
        <f t="shared" si="0"/>
        <v>1176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>
        <v>695</v>
      </c>
      <c r="D35" s="295"/>
      <c r="E35" s="313">
        <f t="shared" si="0"/>
        <v>695</v>
      </c>
    </row>
    <row r="36" spans="1:5" ht="12.75">
      <c r="A36" s="67" t="s">
        <v>434</v>
      </c>
      <c r="C36" s="295">
        <v>12732</v>
      </c>
      <c r="D36" s="295"/>
      <c r="E36" s="313">
        <f t="shared" si="0"/>
        <v>12732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81" t="s">
        <v>392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386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396</v>
      </c>
      <c r="B47" t="s">
        <v>189</v>
      </c>
      <c r="C47" s="251">
        <f>SUM(C19:C46)</f>
        <v>31454</v>
      </c>
      <c r="D47" s="251">
        <f>SUM(D19:D46)</f>
        <v>0</v>
      </c>
      <c r="E47" s="251">
        <f>SUM(E19:E46)</f>
        <v>31454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388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436</v>
      </c>
      <c r="B54" s="8" t="s">
        <v>188</v>
      </c>
      <c r="C54" s="294">
        <v>35956</v>
      </c>
      <c r="D54" s="294"/>
      <c r="E54" s="251">
        <f t="shared" si="1"/>
        <v>35956</v>
      </c>
    </row>
    <row r="55" spans="1:5" ht="12.75">
      <c r="A55" s="67" t="s">
        <v>444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4">
        <v>695</v>
      </c>
      <c r="D57" s="294"/>
      <c r="E57" s="251">
        <f t="shared" si="1"/>
        <v>695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393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386</v>
      </c>
      <c r="B62" s="8" t="s">
        <v>188</v>
      </c>
      <c r="C62" s="294">
        <f>14403+527889</f>
        <v>542292</v>
      </c>
      <c r="D62" s="294"/>
      <c r="E62" s="251">
        <f aca="true" t="shared" si="2" ref="E62:E72">C62-D62</f>
        <v>542292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395</v>
      </c>
      <c r="B73" s="8" t="s">
        <v>189</v>
      </c>
      <c r="C73" s="251">
        <f>SUM(C51:C72)</f>
        <v>578943</v>
      </c>
      <c r="D73" s="251">
        <f>SUM(D51:D72)</f>
        <v>0</v>
      </c>
      <c r="E73" s="251">
        <f>SUM(E51:E72)</f>
        <v>578943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0" sqref="F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 UTILITYNAME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484</v>
      </c>
      <c r="B8" s="508"/>
      <c r="C8" s="508"/>
      <c r="D8" s="508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331</v>
      </c>
      <c r="B21" s="407" t="s">
        <v>485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332</v>
      </c>
      <c r="B22" s="408" t="s">
        <v>479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491</v>
      </c>
      <c r="B23" s="502"/>
      <c r="C23" s="502"/>
      <c r="D23" s="502"/>
      <c r="E23" s="502"/>
      <c r="F23" s="502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487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 t="s">
        <v>111</v>
      </c>
      <c r="E28" s="370" t="s">
        <v>111</v>
      </c>
      <c r="F28" s="371" t="s">
        <v>480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485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479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334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7" t="s">
        <v>485</v>
      </c>
      <c r="C57" s="362">
        <v>6955928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8" t="s">
        <v>479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350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2">
      <selection activeCell="M13" sqref="M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  UTILITYNAME</v>
      </c>
      <c r="O3" s="417" t="str">
        <f>REGINFO!E1</f>
        <v>Version 2009.1</v>
      </c>
    </row>
    <row r="4" spans="1:15" ht="12.75">
      <c r="A4" s="2" t="str">
        <f>REGINFO!A4</f>
        <v>Reporting period:  2005</v>
      </c>
      <c r="E4" s="418" t="s">
        <v>320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7" ht="27" customHeight="1">
      <c r="A12" s="81" t="s">
        <v>397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/>
      <c r="N12" s="392"/>
      <c r="O12" s="397">
        <f aca="true" t="shared" si="0" ref="O12:O20">SUM(C12:N12)</f>
        <v>0</v>
      </c>
      <c r="Q12" s="22"/>
    </row>
    <row r="13" spans="1:15" ht="27" customHeight="1">
      <c r="A13" s="81" t="s">
        <v>439</v>
      </c>
      <c r="B13" s="66"/>
      <c r="C13" s="396"/>
      <c r="D13" s="95"/>
      <c r="E13" s="396"/>
      <c r="F13" s="95"/>
      <c r="G13" s="396"/>
      <c r="H13" s="95"/>
      <c r="I13" s="396"/>
      <c r="J13" s="392"/>
      <c r="K13" s="396"/>
      <c r="L13" s="392"/>
      <c r="M13" s="396"/>
      <c r="N13" s="392"/>
      <c r="O13" s="397">
        <f t="shared" si="0"/>
        <v>0</v>
      </c>
    </row>
    <row r="14" spans="1:15" ht="38.2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429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396"/>
      <c r="N15" s="392"/>
      <c r="O15" s="397">
        <f t="shared" si="0"/>
        <v>0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396"/>
      <c r="N17" s="392"/>
      <c r="O17" s="397">
        <f t="shared" si="0"/>
        <v>0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7" ht="24" customHeight="1">
      <c r="A19" s="433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  <c r="Q19" s="22"/>
    </row>
    <row r="20" spans="1:17" ht="24.75" customHeight="1">
      <c r="A20" s="81" t="s">
        <v>469</v>
      </c>
      <c r="B20" s="66" t="s">
        <v>188</v>
      </c>
      <c r="C20" s="396"/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  <c r="Q20" s="496"/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9" ht="13.5" thickBot="1">
      <c r="A22" s="81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90">
        <f>SUM(O11:O20)</f>
        <v>0</v>
      </c>
      <c r="Q22">
        <v>-418028</v>
      </c>
      <c r="S22" s="22">
        <f>+Q22-O22</f>
        <v>-418028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404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0" t="s">
        <v>408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1"/>
      <c r="Q33" s="421"/>
      <c r="R33" s="421"/>
      <c r="S33" s="421"/>
    </row>
    <row r="34" spans="1:19" ht="12.75">
      <c r="A34" s="509" t="s">
        <v>409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1"/>
      <c r="Q34" s="421"/>
      <c r="R34" s="421"/>
      <c r="S34" s="421"/>
    </row>
    <row r="35" spans="1:19" ht="12.75">
      <c r="A35" s="509" t="s">
        <v>430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1"/>
      <c r="Q35" s="421"/>
      <c r="R35" s="421"/>
      <c r="S35" s="421"/>
    </row>
    <row r="36" spans="1:19" ht="12.75">
      <c r="A36" s="509" t="s">
        <v>410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9" t="s">
        <v>459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