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936" yWindow="65326" windowWidth="12120" windowHeight="5970" tabRatio="831" activeTab="0"/>
  </bookViews>
  <sheets>
    <sheet name="Summary" sheetId="1" r:id="rId1"/>
    <sheet name="Purchased Power Model " sheetId="2" r:id="rId2"/>
    <sheet name="Rate Class Energy Model" sheetId="3" r:id="rId3"/>
    <sheet name="Rate Class Customer Model" sheetId="4" r:id="rId4"/>
    <sheet name="Rate Class Load Model" sheetId="5" r:id="rId5"/>
    <sheet name="Weather Analysis" sheetId="6" r:id="rId6"/>
    <sheet name="CDM Activity " sheetId="7" r:id="rId7"/>
    <sheet name="Chart1" sheetId="8" r:id="rId8"/>
    <sheet name="Exibit 3 Tables" sheetId="9" r:id="rId9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_Order1" hidden="1">255</definedName>
    <definedName name="_Sort" localSheetId="6" hidden="1">'[4]Sheet1'!$G$40:$K$40</definedName>
    <definedName name="_Sort" localSheetId="8" hidden="1">'[8]Sheet1'!$G$40:$K$40</definedName>
    <definedName name="_Sort" localSheetId="5" hidden="1">'[3]Sheet1'!$G$40:$K$40</definedName>
    <definedName name="_Sort" hidden="1">'[1]Sheet1'!$G$40:$K$40</definedName>
    <definedName name="_xlfn.BAHTTEXT" hidden="1">#NAME?</definedName>
    <definedName name="CAfile" localSheetId="8">'[9]Refs'!$B$2</definedName>
    <definedName name="CAfile">'[2]Refs'!$B$2</definedName>
    <definedName name="CArevReq" localSheetId="8">'[9]Refs'!$B$6</definedName>
    <definedName name="CArevReq">'[2]Refs'!$B$6</definedName>
    <definedName name="ClassRange1" localSheetId="8">'[9]Refs'!$B$3</definedName>
    <definedName name="ClassRange1">'[2]Refs'!$B$3</definedName>
    <definedName name="ClassRange2" localSheetId="8">'[9]Refs'!$B$4</definedName>
    <definedName name="ClassRange2">'[2]Refs'!$B$4</definedName>
    <definedName name="FolderPath" localSheetId="8">'[9]Menu'!$C$8</definedName>
    <definedName name="FolderPath">'[2]Menu'!$C$8</definedName>
    <definedName name="NewRevReq" localSheetId="8">'[9]Refs'!$B$8</definedName>
    <definedName name="NewRevReq">'[2]Refs'!$B$8</definedName>
    <definedName name="PAGE11" localSheetId="8">#REF!</definedName>
    <definedName name="PAGE11" localSheetId="5">#REF!</definedName>
    <definedName name="PAGE11">#REF!</definedName>
    <definedName name="PAGE2" localSheetId="6">'[4]Sheet1'!$A$1:$I$40</definedName>
    <definedName name="PAGE2" localSheetId="8">'[8]Sheet1'!$A$1:$I$40</definedName>
    <definedName name="PAGE2" localSheetId="5">'[3]Sheet1'!$A$1:$I$40</definedName>
    <definedName name="PAGE2">'[1]Sheet1'!$A$1:$I$40</definedName>
    <definedName name="PAGE3" localSheetId="8">#REF!</definedName>
    <definedName name="PAGE3" localSheetId="5">#REF!</definedName>
    <definedName name="PAGE3">#REF!</definedName>
    <definedName name="PAGE4" localSheetId="8">#REF!</definedName>
    <definedName name="PAGE4" localSheetId="5">#REF!</definedName>
    <definedName name="PAGE4">#REF!</definedName>
    <definedName name="PAGE7" localSheetId="8">#REF!</definedName>
    <definedName name="PAGE7" localSheetId="5">#REF!</definedName>
    <definedName name="PAGE7">#REF!</definedName>
    <definedName name="PAGE9" localSheetId="8">#REF!</definedName>
    <definedName name="PAGE9" localSheetId="5">#REF!</definedName>
    <definedName name="PAGE9">#REF!</definedName>
    <definedName name="_xlnm.Print_Area" localSheetId="6">'CDM Activity '!$A$1:$T$39</definedName>
    <definedName name="_xlnm.Print_Area" localSheetId="1">'Purchased Power Model '!$N$64:$R$87</definedName>
    <definedName name="_xlnm.Print_Area" localSheetId="3">'Rate Class Customer Model'!$A$1:$C$2</definedName>
    <definedName name="_xlnm.Print_Area" localSheetId="2">'Rate Class Energy Model'!$A$1:$I$2</definedName>
    <definedName name="_xlnm.Print_Area" localSheetId="4">'Rate Class Load Model'!$A$1:$A$1</definedName>
    <definedName name="_xlnm.Print_Area" localSheetId="0">'Summary'!#REF!</definedName>
    <definedName name="RevReqLookupKey" localSheetId="8">'[9]Refs'!$B$5</definedName>
    <definedName name="RevReqLookupKey">'[2]Refs'!$B$5</definedName>
    <definedName name="RevReqRange" localSheetId="8">'[9]Refs'!$B$7</definedName>
    <definedName name="RevReqRange">'[2]Refs'!$B$7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<sst xmlns="http://schemas.openxmlformats.org/spreadsheetml/2006/main" count="355" uniqueCount="227">
  <si>
    <t>Purchased</t>
  </si>
  <si>
    <t>Loss Factor</t>
  </si>
  <si>
    <t>Total Billed</t>
  </si>
  <si>
    <t>Heating Degree Days</t>
  </si>
  <si>
    <t>Cooling Degree Days</t>
  </si>
  <si>
    <t>Number of Days in Month</t>
  </si>
  <si>
    <t>Ontario Real GDP Monthly %</t>
  </si>
  <si>
    <t>Purchases</t>
  </si>
  <si>
    <t>Modeled Purchases</t>
  </si>
  <si>
    <t>% Difference</t>
  </si>
  <si>
    <t>Total</t>
  </si>
  <si>
    <t xml:space="preserve">Predicted Purchases </t>
  </si>
  <si>
    <t>Variances (kWh)</t>
  </si>
  <si>
    <t>% Variance</t>
  </si>
  <si>
    <t>Average</t>
  </si>
  <si>
    <t xml:space="preserve">Geomean </t>
  </si>
  <si>
    <t>Usage Per Customer</t>
  </si>
  <si>
    <t xml:space="preserve">Total </t>
  </si>
  <si>
    <t xml:space="preserve">Used </t>
  </si>
  <si>
    <t>Spring Fall Flag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</si>
  <si>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</si>
  <si>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</si>
  <si>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</si>
  <si>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</si>
  <si>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</si>
  <si>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</si>
  <si>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</si>
  <si>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</si>
  <si>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</si>
  <si>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</si>
  <si>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</si>
  <si>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</si>
  <si>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</si>
  <si>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</si>
  <si>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</si>
  <si>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</si>
  <si>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</si>
  <si>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</si>
  <si>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</si>
  <si>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</si>
  <si>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</si>
  <si>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Difference</t>
  </si>
  <si>
    <t xml:space="preserve">Growth Rate in Customer Numbers </t>
  </si>
  <si>
    <t>Weatther Normal Projection</t>
  </si>
  <si>
    <t>Weather Corrected Forecast</t>
  </si>
  <si>
    <t>Non Weather Corrected Forecast</t>
  </si>
  <si>
    <t>% Weather Sensitive</t>
  </si>
  <si>
    <t>Allocation of Weather Sensitive Amount</t>
  </si>
  <si>
    <t xml:space="preserve">  Customers</t>
  </si>
  <si>
    <t xml:space="preserve">  kWh</t>
  </si>
  <si>
    <t xml:space="preserve">  kW</t>
  </si>
  <si>
    <t xml:space="preserve">2004 Actual </t>
  </si>
  <si>
    <t xml:space="preserve">2005 Actual </t>
  </si>
  <si>
    <t xml:space="preserve">2006 Actual </t>
  </si>
  <si>
    <t xml:space="preserve">2007 Actual </t>
  </si>
  <si>
    <t xml:space="preserve">  kW from applicable classes</t>
  </si>
  <si>
    <t xml:space="preserve">  Customer/Connections</t>
  </si>
  <si>
    <t>Actual kWh Purchases</t>
  </si>
  <si>
    <t>Predicted kWh Purchases</t>
  </si>
  <si>
    <t>By Class</t>
  </si>
  <si>
    <t>Billed kWh</t>
  </si>
  <si>
    <t>Used</t>
  </si>
  <si>
    <t>kW/kWh</t>
  </si>
  <si>
    <t>Check totals above sould be zero</t>
  </si>
  <si>
    <t>2008 Actual</t>
  </si>
  <si>
    <t>Number of Customers</t>
  </si>
  <si>
    <t>Weather Normal</t>
  </si>
  <si>
    <t xml:space="preserve">2009 Actual </t>
  </si>
  <si>
    <t xml:space="preserve">  Connections</t>
  </si>
  <si>
    <t>Total of Above</t>
  </si>
  <si>
    <t>Total from Model</t>
  </si>
  <si>
    <t>Check should all be zero</t>
  </si>
  <si>
    <t>Large User</t>
  </si>
  <si>
    <t xml:space="preserve">2010 Actual </t>
  </si>
  <si>
    <t>2012 Weather Normal</t>
  </si>
  <si>
    <t>May want to be consistent with proposed loss factor</t>
  </si>
  <si>
    <t>CDM Activity</t>
  </si>
  <si>
    <t>Total to 2011</t>
  </si>
  <si>
    <t xml:space="preserve">2011 Actual </t>
  </si>
  <si>
    <t>2013 Weather Normal</t>
  </si>
  <si>
    <t>Number of Peak Hours</t>
  </si>
  <si>
    <t>Total Annual CDM Results</t>
  </si>
  <si>
    <t>Increase over previous year</t>
  </si>
  <si>
    <t>4 Year 2011 to 2014 target</t>
  </si>
  <si>
    <t>Check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</si>
  <si>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</si>
  <si>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</si>
  <si>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</si>
  <si>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</si>
  <si>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</si>
  <si>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</si>
  <si>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</si>
  <si>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</si>
  <si>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</si>
  <si>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</si>
  <si>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</si>
  <si>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CDM Activity Variable</t>
  </si>
  <si>
    <t>Dec</t>
  </si>
  <si>
    <t xml:space="preserve">Residential </t>
  </si>
  <si>
    <t>General Service
&lt; 50 kW</t>
  </si>
  <si>
    <t>General Service
&gt; 50 kW</t>
  </si>
  <si>
    <t>Summary of Degree Day Information</t>
  </si>
  <si>
    <t>Station Name</t>
  </si>
  <si>
    <t>Summary of All Heating Degree Days</t>
  </si>
  <si>
    <t>Month</t>
  </si>
  <si>
    <t>10 Year Avg</t>
  </si>
  <si>
    <t>20 Year Trend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</si>
  <si>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</si>
  <si>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</si>
  <si>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</si>
  <si>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</si>
  <si>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</si>
  <si>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</si>
  <si>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</si>
  <si>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</si>
  <si>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</si>
  <si>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</si>
  <si>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</si>
  <si>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Summary of All Cooling Degree Days</t>
  </si>
  <si>
    <t xml:space="preserve"> </t>
  </si>
  <si>
    <t>2011/2012 Cost of Service Method</t>
  </si>
  <si>
    <t>2013 Proposed Cost of Service Method</t>
  </si>
  <si>
    <t>CDM savings in 2012 and 2013 excluding 2011 results</t>
  </si>
  <si>
    <t>PETERBOROUGH A AND PETERBOROUGH TRENT U</t>
  </si>
  <si>
    <t>Not Used</t>
  </si>
  <si>
    <t>Checked</t>
  </si>
  <si>
    <t>Allocation of CDM Adjustment</t>
  </si>
  <si>
    <t>Peterborough Distribution Inc Load Forecast for 2013 Rate Application</t>
  </si>
  <si>
    <t>Total OPA Annual CDM Results (Gross)</t>
  </si>
  <si>
    <t>Total OPA Annual CDM Results (Net)</t>
  </si>
  <si>
    <t xml:space="preserve"> # Difference</t>
  </si>
  <si>
    <t xml:space="preserve"> % Difference of Net</t>
  </si>
  <si>
    <t>based on final 2011 results from the OPA</t>
  </si>
  <si>
    <t>Year</t>
  </si>
  <si>
    <t>Billed (GWh)</t>
  </si>
  <si>
    <t>Growth 
(GWh)</t>
  </si>
  <si>
    <t>Percent 
Change</t>
  </si>
  <si>
    <t>Customer/
Connection
Count</t>
  </si>
  <si>
    <t xml:space="preserve">Growth </t>
  </si>
  <si>
    <t>Percent 
Change
(%)</t>
  </si>
  <si>
    <t>Billed Energy (GWh) and Customer Count / Connections</t>
  </si>
  <si>
    <t>2009 Board Approved</t>
  </si>
  <si>
    <t xml:space="preserve">2008 Actual </t>
  </si>
  <si>
    <t>2009 Actual</t>
  </si>
  <si>
    <t>2012 Bridge</t>
  </si>
  <si>
    <t>2013 Test</t>
  </si>
  <si>
    <t>Street Lighting</t>
  </si>
  <si>
    <t>Billed Energy (GWh)</t>
  </si>
  <si>
    <t>Number of Customers/Connections</t>
  </si>
  <si>
    <t>Energy Usage per Customer/Connection (kWh per customer/connection)</t>
  </si>
  <si>
    <t>Annual Growth Rate in Usage per Customer/Connection</t>
  </si>
  <si>
    <t>2009 Board App. Vs. 2009 Actual</t>
  </si>
  <si>
    <t>Statistic</t>
  </si>
  <si>
    <t>Value</t>
  </si>
  <si>
    <t>F Test</t>
  </si>
  <si>
    <t>T-stats by Coefficient</t>
  </si>
  <si>
    <t xml:space="preserve">Actual </t>
  </si>
  <si>
    <t xml:space="preserve">Predicted </t>
  </si>
  <si>
    <t>Purchased Energy (GWh)</t>
  </si>
  <si>
    <t>2013 Weather Normal - 20 year trend</t>
  </si>
  <si>
    <t>Growth Rate in Customers/Connections</t>
  </si>
  <si>
    <t>Geometric Mean</t>
  </si>
  <si>
    <t>Forecast Number of Customers/Connections</t>
  </si>
  <si>
    <t xml:space="preserve">Annual kWh Usage Per Customer/Connection </t>
  </si>
  <si>
    <t>Growth Rate in Customer/Connection</t>
  </si>
  <si>
    <t>Forecast Annual kWh Usage per Customers/Connection</t>
  </si>
  <si>
    <t>NON-normalized Weather Billed Energy Forecast (GWh)</t>
  </si>
  <si>
    <t>2012 (Not Normalized)</t>
  </si>
  <si>
    <t>2013 (Not Normalized)</t>
  </si>
  <si>
    <t>Weather Sensitivity</t>
  </si>
  <si>
    <t>OPA 2006-2010 Final CDM Results (Gross)</t>
  </si>
  <si>
    <t>OPA 2006-2010 Final CDM Results (Net)</t>
  </si>
  <si>
    <t>4 Year 2011 to 2014 kWh target</t>
  </si>
  <si>
    <t>2011 Programs</t>
  </si>
  <si>
    <t>2012 Programs</t>
  </si>
  <si>
    <t>2013 Programs</t>
  </si>
  <si>
    <t>2014 Programs</t>
  </si>
  <si>
    <t>kWh</t>
  </si>
  <si>
    <t>kW where applicable</t>
  </si>
  <si>
    <t>Non-normalized Weather Billed Energy Forecast (GWh)</t>
  </si>
  <si>
    <t>2012 Non-Normalized Bridge</t>
  </si>
  <si>
    <t>2013 Non-Normalized Test</t>
  </si>
  <si>
    <t>Weather Adjustment (GWh)</t>
  </si>
  <si>
    <t>CDM Adjustment (GWh)</t>
  </si>
  <si>
    <t>Weather Normalized Billed Energy Forecast (GWh)</t>
  </si>
  <si>
    <t>2012 Normalized Bridge</t>
  </si>
  <si>
    <t>2013 Normalized Test</t>
  </si>
  <si>
    <t>Billed Annual kW</t>
  </si>
  <si>
    <t>Ratio of kW to kWh</t>
  </si>
  <si>
    <t>Predicted Billed kW</t>
  </si>
  <si>
    <t>2009 
Actual</t>
  </si>
  <si>
    <t>2010 
Actual</t>
  </si>
  <si>
    <t>2011 
Actual</t>
  </si>
  <si>
    <t xml:space="preserve">2012 Weather Normalized Bridge </t>
  </si>
  <si>
    <t>2013 Weather Normalized Test</t>
  </si>
  <si>
    <t>ACTUAL AND PREDICTED KWH PURCHASES</t>
  </si>
  <si>
    <t>% Difference of actual and predicted purchases</t>
  </si>
  <si>
    <t>BILLING DETERMINANTS BY CLASS</t>
  </si>
  <si>
    <t>Residential</t>
  </si>
  <si>
    <t>Table 3-1: Summary of Load and Customer/Connection Forecast</t>
  </si>
  <si>
    <t>Sentinel Lighting</t>
  </si>
  <si>
    <t xml:space="preserve">Unmetered Scattered Loads </t>
  </si>
  <si>
    <t>Table 3-2: Billed Energy and Number of Customers / Connections by Rate Class</t>
  </si>
  <si>
    <t xml:space="preserve">Street Lighting </t>
  </si>
  <si>
    <t>Table 3-3: Annual Usage per Customer/Connection by Rate Class</t>
  </si>
  <si>
    <t>10 Year Average</t>
  </si>
  <si>
    <t>Table 3-4: Statistcial Results</t>
  </si>
  <si>
    <t xml:space="preserve">Table 3-5: Total System Purchases </t>
  </si>
  <si>
    <t>Table 3-6: Historical Customer/Connection Data</t>
  </si>
  <si>
    <t>Table 3-7: Growth Rate in Customer/Connections</t>
  </si>
  <si>
    <t>Table 3-8: Customer/Connection Forecast</t>
  </si>
  <si>
    <t>Table 3-9: Historical Annual Usage per Customer</t>
  </si>
  <si>
    <t>Actual</t>
  </si>
  <si>
    <t>2013 Weather Normal - 10 year average</t>
  </si>
  <si>
    <t>Table 3-10: Growth Rate in Usage Per Customer/Connection</t>
  </si>
  <si>
    <t>Table 3-11: Forecast Annual kWh Usage per Customer/Connection</t>
  </si>
  <si>
    <t>Table 3-12: Non-normalized Weather Billed Energy Forecast</t>
  </si>
  <si>
    <t>Table 3-13: Weather Sensitivity by Rate Class</t>
  </si>
  <si>
    <t>Table 3-14: Average Net to Gross Percentage</t>
  </si>
  <si>
    <t>Table 3-15: Schedule to Achieve 4 Year kWh CDM Target</t>
  </si>
  <si>
    <t>Table 3-16: 2013 Expected Savings for LRAM Variance Account</t>
  </si>
  <si>
    <t xml:space="preserve">Table 3-17: Alignment of Non-normal to Weather Normal Forecast </t>
  </si>
  <si>
    <t>Table 3-18: Historical Annual kW per Applicable Rate Class</t>
  </si>
  <si>
    <t>Table 3-19: Historical kW/KWh Ratio per Applicable Rate Class</t>
  </si>
  <si>
    <t>Table 3-20: kW Forecast by Applicable Rate Class</t>
  </si>
  <si>
    <t>Table 3-21: Summary of Forecast</t>
  </si>
  <si>
    <t>Average 2004 to 2011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</si>
</sst>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%"/>
    <numFmt numFmtId="173" formatCode="#,##0;\(#,##0\)"/>
    <numFmt numFmtId="174" formatCode="0.0000"/>
    <numFmt numFmtId="175" formatCode="#,##0.0000"/>
    <numFmt numFmtId="176" formatCode="0.0000%"/>
    <numFmt numFmtId="177" formatCode="#,##0.0"/>
    <numFmt numFmtId="178" formatCode="_(* #,##0.0_);_(* \(#,##0.0\);_(* &quot;-&quot;??_);_(@_)"/>
    <numFmt numFmtId="179" formatCode="_(* #,##0_);_(* \(#,##0\);_(* &quot;-&quot;??_);_(@_)"/>
    <numFmt numFmtId="180" formatCode="0.0"/>
    <numFmt numFmtId="181" formatCode="0.000000"/>
    <numFmt numFmtId="182" formatCode="0.00000"/>
    <numFmt numFmtId="183" formatCode="0.000"/>
    <numFmt numFmtId="184" formatCode="_-* #,##0.0_-;\-* #,##0.0_-;_-* &quot;-&quot;?_-;_-@_-"/>
    <numFmt numFmtId="185" formatCode="_(* #,##0.000_);_(* \(#,##0.000\);_(* &quot;-&quot;??_);_(@_)"/>
    <numFmt numFmtId="186" formatCode="_-* #,##0_-;\-* #,##0_-;_-* &quot;-&quot;??_-;_-@_-"/>
    <numFmt numFmtId="187" formatCode="#,##0.0000_);\(#,##0.0000\)"/>
    <numFmt numFmtId="188" formatCode="#,##0.00000_);\(#,##0.00000\)"/>
    <numFmt numFmtId="189" formatCode="&quot;$&quot;#,##0.00000_);\(&quot;$&quot;#,##0.00000\)"/>
    <numFmt numFmtId="190" formatCode="&quot;$&quot;#,##0.0000_);\(&quot;$&quot;#,##0.0000\)"/>
    <numFmt numFmtId="191" formatCode="#,##0;\(#,###\)"/>
    <numFmt numFmtId="192" formatCode="#,##0.0;\-#,##0.0"/>
    <numFmt numFmtId="193" formatCode="#,##0.0;\(#,##0\)"/>
    <numFmt numFmtId="194" formatCode="#,##0.0;\(#,##0.0\)"/>
    <numFmt numFmtId="195" formatCode="0.000%"/>
    <numFmt numFmtId="196" formatCode="_(* #,##0.0000_);_(* \(#,##0.0000\);_(* &quot;-&quot;??_);_(@_)"/>
    <numFmt numFmtId="197" formatCode="_(* #,##0.00000_);_(* \(#,##0.00000\);_(* &quot;-&quot;??_);_(@_)"/>
    <numFmt numFmtId="198" formatCode="_(* #,##0.000000_);_(* \(#,##0.000000\);_(* &quot;-&quot;??_);_(@_)"/>
    <numFmt numFmtId="199" formatCode="_(* #,##0.0000000_);_(* \(#,##0.0000000\);_(* &quot;-&quot;??_);_(@_)"/>
    <numFmt numFmtId="200" formatCode="0.00000000"/>
    <numFmt numFmtId="201" formatCode="0.0;\(0.0\)"/>
    <numFmt numFmtId="202" formatCode="0.0%;\(0.0%\)"/>
    <numFmt numFmtId="203" formatCode="0;\(0\)"/>
    <numFmt numFmtId="204" formatCode="0.0000%;\(0.0%\)"/>
    <numFmt numFmtId="205" formatCode="0.000000000000000000%"/>
  </numFmts>
  <fonts count="53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i/>
      <sz val="8"/>
      <name val="Arial"/>
      <family val="2"/>
    </font>
    <font>
      <b/>
      <u val="single"/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2"/>
    </font>
    <font>
      <sz val="8.45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6" fillId="29" borderId="1" applyNumberFormat="0" applyAlignment="0" applyProtection="0"/>
    <xf numFmtId="0" fontId="47" fillId="0" borderId="6" applyNumberFormat="0" applyFill="0" applyAlignment="0" applyProtection="0"/>
    <xf numFmtId="0" fontId="48" fillId="30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31" borderId="7" applyNumberFormat="0" applyFont="0" applyAlignment="0" applyProtection="0"/>
    <xf numFmtId="0" fontId="49" fillId="26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33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7" fontId="0" fillId="0" borderId="0" xfId="0" applyNumberFormat="1" applyAlignment="1">
      <alignment/>
    </xf>
    <xf numFmtId="0" fontId="0" fillId="0" borderId="0" xfId="0" applyAlignment="1">
      <alignment horizontal="right"/>
    </xf>
    <xf numFmtId="172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3" fontId="2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center" wrapText="1"/>
    </xf>
    <xf numFmtId="3" fontId="2" fillId="0" borderId="0" xfId="0" applyNumberFormat="1" applyFont="1" applyAlignment="1">
      <alignment horizontal="center" wrapText="1"/>
    </xf>
    <xf numFmtId="3" fontId="0" fillId="0" borderId="0" xfId="0" applyNumberFormat="1" applyFont="1" applyAlignment="1">
      <alignment horizontal="center"/>
    </xf>
    <xf numFmtId="3" fontId="0" fillId="0" borderId="0" xfId="42" applyNumberFormat="1" applyAlignment="1">
      <alignment horizontal="center"/>
    </xf>
    <xf numFmtId="10" fontId="0" fillId="0" borderId="0" xfId="0" applyNumberFormat="1" applyAlignment="1">
      <alignment horizontal="center"/>
    </xf>
    <xf numFmtId="37" fontId="0" fillId="0" borderId="0" xfId="0" applyNumberFormat="1" applyFont="1" applyFill="1" applyAlignment="1">
      <alignment horizontal="center"/>
    </xf>
    <xf numFmtId="0" fontId="0" fillId="10" borderId="0" xfId="0" applyFill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3" fontId="0" fillId="10" borderId="0" xfId="0" applyNumberFormat="1" applyFill="1" applyAlignment="1">
      <alignment horizontal="center"/>
    </xf>
    <xf numFmtId="17" fontId="3" fillId="0" borderId="0" xfId="0" applyNumberFormat="1" applyFont="1" applyAlignment="1">
      <alignment/>
    </xf>
    <xf numFmtId="0" fontId="0" fillId="0" borderId="0" xfId="0" applyFill="1" applyAlignment="1">
      <alignment horizontal="center"/>
    </xf>
    <xf numFmtId="174" fontId="0" fillId="0" borderId="0" xfId="0" applyNumberFormat="1" applyAlignment="1">
      <alignment horizontal="center"/>
    </xf>
    <xf numFmtId="175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176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 wrapText="1"/>
    </xf>
    <xf numFmtId="0" fontId="0" fillId="0" borderId="10" xfId="0" applyBorder="1" applyAlignment="1">
      <alignment horizontal="right"/>
    </xf>
    <xf numFmtId="3" fontId="0" fillId="10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4" fontId="0" fillId="0" borderId="0" xfId="0" applyNumberFormat="1" applyFont="1" applyFill="1" applyAlignment="1">
      <alignment horizontal="center"/>
    </xf>
    <xf numFmtId="0" fontId="0" fillId="0" borderId="0" xfId="0" applyFill="1" applyBorder="1" applyAlignment="1">
      <alignment/>
    </xf>
    <xf numFmtId="173" fontId="0" fillId="0" borderId="0" xfId="0" applyNumberFormat="1" applyAlignment="1">
      <alignment horizontal="center"/>
    </xf>
    <xf numFmtId="0" fontId="0" fillId="0" borderId="0" xfId="0" applyNumberFormat="1" applyBorder="1" applyAlignment="1">
      <alignment/>
    </xf>
    <xf numFmtId="3" fontId="0" fillId="32" borderId="0" xfId="0" applyNumberFormat="1" applyFill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wrapText="1"/>
    </xf>
    <xf numFmtId="3" fontId="3" fillId="0" borderId="0" xfId="0" applyNumberFormat="1" applyFont="1" applyAlignment="1">
      <alignment/>
    </xf>
    <xf numFmtId="0" fontId="4" fillId="0" borderId="0" xfId="0" applyFont="1" applyAlignment="1">
      <alignment/>
    </xf>
    <xf numFmtId="172" fontId="0" fillId="0" borderId="0" xfId="0" applyNumberFormat="1" applyAlignment="1">
      <alignment horizontal="center" wrapText="1"/>
    </xf>
    <xf numFmtId="0" fontId="3" fillId="0" borderId="0" xfId="0" applyFont="1" applyAlignment="1">
      <alignment horizontal="center" wrapText="1"/>
    </xf>
    <xf numFmtId="3" fontId="2" fillId="32" borderId="0" xfId="0" applyNumberFormat="1" applyFont="1" applyFill="1" applyAlignment="1">
      <alignment horizontal="center"/>
    </xf>
    <xf numFmtId="3" fontId="2" fillId="32" borderId="0" xfId="0" applyNumberFormat="1" applyFont="1" applyFill="1" applyAlignment="1">
      <alignment horizontal="center" wrapText="1"/>
    </xf>
    <xf numFmtId="3" fontId="6" fillId="0" borderId="0" xfId="0" applyNumberFormat="1" applyFont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/>
    </xf>
    <xf numFmtId="174" fontId="0" fillId="33" borderId="0" xfId="0" applyNumberFormat="1" applyFill="1" applyAlignment="1">
      <alignment horizontal="center"/>
    </xf>
    <xf numFmtId="174" fontId="0" fillId="0" borderId="0" xfId="0" applyNumberFormat="1" applyFill="1" applyAlignment="1">
      <alignment horizontal="center"/>
    </xf>
    <xf numFmtId="0" fontId="0" fillId="0" borderId="11" xfId="0" applyFill="1" applyBorder="1" applyAlignment="1">
      <alignment/>
    </xf>
    <xf numFmtId="0" fontId="5" fillId="0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Continuous"/>
    </xf>
    <xf numFmtId="173" fontId="0" fillId="10" borderId="0" xfId="0" applyNumberFormat="1" applyFill="1" applyAlignment="1">
      <alignment horizontal="center"/>
    </xf>
    <xf numFmtId="10" fontId="0" fillId="32" borderId="0" xfId="0" applyNumberForma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3" fontId="0" fillId="0" borderId="0" xfId="0" applyNumberFormat="1" applyFill="1" applyAlignment="1">
      <alignment horizontal="center" wrapText="1"/>
    </xf>
    <xf numFmtId="10" fontId="0" fillId="0" borderId="0" xfId="70" applyNumberFormat="1" applyFont="1" applyFill="1" applyAlignment="1">
      <alignment horizontal="center" wrapText="1"/>
    </xf>
    <xf numFmtId="9" fontId="0" fillId="0" borderId="0" xfId="70" applyFont="1" applyFill="1" applyBorder="1" applyAlignment="1">
      <alignment/>
    </xf>
    <xf numFmtId="3" fontId="0" fillId="0" borderId="0" xfId="42" applyNumberFormat="1" applyFont="1" applyAlignment="1">
      <alignment horizontal="center"/>
    </xf>
    <xf numFmtId="0" fontId="0" fillId="0" borderId="0" xfId="0" applyAlignment="1">
      <alignment wrapText="1"/>
    </xf>
    <xf numFmtId="0" fontId="0" fillId="0" borderId="10" xfId="0" applyBorder="1" applyAlignment="1">
      <alignment horizontal="center"/>
    </xf>
    <xf numFmtId="3" fontId="0" fillId="0" borderId="0" xfId="0" applyNumberFormat="1" applyAlignment="1">
      <alignment wrapText="1"/>
    </xf>
    <xf numFmtId="186" fontId="0" fillId="0" borderId="0" xfId="46" applyNumberFormat="1" applyAlignment="1">
      <alignment/>
    </xf>
    <xf numFmtId="186" fontId="0" fillId="0" borderId="0" xfId="0" applyNumberFormat="1" applyAlignment="1">
      <alignment/>
    </xf>
    <xf numFmtId="3" fontId="0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 horizontal="center"/>
    </xf>
    <xf numFmtId="3" fontId="0" fillId="0" borderId="10" xfId="0" applyNumberFormat="1" applyBorder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2" fontId="9" fillId="10" borderId="0" xfId="0" applyNumberFormat="1" applyFont="1" applyFill="1" applyAlignment="1">
      <alignment/>
    </xf>
    <xf numFmtId="4" fontId="9" fillId="10" borderId="0" xfId="0" applyNumberFormat="1" applyFont="1" applyFill="1" applyAlignment="1">
      <alignment/>
    </xf>
    <xf numFmtId="0" fontId="0" fillId="10" borderId="0" xfId="0" applyFill="1" applyAlignment="1">
      <alignment/>
    </xf>
    <xf numFmtId="2" fontId="0" fillId="0" borderId="0" xfId="0" applyNumberFormat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9" fontId="0" fillId="0" borderId="13" xfId="0" applyNumberFormat="1" applyBorder="1" applyAlignment="1">
      <alignment horizontal="center"/>
    </xf>
    <xf numFmtId="9" fontId="0" fillId="0" borderId="10" xfId="0" applyNumberFormat="1" applyBorder="1" applyAlignment="1">
      <alignment horizontal="center"/>
    </xf>
    <xf numFmtId="9" fontId="0" fillId="0" borderId="14" xfId="0" applyNumberFormat="1" applyBorder="1" applyAlignment="1">
      <alignment horizontal="center"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43" fontId="0" fillId="0" borderId="13" xfId="42" applyBorder="1" applyAlignment="1">
      <alignment/>
    </xf>
    <xf numFmtId="3" fontId="0" fillId="0" borderId="13" xfId="0" applyNumberFormat="1" applyBorder="1" applyAlignment="1">
      <alignment horizontal="center"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 horizontal="center"/>
    </xf>
    <xf numFmtId="3" fontId="0" fillId="0" borderId="16" xfId="0" applyNumberForma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3" fontId="3" fillId="0" borderId="10" xfId="0" applyNumberFormat="1" applyFont="1" applyBorder="1" applyAlignment="1">
      <alignment/>
    </xf>
    <xf numFmtId="0" fontId="0" fillId="0" borderId="14" xfId="0" applyBorder="1" applyAlignment="1">
      <alignment/>
    </xf>
    <xf numFmtId="0" fontId="0" fillId="32" borderId="18" xfId="0" applyFill="1" applyBorder="1" applyAlignment="1">
      <alignment horizontal="left"/>
    </xf>
    <xf numFmtId="0" fontId="0" fillId="32" borderId="11" xfId="0" applyFill="1" applyBorder="1" applyAlignment="1">
      <alignment/>
    </xf>
    <xf numFmtId="0" fontId="0" fillId="32" borderId="19" xfId="0" applyFill="1" applyBorder="1" applyAlignment="1">
      <alignment horizontal="left"/>
    </xf>
    <xf numFmtId="0" fontId="0" fillId="32" borderId="11" xfId="0" applyFill="1" applyBorder="1" applyAlignment="1">
      <alignment horizontal="left"/>
    </xf>
    <xf numFmtId="0" fontId="0" fillId="32" borderId="20" xfId="0" applyFill="1" applyBorder="1" applyAlignment="1">
      <alignment/>
    </xf>
    <xf numFmtId="180" fontId="0" fillId="0" borderId="0" xfId="0" applyNumberFormat="1" applyAlignment="1">
      <alignment/>
    </xf>
    <xf numFmtId="180" fontId="3" fillId="0" borderId="0" xfId="0" applyNumberFormat="1" applyFont="1" applyAlignment="1">
      <alignment/>
    </xf>
    <xf numFmtId="180" fontId="11" fillId="0" borderId="0" xfId="0" applyNumberFormat="1" applyFont="1" applyAlignment="1">
      <alignment/>
    </xf>
    <xf numFmtId="180" fontId="0" fillId="0" borderId="0" xfId="47" applyNumberFormat="1" applyFont="1" applyAlignment="1">
      <alignment/>
    </xf>
    <xf numFmtId="180" fontId="12" fillId="0" borderId="0" xfId="0" applyNumberFormat="1" applyFont="1" applyAlignment="1">
      <alignment/>
    </xf>
    <xf numFmtId="180" fontId="9" fillId="0" borderId="0" xfId="47" applyNumberFormat="1" applyFont="1" applyAlignment="1">
      <alignment/>
    </xf>
    <xf numFmtId="180" fontId="9" fillId="0" borderId="0" xfId="0" applyNumberFormat="1" applyFont="1" applyAlignment="1">
      <alignment/>
    </xf>
    <xf numFmtId="180" fontId="13" fillId="0" borderId="0" xfId="47" applyNumberFormat="1" applyFont="1" applyAlignment="1">
      <alignment horizontal="right"/>
    </xf>
    <xf numFmtId="180" fontId="9" fillId="0" borderId="0" xfId="0" applyNumberFormat="1" applyFont="1" applyAlignment="1">
      <alignment horizontal="right"/>
    </xf>
    <xf numFmtId="0" fontId="13" fillId="0" borderId="21" xfId="0" applyNumberFormat="1" applyFont="1" applyBorder="1" applyAlignment="1">
      <alignment horizontal="right"/>
    </xf>
    <xf numFmtId="0" fontId="13" fillId="10" borderId="0" xfId="0" applyNumberFormat="1" applyFont="1" applyFill="1" applyAlignment="1">
      <alignment/>
    </xf>
    <xf numFmtId="0" fontId="0" fillId="0" borderId="0" xfId="0" applyNumberFormat="1" applyAlignment="1">
      <alignment/>
    </xf>
    <xf numFmtId="180" fontId="0" fillId="0" borderId="0" xfId="0" applyNumberFormat="1" applyFill="1" applyAlignment="1">
      <alignment/>
    </xf>
    <xf numFmtId="0" fontId="13" fillId="0" borderId="21" xfId="0" applyNumberFormat="1" applyFont="1" applyFill="1" applyBorder="1" applyAlignment="1">
      <alignment horizontal="right"/>
    </xf>
    <xf numFmtId="180" fontId="9" fillId="0" borderId="0" xfId="0" applyNumberFormat="1" applyFont="1" applyFill="1" applyAlignment="1">
      <alignment horizontal="right"/>
    </xf>
    <xf numFmtId="180" fontId="9" fillId="0" borderId="0" xfId="47" applyNumberFormat="1" applyFont="1" applyFill="1" applyAlignment="1">
      <alignment/>
    </xf>
    <xf numFmtId="43" fontId="0" fillId="0" borderId="0" xfId="42" applyFont="1" applyFill="1" applyBorder="1" applyAlignment="1">
      <alignment/>
    </xf>
    <xf numFmtId="43" fontId="0" fillId="0" borderId="11" xfId="42" applyFont="1" applyFill="1" applyBorder="1" applyAlignment="1">
      <alignment/>
    </xf>
    <xf numFmtId="179" fontId="0" fillId="0" borderId="0" xfId="42" applyNumberFormat="1" applyFont="1" applyFill="1" applyBorder="1" applyAlignment="1">
      <alignment/>
    </xf>
    <xf numFmtId="179" fontId="0" fillId="0" borderId="11" xfId="42" applyNumberFormat="1" applyFont="1" applyFill="1" applyBorder="1" applyAlignment="1">
      <alignment/>
    </xf>
    <xf numFmtId="0" fontId="2" fillId="0" borderId="0" xfId="0" applyFont="1" applyFill="1" applyAlignment="1">
      <alignment horizontal="center" wrapText="1"/>
    </xf>
    <xf numFmtId="3" fontId="0" fillId="32" borderId="10" xfId="0" applyNumberFormat="1" applyFill="1" applyBorder="1" applyAlignment="1">
      <alignment horizontal="center"/>
    </xf>
    <xf numFmtId="179" fontId="0" fillId="0" borderId="0" xfId="0" applyNumberFormat="1" applyAlignment="1">
      <alignment/>
    </xf>
    <xf numFmtId="172" fontId="0" fillId="0" borderId="0" xfId="70" applyNumberFormat="1" applyFont="1" applyAlignment="1">
      <alignment/>
    </xf>
    <xf numFmtId="0" fontId="0" fillId="0" borderId="0" xfId="0" applyFont="1" applyAlignment="1">
      <alignment/>
    </xf>
    <xf numFmtId="3" fontId="0" fillId="34" borderId="13" xfId="0" applyNumberFormat="1" applyFill="1" applyBorder="1" applyAlignment="1">
      <alignment horizontal="center"/>
    </xf>
    <xf numFmtId="3" fontId="0" fillId="34" borderId="10" xfId="0" applyNumberFormat="1" applyFill="1" applyBorder="1" applyAlignment="1">
      <alignment horizontal="center"/>
    </xf>
    <xf numFmtId="10" fontId="0" fillId="0" borderId="13" xfId="0" applyNumberFormat="1" applyFill="1" applyBorder="1" applyAlignment="1">
      <alignment horizontal="center"/>
    </xf>
    <xf numFmtId="10" fontId="0" fillId="0" borderId="14" xfId="0" applyNumberFormat="1" applyBorder="1" applyAlignment="1">
      <alignment horizontal="center"/>
    </xf>
    <xf numFmtId="10" fontId="0" fillId="0" borderId="13" xfId="0" applyNumberFormat="1" applyBorder="1" applyAlignment="1">
      <alignment horizontal="center"/>
    </xf>
    <xf numFmtId="10" fontId="0" fillId="0" borderId="10" xfId="0" applyNumberFormat="1" applyBorder="1" applyAlignment="1">
      <alignment horizontal="center"/>
    </xf>
    <xf numFmtId="10" fontId="0" fillId="0" borderId="13" xfId="0" applyNumberFormat="1" applyBorder="1" applyAlignment="1">
      <alignment/>
    </xf>
    <xf numFmtId="10" fontId="0" fillId="0" borderId="10" xfId="0" applyNumberFormat="1" applyBorder="1" applyAlignment="1">
      <alignment/>
    </xf>
    <xf numFmtId="0" fontId="15" fillId="0" borderId="0" xfId="0" applyFont="1" applyAlignment="1">
      <alignment/>
    </xf>
    <xf numFmtId="0" fontId="14" fillId="0" borderId="22" xfId="0" applyFont="1" applyFill="1" applyBorder="1" applyAlignment="1">
      <alignment horizontal="left" vertical="center"/>
    </xf>
    <xf numFmtId="0" fontId="14" fillId="0" borderId="23" xfId="0" applyFont="1" applyFill="1" applyBorder="1" applyAlignment="1">
      <alignment horizontal="left" vertical="center"/>
    </xf>
    <xf numFmtId="0" fontId="14" fillId="0" borderId="24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14" fillId="0" borderId="23" xfId="67" applyFont="1" applyFill="1" applyBorder="1" applyAlignment="1">
      <alignment horizontal="center" vertical="center"/>
      <protection/>
    </xf>
    <xf numFmtId="0" fontId="14" fillId="0" borderId="10" xfId="67" applyFont="1" applyFill="1" applyBorder="1" applyAlignment="1">
      <alignment horizontal="center" vertical="center" wrapText="1"/>
      <protection/>
    </xf>
    <xf numFmtId="0" fontId="14" fillId="0" borderId="0" xfId="67" applyFont="1" applyFill="1" applyBorder="1" applyAlignment="1">
      <alignment horizontal="center" vertical="center" wrapText="1"/>
      <protection/>
    </xf>
    <xf numFmtId="0" fontId="14" fillId="0" borderId="10" xfId="0" applyFont="1" applyFill="1" applyBorder="1" applyAlignment="1">
      <alignment horizontal="left" vertical="center"/>
    </xf>
    <xf numFmtId="0" fontId="15" fillId="0" borderId="22" xfId="0" applyFont="1" applyFill="1" applyBorder="1" applyAlignment="1">
      <alignment horizontal="left" vertical="center"/>
    </xf>
    <xf numFmtId="0" fontId="15" fillId="0" borderId="23" xfId="0" applyFont="1" applyFill="1" applyBorder="1" applyAlignment="1">
      <alignment horizontal="left" vertical="center"/>
    </xf>
    <xf numFmtId="177" fontId="15" fillId="0" borderId="10" xfId="66" applyNumberFormat="1" applyFont="1" applyFill="1" applyBorder="1" applyAlignment="1">
      <alignment horizontal="center" vertical="center"/>
      <protection/>
    </xf>
    <xf numFmtId="202" fontId="15" fillId="0" borderId="10" xfId="0" applyNumberFormat="1" applyFont="1" applyFill="1" applyBorder="1" applyAlignment="1">
      <alignment horizontal="center" vertical="center"/>
    </xf>
    <xf numFmtId="3" fontId="15" fillId="0" borderId="10" xfId="0" applyNumberFormat="1" applyFont="1" applyFill="1" applyBorder="1" applyAlignment="1">
      <alignment horizontal="center" vertical="center"/>
    </xf>
    <xf numFmtId="202" fontId="15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/>
    </xf>
    <xf numFmtId="203" fontId="15" fillId="0" borderId="10" xfId="0" applyNumberFormat="1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vertical="center" wrapText="1"/>
    </xf>
    <xf numFmtId="0" fontId="14" fillId="0" borderId="23" xfId="0" applyFont="1" applyFill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177" fontId="14" fillId="0" borderId="10" xfId="66" applyNumberFormat="1" applyFont="1" applyFill="1" applyBorder="1" applyAlignment="1">
      <alignment horizontal="center" vertical="center"/>
      <protection/>
    </xf>
    <xf numFmtId="202" fontId="14" fillId="0" borderId="10" xfId="0" applyNumberFormat="1" applyFont="1" applyFill="1" applyBorder="1" applyAlignment="1">
      <alignment horizontal="center" vertical="center"/>
    </xf>
    <xf numFmtId="3" fontId="14" fillId="0" borderId="10" xfId="0" applyNumberFormat="1" applyFont="1" applyFill="1" applyBorder="1" applyAlignment="1">
      <alignment horizontal="center" vertical="center"/>
    </xf>
    <xf numFmtId="203" fontId="14" fillId="0" borderId="10" xfId="0" applyNumberFormat="1" applyFont="1" applyFill="1" applyBorder="1" applyAlignment="1">
      <alignment horizontal="center" vertical="center"/>
    </xf>
    <xf numFmtId="202" fontId="14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vertical="center"/>
    </xf>
    <xf numFmtId="3" fontId="14" fillId="0" borderId="10" xfId="67" applyNumberFormat="1" applyFont="1" applyFill="1" applyBorder="1" applyAlignment="1">
      <alignment horizontal="center" vertical="center" wrapText="1"/>
      <protection/>
    </xf>
    <xf numFmtId="0" fontId="14" fillId="0" borderId="21" xfId="0" applyFont="1" applyFill="1" applyBorder="1" applyAlignment="1">
      <alignment horizontal="left" vertical="center"/>
    </xf>
    <xf numFmtId="0" fontId="14" fillId="0" borderId="25" xfId="0" applyFont="1" applyFill="1" applyBorder="1" applyAlignment="1">
      <alignment horizontal="left" vertical="center"/>
    </xf>
    <xf numFmtId="0" fontId="15" fillId="0" borderId="25" xfId="0" applyFont="1" applyBorder="1" applyAlignment="1">
      <alignment/>
    </xf>
    <xf numFmtId="0" fontId="15" fillId="0" borderId="10" xfId="0" applyFont="1" applyBorder="1" applyAlignment="1">
      <alignment/>
    </xf>
    <xf numFmtId="177" fontId="15" fillId="0" borderId="0" xfId="0" applyNumberFormat="1" applyFont="1" applyAlignment="1">
      <alignment/>
    </xf>
    <xf numFmtId="0" fontId="15" fillId="0" borderId="24" xfId="0" applyFont="1" applyFill="1" applyBorder="1" applyAlignment="1">
      <alignment horizontal="left" vertical="center" wrapText="1"/>
    </xf>
    <xf numFmtId="0" fontId="15" fillId="0" borderId="0" xfId="0" applyFont="1" applyAlignment="1">
      <alignment/>
    </xf>
    <xf numFmtId="0" fontId="14" fillId="0" borderId="26" xfId="0" applyFont="1" applyFill="1" applyBorder="1" applyAlignment="1">
      <alignment horizontal="left" vertical="center"/>
    </xf>
    <xf numFmtId="180" fontId="15" fillId="0" borderId="0" xfId="0" applyNumberFormat="1" applyFont="1" applyFill="1" applyBorder="1" applyAlignment="1">
      <alignment horizontal="center" vertical="center"/>
    </xf>
    <xf numFmtId="180" fontId="15" fillId="0" borderId="27" xfId="0" applyNumberFormat="1" applyFont="1" applyFill="1" applyBorder="1" applyAlignment="1">
      <alignment vertical="center"/>
    </xf>
    <xf numFmtId="0" fontId="15" fillId="0" borderId="10" xfId="0" applyFont="1" applyFill="1" applyBorder="1" applyAlignment="1">
      <alignment horizontal="left" vertical="center"/>
    </xf>
    <xf numFmtId="3" fontId="15" fillId="0" borderId="10" xfId="66" applyNumberFormat="1" applyFont="1" applyFill="1" applyBorder="1" applyAlignment="1">
      <alignment horizontal="center" vertical="center"/>
      <protection/>
    </xf>
    <xf numFmtId="0" fontId="15" fillId="0" borderId="10" xfId="0" applyFont="1" applyFill="1" applyBorder="1" applyAlignment="1">
      <alignment vertical="center" wrapText="1"/>
    </xf>
    <xf numFmtId="3" fontId="15" fillId="0" borderId="0" xfId="0" applyNumberFormat="1" applyFont="1" applyAlignment="1">
      <alignment/>
    </xf>
    <xf numFmtId="0" fontId="15" fillId="0" borderId="10" xfId="0" applyFont="1" applyFill="1" applyBorder="1" applyAlignment="1">
      <alignment vertical="center"/>
    </xf>
    <xf numFmtId="0" fontId="15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3" fontId="14" fillId="0" borderId="10" xfId="66" applyNumberFormat="1" applyFont="1" applyFill="1" applyBorder="1" applyAlignment="1">
      <alignment horizontal="center" vertical="center"/>
      <protection/>
    </xf>
    <xf numFmtId="3" fontId="14" fillId="0" borderId="0" xfId="67" applyNumberFormat="1" applyFont="1" applyFill="1" applyBorder="1" applyAlignment="1">
      <alignment horizontal="center" vertical="center" wrapText="1"/>
      <protection/>
    </xf>
    <xf numFmtId="0" fontId="15" fillId="0" borderId="22" xfId="0" applyFont="1" applyFill="1" applyBorder="1" applyAlignment="1">
      <alignment vertical="center"/>
    </xf>
    <xf numFmtId="0" fontId="14" fillId="0" borderId="23" xfId="0" applyFont="1" applyFill="1" applyBorder="1" applyAlignment="1">
      <alignment vertical="center"/>
    </xf>
    <xf numFmtId="202" fontId="14" fillId="0" borderId="23" xfId="0" applyNumberFormat="1" applyFont="1" applyFill="1" applyBorder="1" applyAlignment="1">
      <alignment horizontal="left" vertical="center"/>
    </xf>
    <xf numFmtId="202" fontId="14" fillId="0" borderId="0" xfId="0" applyNumberFormat="1" applyFont="1" applyFill="1" applyBorder="1" applyAlignment="1">
      <alignment horizontal="left" vertical="center"/>
    </xf>
    <xf numFmtId="202" fontId="15" fillId="0" borderId="22" xfId="0" applyNumberFormat="1" applyFont="1" applyFill="1" applyBorder="1" applyAlignment="1">
      <alignment horizontal="left" vertical="center"/>
    </xf>
    <xf numFmtId="202" fontId="15" fillId="0" borderId="10" xfId="0" applyNumberFormat="1" applyFont="1" applyFill="1" applyBorder="1" applyAlignment="1">
      <alignment horizontal="left" vertical="center"/>
    </xf>
    <xf numFmtId="202" fontId="14" fillId="0" borderId="10" xfId="0" applyNumberFormat="1" applyFont="1" applyFill="1" applyBorder="1" applyAlignment="1">
      <alignment horizontal="left" vertical="center"/>
    </xf>
    <xf numFmtId="174" fontId="14" fillId="0" borderId="0" xfId="0" applyNumberFormat="1" applyFont="1" applyAlignment="1">
      <alignment horizontal="center"/>
    </xf>
    <xf numFmtId="172" fontId="14" fillId="0" borderId="0" xfId="71" applyNumberFormat="1" applyFont="1" applyAlignment="1">
      <alignment/>
    </xf>
    <xf numFmtId="202" fontId="15" fillId="0" borderId="0" xfId="0" applyNumberFormat="1" applyFont="1" applyFill="1" applyBorder="1" applyAlignment="1">
      <alignment horizontal="left" vertical="center"/>
    </xf>
    <xf numFmtId="9" fontId="15" fillId="0" borderId="10" xfId="66" applyNumberFormat="1" applyFont="1" applyFill="1" applyBorder="1" applyAlignment="1">
      <alignment horizontal="center" vertical="center"/>
      <protection/>
    </xf>
    <xf numFmtId="180" fontId="15" fillId="0" borderId="10" xfId="66" applyNumberFormat="1" applyFont="1" applyFill="1" applyBorder="1" applyAlignment="1">
      <alignment horizontal="center" vertical="center"/>
      <protection/>
    </xf>
    <xf numFmtId="1" fontId="15" fillId="0" borderId="22" xfId="0" applyNumberFormat="1" applyFont="1" applyFill="1" applyBorder="1" applyAlignment="1">
      <alignment horizontal="left" vertical="center" indent="1"/>
    </xf>
    <xf numFmtId="201" fontId="15" fillId="0" borderId="10" xfId="66" applyNumberFormat="1" applyFont="1" applyFill="1" applyBorder="1" applyAlignment="1">
      <alignment horizontal="center" vertical="center"/>
      <protection/>
    </xf>
    <xf numFmtId="202" fontId="15" fillId="0" borderId="24" xfId="66" applyNumberFormat="1" applyFont="1" applyFill="1" applyBorder="1" applyAlignment="1">
      <alignment horizontal="center" vertical="center"/>
      <protection/>
    </xf>
    <xf numFmtId="0" fontId="14" fillId="0" borderId="24" xfId="0" applyFont="1" applyFill="1" applyBorder="1" applyAlignment="1">
      <alignment horizontal="left" vertical="center" wrapText="1"/>
    </xf>
    <xf numFmtId="0" fontId="14" fillId="0" borderId="23" xfId="0" applyFont="1" applyFill="1" applyBorder="1" applyAlignment="1">
      <alignment horizontal="left" vertical="center" wrapText="1"/>
    </xf>
    <xf numFmtId="180" fontId="14" fillId="0" borderId="10" xfId="66" applyNumberFormat="1" applyFont="1" applyFill="1" applyBorder="1" applyAlignment="1">
      <alignment horizontal="center" vertical="center"/>
      <protection/>
    </xf>
    <xf numFmtId="202" fontId="14" fillId="0" borderId="24" xfId="66" applyNumberFormat="1" applyFont="1" applyFill="1" applyBorder="1" applyAlignment="1">
      <alignment horizontal="center" vertical="center"/>
      <protection/>
    </xf>
    <xf numFmtId="0" fontId="14" fillId="0" borderId="0" xfId="0" applyFont="1" applyFill="1" applyAlignment="1">
      <alignment vertical="center"/>
    </xf>
    <xf numFmtId="0" fontId="15" fillId="0" borderId="27" xfId="0" applyFont="1" applyFill="1" applyBorder="1" applyAlignment="1">
      <alignment vertical="center"/>
    </xf>
    <xf numFmtId="0" fontId="14" fillId="0" borderId="10" xfId="67" applyFont="1" applyFill="1" applyBorder="1" applyAlignment="1">
      <alignment horizontal="center" vertical="center"/>
      <protection/>
    </xf>
    <xf numFmtId="0" fontId="14" fillId="0" borderId="22" xfId="0" applyFont="1" applyFill="1" applyBorder="1" applyAlignment="1">
      <alignment vertical="center"/>
    </xf>
    <xf numFmtId="3" fontId="15" fillId="0" borderId="10" xfId="0" applyNumberFormat="1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left" vertical="center"/>
    </xf>
    <xf numFmtId="202" fontId="15" fillId="0" borderId="10" xfId="0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>
      <alignment/>
    </xf>
    <xf numFmtId="202" fontId="14" fillId="0" borderId="10" xfId="0" applyNumberFormat="1" applyFont="1" applyFill="1" applyBorder="1" applyAlignment="1">
      <alignment horizontal="center" vertical="center" wrapText="1"/>
    </xf>
    <xf numFmtId="0" fontId="14" fillId="0" borderId="10" xfId="67" applyFont="1" applyFill="1" applyBorder="1" applyAlignment="1">
      <alignment horizontal="left" vertical="center"/>
      <protection/>
    </xf>
    <xf numFmtId="3" fontId="14" fillId="0" borderId="10" xfId="0" applyNumberFormat="1" applyFont="1" applyFill="1" applyBorder="1" applyAlignment="1">
      <alignment horizontal="center" vertical="center" wrapText="1"/>
    </xf>
    <xf numFmtId="3" fontId="14" fillId="0" borderId="10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27" xfId="0" applyBorder="1" applyAlignment="1">
      <alignment/>
    </xf>
    <xf numFmtId="0" fontId="14" fillId="0" borderId="0" xfId="0" applyFont="1" applyFill="1" applyBorder="1" applyAlignment="1">
      <alignment vertical="center"/>
    </xf>
    <xf numFmtId="177" fontId="14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201" fontId="14" fillId="0" borderId="0" xfId="0" applyNumberFormat="1" applyFont="1" applyFill="1" applyBorder="1" applyAlignment="1">
      <alignment horizontal="center" vertical="center" wrapText="1"/>
    </xf>
    <xf numFmtId="172" fontId="14" fillId="0" borderId="0" xfId="71" applyNumberFormat="1" applyFont="1" applyFill="1" applyBorder="1" applyAlignment="1">
      <alignment vertical="center"/>
    </xf>
    <xf numFmtId="194" fontId="14" fillId="0" borderId="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vertical="center"/>
    </xf>
    <xf numFmtId="177" fontId="14" fillId="0" borderId="10" xfId="0" applyNumberFormat="1" applyFont="1" applyFill="1" applyBorder="1" applyAlignment="1">
      <alignment horizontal="center" vertical="center" wrapText="1"/>
    </xf>
    <xf numFmtId="172" fontId="15" fillId="0" borderId="10" xfId="0" applyNumberFormat="1" applyFont="1" applyFill="1" applyBorder="1" applyAlignment="1">
      <alignment horizontal="center" vertical="center" wrapText="1"/>
    </xf>
    <xf numFmtId="9" fontId="15" fillId="0" borderId="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15" fillId="0" borderId="10" xfId="0" applyFont="1" applyBorder="1" applyAlignment="1">
      <alignment horizontal="center"/>
    </xf>
    <xf numFmtId="172" fontId="15" fillId="0" borderId="10" xfId="71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172" fontId="0" fillId="0" borderId="10" xfId="0" applyNumberFormat="1" applyFill="1" applyBorder="1" applyAlignment="1">
      <alignment horizontal="center"/>
    </xf>
    <xf numFmtId="172" fontId="0" fillId="0" borderId="10" xfId="0" applyNumberFormat="1" applyBorder="1" applyAlignment="1">
      <alignment horizontal="center"/>
    </xf>
    <xf numFmtId="172" fontId="0" fillId="0" borderId="10" xfId="0" applyNumberFormat="1" applyBorder="1" applyAlignment="1">
      <alignment/>
    </xf>
    <xf numFmtId="0" fontId="14" fillId="0" borderId="10" xfId="67" applyFont="1" applyFill="1" applyBorder="1" applyAlignment="1">
      <alignment vertical="center"/>
      <protection/>
    </xf>
    <xf numFmtId="201" fontId="14" fillId="0" borderId="10" xfId="0" applyNumberFormat="1" applyFont="1" applyFill="1" applyBorder="1" applyAlignment="1">
      <alignment horizontal="center" vertical="center" wrapText="1"/>
    </xf>
    <xf numFmtId="194" fontId="14" fillId="0" borderId="10" xfId="0" applyNumberFormat="1" applyFont="1" applyFill="1" applyBorder="1" applyAlignment="1">
      <alignment horizontal="center" vertical="center" wrapText="1"/>
    </xf>
    <xf numFmtId="204" fontId="15" fillId="0" borderId="10" xfId="0" applyNumberFormat="1" applyFont="1" applyFill="1" applyBorder="1" applyAlignment="1">
      <alignment horizontal="center" vertical="center" wrapText="1"/>
    </xf>
    <xf numFmtId="204" fontId="14" fillId="0" borderId="10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center"/>
    </xf>
    <xf numFmtId="3" fontId="14" fillId="0" borderId="0" xfId="0" applyNumberFormat="1" applyFont="1" applyFill="1" applyBorder="1" applyAlignment="1">
      <alignment horizontal="center" vertical="center" wrapText="1"/>
    </xf>
    <xf numFmtId="0" fontId="14" fillId="0" borderId="10" xfId="67" applyNumberFormat="1" applyFont="1" applyFill="1" applyBorder="1" applyAlignment="1">
      <alignment horizontal="center" vertical="center" wrapText="1"/>
      <protection/>
    </xf>
    <xf numFmtId="3" fontId="15" fillId="0" borderId="0" xfId="66" applyNumberFormat="1" applyFont="1" applyFill="1" applyBorder="1" applyAlignment="1">
      <alignment horizontal="center" vertical="center"/>
      <protection/>
    </xf>
    <xf numFmtId="0" fontId="15" fillId="0" borderId="10" xfId="0" applyFont="1" applyBorder="1" applyAlignment="1">
      <alignment/>
    </xf>
    <xf numFmtId="202" fontId="14" fillId="0" borderId="10" xfId="66" applyNumberFormat="1" applyFont="1" applyFill="1" applyBorder="1" applyAlignment="1">
      <alignment horizontal="center" vertical="center"/>
      <protection/>
    </xf>
    <xf numFmtId="202" fontId="15" fillId="0" borderId="10" xfId="66" applyNumberFormat="1" applyFont="1" applyFill="1" applyBorder="1" applyAlignment="1">
      <alignment horizontal="center" vertical="center"/>
      <protection/>
    </xf>
    <xf numFmtId="3" fontId="15" fillId="0" borderId="10" xfId="0" applyNumberFormat="1" applyFont="1" applyFill="1" applyBorder="1" applyAlignment="1">
      <alignment horizontal="left" vertical="center"/>
    </xf>
    <xf numFmtId="3" fontId="15" fillId="0" borderId="10" xfId="0" applyNumberFormat="1" applyFont="1" applyFill="1" applyBorder="1" applyAlignment="1">
      <alignment vertical="center"/>
    </xf>
    <xf numFmtId="0" fontId="15" fillId="0" borderId="24" xfId="0" applyFont="1" applyFill="1" applyBorder="1" applyAlignment="1">
      <alignment horizontal="left" vertical="center"/>
    </xf>
    <xf numFmtId="3" fontId="15" fillId="0" borderId="10" xfId="0" applyNumberFormat="1" applyFont="1" applyBorder="1" applyAlignment="1">
      <alignment horizontal="center"/>
    </xf>
    <xf numFmtId="3" fontId="15" fillId="0" borderId="0" xfId="0" applyNumberFormat="1" applyFont="1" applyBorder="1" applyAlignment="1">
      <alignment horizontal="center"/>
    </xf>
    <xf numFmtId="0" fontId="15" fillId="0" borderId="22" xfId="0" applyFont="1" applyBorder="1" applyAlignment="1">
      <alignment/>
    </xf>
    <xf numFmtId="177" fontId="15" fillId="0" borderId="10" xfId="0" applyNumberFormat="1" applyFont="1" applyFill="1" applyBorder="1" applyAlignment="1">
      <alignment horizontal="center" vertical="center"/>
    </xf>
    <xf numFmtId="37" fontId="15" fillId="0" borderId="10" xfId="0" applyNumberFormat="1" applyFont="1" applyFill="1" applyBorder="1" applyAlignment="1">
      <alignment horizontal="center" vertical="center"/>
    </xf>
    <xf numFmtId="180" fontId="15" fillId="0" borderId="10" xfId="0" applyNumberFormat="1" applyFont="1" applyFill="1" applyBorder="1" applyAlignment="1">
      <alignment horizontal="center"/>
    </xf>
    <xf numFmtId="37" fontId="15" fillId="0" borderId="0" xfId="0" applyNumberFormat="1" applyFont="1" applyAlignment="1">
      <alignment/>
    </xf>
    <xf numFmtId="37" fontId="14" fillId="0" borderId="0" xfId="0" applyNumberFormat="1" applyFont="1" applyAlignment="1">
      <alignment/>
    </xf>
    <xf numFmtId="3" fontId="14" fillId="0" borderId="0" xfId="0" applyNumberFormat="1" applyFont="1" applyAlignment="1">
      <alignment/>
    </xf>
    <xf numFmtId="0" fontId="14" fillId="0" borderId="10" xfId="0" applyFont="1" applyBorder="1" applyAlignment="1">
      <alignment/>
    </xf>
    <xf numFmtId="0" fontId="14" fillId="0" borderId="27" xfId="0" applyFont="1" applyFill="1" applyBorder="1" applyAlignment="1">
      <alignment horizontal="center" vertical="center"/>
    </xf>
    <xf numFmtId="202" fontId="15" fillId="0" borderId="27" xfId="0" applyNumberFormat="1" applyFont="1" applyFill="1" applyBorder="1" applyAlignment="1">
      <alignment horizontal="center" vertical="center"/>
    </xf>
    <xf numFmtId="202" fontId="14" fillId="0" borderId="21" xfId="0" applyNumberFormat="1" applyFont="1" applyFill="1" applyBorder="1" applyAlignment="1">
      <alignment horizontal="left" vertical="center"/>
    </xf>
    <xf numFmtId="4" fontId="0" fillId="0" borderId="0" xfId="0" applyNumberFormat="1" applyFill="1" applyAlignment="1">
      <alignment horizontal="center"/>
    </xf>
    <xf numFmtId="3" fontId="2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center" wrapText="1"/>
    </xf>
    <xf numFmtId="17" fontId="0" fillId="0" borderId="0" xfId="0" applyNumberFormat="1" applyFill="1" applyAlignment="1">
      <alignment/>
    </xf>
    <xf numFmtId="3" fontId="0" fillId="0" borderId="0" xfId="42" applyNumberFormat="1" applyFill="1" applyAlignment="1">
      <alignment horizontal="center"/>
    </xf>
    <xf numFmtId="1" fontId="0" fillId="0" borderId="0" xfId="42" applyNumberFormat="1" applyFill="1" applyAlignment="1">
      <alignment horizontal="center"/>
    </xf>
    <xf numFmtId="172" fontId="0" fillId="0" borderId="0" xfId="0" applyNumberFormat="1" applyFont="1" applyFill="1" applyAlignment="1">
      <alignment horizontal="center"/>
    </xf>
    <xf numFmtId="37" fontId="0" fillId="0" borderId="0" xfId="0" applyNumberFormat="1" applyFill="1" applyAlignment="1">
      <alignment horizontal="center"/>
    </xf>
    <xf numFmtId="0" fontId="0" fillId="0" borderId="0" xfId="0" applyFont="1" applyFill="1" applyAlignment="1">
      <alignment/>
    </xf>
    <xf numFmtId="173" fontId="0" fillId="0" borderId="0" xfId="0" applyNumberFormat="1" applyFill="1" applyAlignment="1">
      <alignment horizontal="center"/>
    </xf>
    <xf numFmtId="172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/>
    </xf>
    <xf numFmtId="1" fontId="15" fillId="0" borderId="23" xfId="0" applyNumberFormat="1" applyFont="1" applyFill="1" applyBorder="1" applyAlignment="1">
      <alignment vertic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3" fontId="0" fillId="0" borderId="0" xfId="0" applyNumberFormat="1" applyFont="1" applyAlignment="1">
      <alignment horizontal="center" wrapText="1"/>
    </xf>
    <xf numFmtId="0" fontId="15" fillId="0" borderId="25" xfId="0" applyFont="1" applyFill="1" applyBorder="1" applyAlignment="1">
      <alignment horizontal="left" vertical="center"/>
    </xf>
    <xf numFmtId="3" fontId="15" fillId="0" borderId="25" xfId="0" applyNumberFormat="1" applyFont="1" applyFill="1" applyBorder="1" applyAlignment="1">
      <alignment horizontal="center" vertical="center" wrapText="1"/>
    </xf>
    <xf numFmtId="202" fontId="15" fillId="0" borderId="27" xfId="0" applyNumberFormat="1" applyFont="1" applyFill="1" applyBorder="1" applyAlignment="1">
      <alignment horizontal="center" vertical="center" wrapText="1"/>
    </xf>
    <xf numFmtId="0" fontId="15" fillId="0" borderId="21" xfId="0" applyFont="1" applyBorder="1" applyAlignment="1">
      <alignment/>
    </xf>
    <xf numFmtId="0" fontId="14" fillId="0" borderId="22" xfId="0" applyFont="1" applyFill="1" applyBorder="1" applyAlignment="1">
      <alignment horizontal="left" vertical="center"/>
    </xf>
    <xf numFmtId="0" fontId="14" fillId="0" borderId="23" xfId="0" applyFont="1" applyFill="1" applyBorder="1" applyAlignment="1">
      <alignment horizontal="left" vertical="center"/>
    </xf>
    <xf numFmtId="0" fontId="14" fillId="0" borderId="24" xfId="0" applyFont="1" applyFill="1" applyBorder="1" applyAlignment="1">
      <alignment horizontal="left" vertical="center"/>
    </xf>
    <xf numFmtId="0" fontId="14" fillId="0" borderId="22" xfId="67" applyFont="1" applyFill="1" applyBorder="1" applyAlignment="1">
      <alignment horizontal="left" vertical="center"/>
      <protection/>
    </xf>
    <xf numFmtId="0" fontId="14" fillId="0" borderId="23" xfId="67" applyFont="1" applyFill="1" applyBorder="1" applyAlignment="1">
      <alignment horizontal="left" vertical="center"/>
      <protection/>
    </xf>
    <xf numFmtId="0" fontId="14" fillId="0" borderId="23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left" vertical="center"/>
    </xf>
    <xf numFmtId="0" fontId="15" fillId="0" borderId="24" xfId="0" applyFont="1" applyFill="1" applyBorder="1" applyAlignment="1">
      <alignment horizontal="left" vertical="center"/>
    </xf>
    <xf numFmtId="0" fontId="15" fillId="0" borderId="22" xfId="0" applyFont="1" applyBorder="1" applyAlignment="1">
      <alignment horizontal="left"/>
    </xf>
    <xf numFmtId="0" fontId="15" fillId="0" borderId="24" xfId="0" applyFont="1" applyBorder="1" applyAlignment="1">
      <alignment horizontal="left"/>
    </xf>
    <xf numFmtId="3" fontId="15" fillId="0" borderId="22" xfId="0" applyNumberFormat="1" applyFont="1" applyFill="1" applyBorder="1" applyAlignment="1">
      <alignment horizontal="left" vertical="center"/>
    </xf>
    <xf numFmtId="3" fontId="15" fillId="0" borderId="24" xfId="0" applyNumberFormat="1" applyFont="1" applyFill="1" applyBorder="1" applyAlignment="1">
      <alignment horizontal="left" vertical="center"/>
    </xf>
    <xf numFmtId="0" fontId="14" fillId="0" borderId="22" xfId="67" applyFont="1" applyFill="1" applyBorder="1" applyAlignment="1">
      <alignment horizontal="center" vertical="center"/>
      <protection/>
    </xf>
    <xf numFmtId="0" fontId="14" fillId="0" borderId="24" xfId="67" applyFont="1" applyFill="1" applyBorder="1" applyAlignment="1">
      <alignment horizontal="center" vertical="center"/>
      <protection/>
    </xf>
    <xf numFmtId="0" fontId="14" fillId="0" borderId="10" xfId="0" applyFont="1" applyFill="1" applyBorder="1" applyAlignment="1">
      <alignment horizontal="left" vertical="center"/>
    </xf>
    <xf numFmtId="0" fontId="15" fillId="0" borderId="10" xfId="0" applyFont="1" applyFill="1" applyBorder="1" applyAlignment="1">
      <alignment horizontal="left" vertical="center"/>
    </xf>
    <xf numFmtId="0" fontId="14" fillId="0" borderId="10" xfId="67" applyFont="1" applyFill="1" applyBorder="1" applyAlignment="1">
      <alignment horizontal="center" vertical="center"/>
      <protection/>
    </xf>
    <xf numFmtId="0" fontId="14" fillId="0" borderId="10" xfId="0" applyFont="1" applyFill="1" applyBorder="1" applyAlignment="1">
      <alignment horizontal="left" vertical="center" wrapText="1"/>
    </xf>
    <xf numFmtId="0" fontId="14" fillId="0" borderId="10" xfId="67" applyFont="1" applyFill="1" applyBorder="1" applyAlignment="1">
      <alignment horizontal="left" vertical="center"/>
      <protection/>
    </xf>
    <xf numFmtId="0" fontId="14" fillId="0" borderId="22" xfId="0" applyFont="1" applyFill="1" applyBorder="1" applyAlignment="1">
      <alignment vertical="center"/>
    </xf>
    <xf numFmtId="0" fontId="14" fillId="0" borderId="23" xfId="0" applyFont="1" applyFill="1" applyBorder="1" applyAlignment="1">
      <alignment vertical="center"/>
    </xf>
    <xf numFmtId="0" fontId="14" fillId="0" borderId="24" xfId="0" applyFont="1" applyFill="1" applyBorder="1" applyAlignment="1">
      <alignment vertical="center"/>
    </xf>
    <xf numFmtId="0" fontId="14" fillId="0" borderId="10" xfId="0" applyFont="1" applyBorder="1" applyAlignment="1">
      <alignment horizontal="left"/>
    </xf>
    <xf numFmtId="0" fontId="0" fillId="0" borderId="10" xfId="0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14" fillId="0" borderId="22" xfId="0" applyFont="1" applyFill="1" applyBorder="1" applyAlignment="1">
      <alignment horizontal="left" vertical="center" wrapText="1"/>
    </xf>
    <xf numFmtId="0" fontId="14" fillId="0" borderId="24" xfId="0" applyFont="1" applyFill="1" applyBorder="1" applyAlignment="1">
      <alignment horizontal="left" vertical="center" wrapText="1"/>
    </xf>
    <xf numFmtId="0" fontId="14" fillId="0" borderId="24" xfId="67" applyFont="1" applyFill="1" applyBorder="1" applyAlignment="1">
      <alignment horizontal="left" vertical="center"/>
      <protection/>
    </xf>
    <xf numFmtId="0" fontId="14" fillId="0" borderId="28" xfId="0" applyFont="1" applyFill="1" applyBorder="1" applyAlignment="1">
      <alignment horizontal="left" vertical="center"/>
    </xf>
    <xf numFmtId="0" fontId="14" fillId="0" borderId="26" xfId="0" applyFont="1" applyFill="1" applyBorder="1" applyAlignment="1">
      <alignment horizontal="left" vertical="center"/>
    </xf>
    <xf numFmtId="0" fontId="15" fillId="0" borderId="25" xfId="0" applyFont="1" applyFill="1" applyBorder="1" applyAlignment="1">
      <alignment horizontal="left" vertical="center"/>
    </xf>
    <xf numFmtId="0" fontId="15" fillId="0" borderId="23" xfId="0" applyFont="1" applyFill="1" applyBorder="1" applyAlignment="1">
      <alignment horizontal="left" vertical="center"/>
    </xf>
    <xf numFmtId="202" fontId="14" fillId="0" borderId="22" xfId="0" applyNumberFormat="1" applyFont="1" applyFill="1" applyBorder="1" applyAlignment="1">
      <alignment horizontal="left" vertical="center"/>
    </xf>
    <xf numFmtId="202" fontId="14" fillId="0" borderId="23" xfId="0" applyNumberFormat="1" applyFont="1" applyFill="1" applyBorder="1" applyAlignment="1">
      <alignment horizontal="left" vertical="center"/>
    </xf>
    <xf numFmtId="202" fontId="14" fillId="0" borderId="24" xfId="0" applyNumberFormat="1" applyFont="1" applyFill="1" applyBorder="1" applyAlignment="1">
      <alignment horizontal="left" vertical="center"/>
    </xf>
    <xf numFmtId="0" fontId="14" fillId="0" borderId="22" xfId="67" applyFont="1" applyFill="1" applyBorder="1" applyAlignment="1">
      <alignment vertical="center"/>
      <protection/>
    </xf>
    <xf numFmtId="0" fontId="14" fillId="0" borderId="23" xfId="67" applyFont="1" applyFill="1" applyBorder="1" applyAlignment="1">
      <alignment vertical="center"/>
      <protection/>
    </xf>
    <xf numFmtId="0" fontId="14" fillId="0" borderId="29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180" fontId="15" fillId="0" borderId="28" xfId="0" applyNumberFormat="1" applyFont="1" applyFill="1" applyBorder="1" applyAlignment="1">
      <alignment horizontal="center" vertical="center"/>
    </xf>
    <xf numFmtId="180" fontId="15" fillId="0" borderId="26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3" fontId="0" fillId="32" borderId="0" xfId="0" applyNumberFormat="1" applyFill="1" applyAlignment="1">
      <alignment horizontal="center"/>
    </xf>
    <xf numFmtId="180" fontId="3" fillId="0" borderId="0" xfId="0" applyNumberFormat="1" applyFont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4" xfId="0" applyBorder="1" applyAlignment="1">
      <alignment horizontal="center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_CDM monthly amounts" xfId="46"/>
    <cellStyle name="Comma_Horizon 2011 Load Forecast Model  June 25, 2010" xfId="47"/>
    <cellStyle name="Comma0" xfId="48"/>
    <cellStyle name="Currency" xfId="49"/>
    <cellStyle name="Currency [0]" xfId="50"/>
    <cellStyle name="Currency0" xfId="51"/>
    <cellStyle name="Date" xfId="52"/>
    <cellStyle name="Explanatory Text" xfId="53"/>
    <cellStyle name="Fixed" xfId="54"/>
    <cellStyle name="Followed Hyperlink" xfId="55"/>
    <cellStyle name="Good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ormal 2" xfId="65"/>
    <cellStyle name="Normal_OEB Trial Balance - Regulatory-July24-07" xfId="66"/>
    <cellStyle name="Normal_Sheet2" xfId="67"/>
    <cellStyle name="Note" xfId="68"/>
    <cellStyle name="Output" xfId="69"/>
    <cellStyle name="Percent" xfId="70"/>
    <cellStyle name="Percent 2" xfId="71"/>
    <cellStyle name="Title" xfId="72"/>
    <cellStyle name="Total" xfId="73"/>
    <cellStyle name="Warning Tex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chartsheet" Target="chartsheets/sheet1.xml" /><Relationship Id="rId9" Type="http://schemas.openxmlformats.org/officeDocument/2006/relationships/worksheet" Target="worksheets/sheet8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externalLink" Target="externalLinks/externalLink6.xml" /><Relationship Id="rId18" Type="http://schemas.openxmlformats.org/officeDocument/2006/relationships/externalLink" Target="externalLinks/externalLink7.xml" /><Relationship Id="rId19" Type="http://schemas.openxmlformats.org/officeDocument/2006/relationships/externalLink" Target="externalLinks/externalLink8.xml" /><Relationship Id="rId20" Type="http://schemas.openxmlformats.org/officeDocument/2006/relationships/externalLink" Target="externalLinks/externalLink9.xml" /><Relationship Id="rId21" Type="http://schemas.openxmlformats.org/officeDocument/2006/relationships/externalLink" Target="externalLinks/externalLink10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Actual vs. Predicted (GWh)</a:t>
            </a:r>
          </a:p>
        </c:rich>
      </c:tx>
      <c:layout>
        <c:manualLayout>
          <c:xMode val="factor"/>
          <c:yMode val="factor"/>
          <c:x val="0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25"/>
          <c:y val="0.0685"/>
          <c:w val="0.975"/>
          <c:h val="0.88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Summary!$A$59</c:f>
              <c:strCache>
                <c:ptCount val="1"/>
                <c:pt idx="0">
                  <c:v>Actual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Summary!$B$58:$I$58</c:f>
              <c:numCache>
                <c:ptCount val="8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</c:numCache>
            </c:numRef>
          </c:cat>
          <c:val>
            <c:numRef>
              <c:f>Summary!$B$59:$I$59</c:f>
              <c:numCache>
                <c:ptCount val="8"/>
                <c:pt idx="0">
                  <c:v>818.498048</c:v>
                </c:pt>
                <c:pt idx="1">
                  <c:v>860.938404</c:v>
                </c:pt>
                <c:pt idx="2">
                  <c:v>835.9963282</c:v>
                </c:pt>
                <c:pt idx="3">
                  <c:v>857.670889</c:v>
                </c:pt>
                <c:pt idx="4">
                  <c:v>852.04144581</c:v>
                </c:pt>
                <c:pt idx="5">
                  <c:v>834.0493831</c:v>
                </c:pt>
                <c:pt idx="6">
                  <c:v>838.046263</c:v>
                </c:pt>
                <c:pt idx="7">
                  <c:v>848.819242</c:v>
                </c:pt>
              </c:numCache>
            </c:numRef>
          </c:val>
        </c:ser>
        <c:ser>
          <c:idx val="1"/>
          <c:order val="1"/>
          <c:tx>
            <c:strRef>
              <c:f>Summary!$A$60</c:f>
              <c:strCache>
                <c:ptCount val="1"/>
                <c:pt idx="0">
                  <c:v>Predicted 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Summary!$B$58:$I$58</c:f>
              <c:numCache>
                <c:ptCount val="8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</c:numCache>
            </c:numRef>
          </c:cat>
          <c:val>
            <c:numRef>
              <c:f>Summary!$B$60:$I$60</c:f>
              <c:numCache>
                <c:ptCount val="8"/>
                <c:pt idx="0">
                  <c:v>825.3134943734067</c:v>
                </c:pt>
                <c:pt idx="1">
                  <c:v>850.0012897891199</c:v>
                </c:pt>
                <c:pt idx="2">
                  <c:v>837.4521530790619</c:v>
                </c:pt>
                <c:pt idx="3">
                  <c:v>845.5406319974012</c:v>
                </c:pt>
                <c:pt idx="4">
                  <c:v>853.9374987130793</c:v>
                </c:pt>
                <c:pt idx="5">
                  <c:v>838.345000849142</c:v>
                </c:pt>
                <c:pt idx="6">
                  <c:v>842.9183144571482</c:v>
                </c:pt>
                <c:pt idx="7">
                  <c:v>852.5516198516409</c:v>
                </c:pt>
              </c:numCache>
            </c:numRef>
          </c:val>
        </c:ser>
        <c:axId val="4325306"/>
        <c:axId val="38927755"/>
      </c:barChart>
      <c:catAx>
        <c:axId val="43253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927755"/>
        <c:crosses val="autoZero"/>
        <c:auto val="1"/>
        <c:lblOffset val="100"/>
        <c:tickLblSkip val="1"/>
        <c:noMultiLvlLbl val="0"/>
      </c:catAx>
      <c:valAx>
        <c:axId val="38927755"/>
        <c:scaling>
          <c:orientation val="minMax"/>
          <c:min val="6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2530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3475"/>
          <c:y val="0.95375"/>
          <c:w val="0.13225"/>
          <c:h val="0.0307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9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62700"/>
    <xdr:graphicFrame>
      <xdr:nvGraphicFramePr>
        <xdr:cNvPr id="1" name="Chart 1"/>
        <xdr:cNvGraphicFramePr/>
      </xdr:nvGraphicFramePr>
      <xdr:xfrm>
        <a:off x="0" y="0"/>
        <a:ext cx="8753475" cy="636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CaLittle\LOCALS~1\Temp\XPGrpWise\Dummy%20File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bbacon\Documents\Innisfil\2013%20Rate%20Appl\Load%20Forecast\Innisfill%202013%20Load%20Foecast%20July%2016,%20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LDC%20FTY%20-%20LF\CostAllocatio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dg\Desktop\Dummy%20File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bbacon\My%20Documents\Lakeland\2013%20Rate%20Appl\Dummy%20Fil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CaLittle\LOCALS~1\Temp\XPGrpWise\2006-2010%20Final%20OPA%20CDM%20Results.Peterborough%20Distribution%20Inc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CaLittle\LOCALS~1\Temp\XPGrpWise\Load%20Forecast%20Data%20PDI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CaLittle\LOCALS~1\Temp\XPGrpWise\2011_Final_Annual_Report_Data_Peterborough_Distribution_Inco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BBacon\My%20Documents\Norfolk\2011%20Rates\Evidence\Documents%20and%20Settings\dg\Desktop\Dummy%20File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BBacon\My%20Documents\Norfolk\2011%20Rates\Evidence\LDC%20FTY%20-%20LF\CostAllocati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ummy File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hart 1"/>
      <sheetName val="Exibit 3 Tables"/>
      <sheetName val="Summary"/>
      <sheetName val="Stats Sum"/>
      <sheetName val="Purchased Power Model "/>
      <sheetName val="Residential"/>
      <sheetName val="GS &lt; 50 kW"/>
      <sheetName val="GS &gt; 50 kW"/>
      <sheetName val="Rate Class Energy Model"/>
      <sheetName val="Rate Class Customer Model"/>
      <sheetName val="Rate Class Load Model"/>
      <sheetName val="Weather Analysis"/>
      <sheetName val="CDM Activity"/>
      <sheetName val="2012 COP Forecast"/>
      <sheetName val="2013 COP Forecast"/>
      <sheetName val="App.2-P_Loss Factor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ClassRevenues"/>
      <sheetName val="ExistingRatesDetails"/>
      <sheetName val="ExistingRatesSummary"/>
      <sheetName val="LoadForecastDetails"/>
      <sheetName val="LoadForecastSummary"/>
      <sheetName val="Refs"/>
    </sheetNames>
    <sheetDataSet>
      <sheetData sheetId="0">
        <row r="8">
          <cell r="C8" t="str">
            <v>C:\Documents and Settings\jcochrane.ERA-INC\My Documents\2008EDR\FTYv1.3</v>
          </cell>
        </row>
      </sheetData>
      <sheetData sheetId="6">
        <row r="2">
          <cell r="B2" t="str">
            <v>Horizon_Utilities_Corporation_Detailed_CA_model_Run2.xls</v>
          </cell>
        </row>
        <row r="3">
          <cell r="B3" t="str">
            <v>'[Horizon_Utilities_Corporation_Detailed_CA_model_Run2.xls]I2 LDC class'!$C:$G</v>
          </cell>
        </row>
        <row r="4">
          <cell r="B4" t="str">
            <v>'[Horizon_Utilities_Corporation_Detailed_CA_model_Run2.xls]O1 Revenue to cost|RR'!$D$17:$W$17</v>
          </cell>
        </row>
        <row r="5">
          <cell r="B5" t="str">
            <v>Revenue Requirement (includes NI)</v>
          </cell>
        </row>
        <row r="6">
          <cell r="B6">
            <v>92033309.2224772</v>
          </cell>
        </row>
        <row r="7">
          <cell r="B7" t="str">
            <v>'[Horizon_Utilities_Corporation_Detailed_CA_model_Run2.xls]O1 Revenue to cost|RR'!$B:$W</v>
          </cell>
        </row>
        <row r="8">
          <cell r="B8">
            <v>498976676.0555279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ummy File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ummy File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LDC Filter"/>
      <sheetName val="Allocation Methodology"/>
      <sheetName val="Summary - LDC"/>
      <sheetName val="Summary - Prov"/>
      <sheetName val="Annual Net Demand Savings - LDC"/>
      <sheetName val="Annual Net Energy Savings - LDC"/>
      <sheetName val="Annual Net Demand Savings -Prov"/>
      <sheetName val="Annual Net Energy Savings -Prov"/>
      <sheetName val="Initiative Level - LDC"/>
      <sheetName val="Initiative Level - Prov"/>
      <sheetName val="Measures - LDC"/>
      <sheetName val="Measures - Prov"/>
      <sheetName val="Local Distribution Companies"/>
    </sheetNames>
    <sheetDataSet>
      <sheetData sheetId="2">
        <row r="24">
          <cell r="E24">
            <v>2723.6835890915345</v>
          </cell>
          <cell r="F24">
            <v>4916.914058368537</v>
          </cell>
          <cell r="G24">
            <v>6715.312873401937</v>
          </cell>
          <cell r="H24">
            <v>12781.16528749761</v>
          </cell>
          <cell r="I24">
            <v>15159.042797841244</v>
          </cell>
          <cell r="J24">
            <v>14195.309059850508</v>
          </cell>
          <cell r="K24">
            <v>13984.072561046862</v>
          </cell>
          <cell r="L24">
            <v>13915.351044657195</v>
          </cell>
        </row>
        <row r="44">
          <cell r="E44">
            <v>3041.8198540286076</v>
          </cell>
          <cell r="F44">
            <v>9963.010751323825</v>
          </cell>
          <cell r="G44">
            <v>10375.831832404136</v>
          </cell>
          <cell r="H44">
            <v>18969.005986506134</v>
          </cell>
          <cell r="I44">
            <v>24045.44091167186</v>
          </cell>
          <cell r="J44">
            <v>23097.069524923027</v>
          </cell>
          <cell r="K44">
            <v>22601.517073246425</v>
          </cell>
          <cell r="L44">
            <v>22466.505356910064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ata Input"/>
    </sheetNames>
    <sheetDataSet>
      <sheetData sheetId="0">
        <row r="32">
          <cell r="B32">
            <v>88017601</v>
          </cell>
          <cell r="E32">
            <v>31173913</v>
          </cell>
          <cell r="F32">
            <v>28855</v>
          </cell>
          <cell r="I32">
            <v>10315044</v>
          </cell>
          <cell r="J32">
            <v>3645</v>
          </cell>
          <cell r="M32">
            <v>29231841</v>
          </cell>
          <cell r="N32">
            <v>66018</v>
          </cell>
          <cell r="O32">
            <v>381</v>
          </cell>
          <cell r="R32">
            <v>647416</v>
          </cell>
          <cell r="S32">
            <v>1383</v>
          </cell>
          <cell r="T32">
            <v>8049</v>
          </cell>
          <cell r="W32">
            <v>109414</v>
          </cell>
          <cell r="X32">
            <v>220</v>
          </cell>
          <cell r="Y32">
            <v>699</v>
          </cell>
          <cell r="AF32">
            <v>4879456</v>
          </cell>
          <cell r="AG32">
            <v>10986</v>
          </cell>
          <cell r="AH32">
            <v>2</v>
          </cell>
          <cell r="AK32">
            <v>32883</v>
          </cell>
        </row>
        <row r="33">
          <cell r="B33">
            <v>74856709</v>
          </cell>
          <cell r="E33">
            <v>30845552</v>
          </cell>
          <cell r="F33">
            <v>28890</v>
          </cell>
          <cell r="I33">
            <v>11370205</v>
          </cell>
          <cell r="J33">
            <v>3646</v>
          </cell>
          <cell r="M33">
            <v>29511591</v>
          </cell>
          <cell r="N33">
            <v>69679</v>
          </cell>
          <cell r="O33">
            <v>382</v>
          </cell>
          <cell r="R33">
            <v>632053</v>
          </cell>
          <cell r="S33">
            <v>1398</v>
          </cell>
          <cell r="T33">
            <v>8052</v>
          </cell>
          <cell r="W33">
            <v>106817</v>
          </cell>
          <cell r="X33">
            <v>222</v>
          </cell>
          <cell r="Y33">
            <v>696</v>
          </cell>
          <cell r="AF33">
            <v>5455418</v>
          </cell>
          <cell r="AG33">
            <v>10957</v>
          </cell>
          <cell r="AH33">
            <v>2</v>
          </cell>
          <cell r="AK33">
            <v>32920</v>
          </cell>
        </row>
        <row r="34">
          <cell r="B34">
            <v>73324078</v>
          </cell>
          <cell r="E34">
            <v>31942307</v>
          </cell>
          <cell r="F34">
            <v>28925</v>
          </cell>
          <cell r="I34">
            <v>12584129</v>
          </cell>
          <cell r="J34">
            <v>3647</v>
          </cell>
          <cell r="M34">
            <v>29558677</v>
          </cell>
          <cell r="N34">
            <v>70682</v>
          </cell>
          <cell r="O34">
            <v>382</v>
          </cell>
          <cell r="R34">
            <v>542088</v>
          </cell>
          <cell r="S34">
            <v>1398</v>
          </cell>
          <cell r="T34">
            <v>8055</v>
          </cell>
          <cell r="W34">
            <v>91613</v>
          </cell>
          <cell r="X34">
            <v>222</v>
          </cell>
          <cell r="Y34">
            <v>693</v>
          </cell>
          <cell r="AF34">
            <v>5392515</v>
          </cell>
          <cell r="AG34">
            <v>10854</v>
          </cell>
          <cell r="AH34">
            <v>2</v>
          </cell>
          <cell r="AK34">
            <v>32956</v>
          </cell>
        </row>
        <row r="35">
          <cell r="B35">
            <v>63898220</v>
          </cell>
          <cell r="E35">
            <v>25278144</v>
          </cell>
          <cell r="F35">
            <v>28960</v>
          </cell>
          <cell r="I35">
            <v>10343093</v>
          </cell>
          <cell r="J35">
            <v>3648</v>
          </cell>
          <cell r="M35">
            <v>27077194</v>
          </cell>
          <cell r="N35">
            <v>61892</v>
          </cell>
          <cell r="O35">
            <v>383</v>
          </cell>
          <cell r="R35">
            <v>523494</v>
          </cell>
          <cell r="S35">
            <v>1398</v>
          </cell>
          <cell r="T35">
            <v>8058</v>
          </cell>
          <cell r="W35">
            <v>88471</v>
          </cell>
          <cell r="X35">
            <v>222</v>
          </cell>
          <cell r="Y35">
            <v>690</v>
          </cell>
          <cell r="AF35">
            <v>5512699</v>
          </cell>
          <cell r="AG35">
            <v>11554</v>
          </cell>
          <cell r="AH35">
            <v>2</v>
          </cell>
          <cell r="AK35">
            <v>32993</v>
          </cell>
        </row>
        <row r="36">
          <cell r="B36">
            <v>60883254</v>
          </cell>
          <cell r="E36">
            <v>20423361</v>
          </cell>
          <cell r="F36">
            <v>28995</v>
          </cell>
          <cell r="I36">
            <v>9147963</v>
          </cell>
          <cell r="J36">
            <v>3649</v>
          </cell>
          <cell r="M36">
            <v>24322831</v>
          </cell>
          <cell r="N36">
            <v>58818</v>
          </cell>
          <cell r="O36">
            <v>383</v>
          </cell>
          <cell r="R36">
            <v>439907</v>
          </cell>
          <cell r="S36">
            <v>1398</v>
          </cell>
          <cell r="T36">
            <v>8061</v>
          </cell>
          <cell r="W36">
            <v>74344</v>
          </cell>
          <cell r="X36">
            <v>222</v>
          </cell>
          <cell r="Y36">
            <v>687</v>
          </cell>
          <cell r="AF36">
            <v>5101074</v>
          </cell>
          <cell r="AG36">
            <v>10785</v>
          </cell>
          <cell r="AH36">
            <v>2</v>
          </cell>
          <cell r="AK36">
            <v>33029</v>
          </cell>
        </row>
        <row r="37">
          <cell r="B37">
            <v>61226768</v>
          </cell>
          <cell r="E37">
            <v>20013963</v>
          </cell>
          <cell r="F37">
            <v>29030</v>
          </cell>
          <cell r="I37">
            <v>9501007</v>
          </cell>
          <cell r="J37">
            <v>3650</v>
          </cell>
          <cell r="M37">
            <v>25417972</v>
          </cell>
          <cell r="N37">
            <v>65454</v>
          </cell>
          <cell r="O37">
            <v>384</v>
          </cell>
          <cell r="R37">
            <v>394022</v>
          </cell>
          <cell r="S37">
            <v>1383</v>
          </cell>
          <cell r="T37">
            <v>8064</v>
          </cell>
          <cell r="W37">
            <v>66590</v>
          </cell>
          <cell r="X37">
            <v>220</v>
          </cell>
          <cell r="Y37">
            <v>684</v>
          </cell>
          <cell r="AF37">
            <v>5212395</v>
          </cell>
          <cell r="AG37">
            <v>11039</v>
          </cell>
          <cell r="AH37">
            <v>2</v>
          </cell>
          <cell r="AK37">
            <v>33066</v>
          </cell>
        </row>
        <row r="38">
          <cell r="B38">
            <v>65537326</v>
          </cell>
          <cell r="E38">
            <v>19407393</v>
          </cell>
          <cell r="F38">
            <v>29065</v>
          </cell>
          <cell r="I38">
            <v>10304056</v>
          </cell>
          <cell r="J38">
            <v>3651</v>
          </cell>
          <cell r="M38">
            <v>26099969</v>
          </cell>
          <cell r="N38">
            <v>65558</v>
          </cell>
          <cell r="O38">
            <v>384</v>
          </cell>
          <cell r="R38">
            <v>345163</v>
          </cell>
          <cell r="S38">
            <v>1365</v>
          </cell>
          <cell r="T38">
            <v>8067</v>
          </cell>
          <cell r="W38">
            <v>58333</v>
          </cell>
          <cell r="X38">
            <v>217</v>
          </cell>
          <cell r="Y38">
            <v>680</v>
          </cell>
          <cell r="AF38">
            <v>5108342</v>
          </cell>
          <cell r="AG38">
            <v>11293</v>
          </cell>
          <cell r="AH38">
            <v>2</v>
          </cell>
          <cell r="AK38">
            <v>33102</v>
          </cell>
        </row>
        <row r="39">
          <cell r="B39">
            <v>60297252</v>
          </cell>
          <cell r="E39">
            <v>22240497</v>
          </cell>
          <cell r="F39">
            <v>29100</v>
          </cell>
          <cell r="I39">
            <v>10297405</v>
          </cell>
          <cell r="J39">
            <v>3652</v>
          </cell>
          <cell r="M39">
            <v>26187693</v>
          </cell>
          <cell r="N39">
            <v>64916</v>
          </cell>
          <cell r="O39">
            <v>385</v>
          </cell>
          <cell r="R39">
            <v>386185</v>
          </cell>
          <cell r="S39">
            <v>1365</v>
          </cell>
          <cell r="T39">
            <v>8070</v>
          </cell>
          <cell r="W39">
            <v>65265</v>
          </cell>
          <cell r="X39">
            <v>217</v>
          </cell>
          <cell r="Y39">
            <v>676</v>
          </cell>
          <cell r="AF39">
            <v>4315744</v>
          </cell>
          <cell r="AG39">
            <v>10688</v>
          </cell>
          <cell r="AH39">
            <v>2</v>
          </cell>
          <cell r="AK39">
            <v>33139</v>
          </cell>
        </row>
        <row r="40">
          <cell r="B40">
            <v>56071601</v>
          </cell>
          <cell r="E40">
            <v>20122880</v>
          </cell>
          <cell r="F40">
            <v>29135</v>
          </cell>
          <cell r="I40">
            <v>9643943</v>
          </cell>
          <cell r="J40">
            <v>3653</v>
          </cell>
          <cell r="M40">
            <v>25414791</v>
          </cell>
          <cell r="N40">
            <v>60875</v>
          </cell>
          <cell r="O40">
            <v>385</v>
          </cell>
          <cell r="R40">
            <v>429350</v>
          </cell>
          <cell r="S40">
            <v>1365</v>
          </cell>
          <cell r="T40">
            <v>8073</v>
          </cell>
          <cell r="W40">
            <v>72560</v>
          </cell>
          <cell r="X40">
            <v>217</v>
          </cell>
          <cell r="Y40">
            <v>672</v>
          </cell>
          <cell r="AF40">
            <v>5659338</v>
          </cell>
          <cell r="AG40">
            <v>11335</v>
          </cell>
          <cell r="AH40">
            <v>2</v>
          </cell>
          <cell r="AK40">
            <v>33175</v>
          </cell>
        </row>
        <row r="41">
          <cell r="B41">
            <v>64452899</v>
          </cell>
          <cell r="E41">
            <v>19672381</v>
          </cell>
          <cell r="F41">
            <v>29170</v>
          </cell>
          <cell r="I41">
            <v>9218071</v>
          </cell>
          <cell r="J41">
            <v>3654</v>
          </cell>
          <cell r="M41">
            <v>25734059</v>
          </cell>
          <cell r="N41">
            <v>61099</v>
          </cell>
          <cell r="O41">
            <v>386</v>
          </cell>
          <cell r="R41">
            <v>472366</v>
          </cell>
          <cell r="S41">
            <v>1365</v>
          </cell>
          <cell r="T41">
            <v>8076</v>
          </cell>
          <cell r="W41">
            <v>79830</v>
          </cell>
          <cell r="X41">
            <v>217</v>
          </cell>
          <cell r="Y41">
            <v>668</v>
          </cell>
          <cell r="AF41">
            <v>5570039</v>
          </cell>
          <cell r="AG41">
            <v>11623</v>
          </cell>
          <cell r="AH41">
            <v>2</v>
          </cell>
          <cell r="AK41">
            <v>33212</v>
          </cell>
        </row>
        <row r="42">
          <cell r="B42">
            <v>69356277</v>
          </cell>
          <cell r="E42">
            <v>21475266</v>
          </cell>
          <cell r="F42">
            <v>29205</v>
          </cell>
          <cell r="I42">
            <v>9961205</v>
          </cell>
          <cell r="J42">
            <v>3655</v>
          </cell>
          <cell r="M42">
            <v>26340346</v>
          </cell>
          <cell r="N42">
            <v>63499</v>
          </cell>
          <cell r="O42">
            <v>387</v>
          </cell>
          <cell r="R42">
            <v>565823</v>
          </cell>
          <cell r="S42">
            <v>1365</v>
          </cell>
          <cell r="T42">
            <v>8078</v>
          </cell>
          <cell r="W42">
            <v>95624</v>
          </cell>
          <cell r="X42">
            <v>217</v>
          </cell>
          <cell r="Y42">
            <v>664</v>
          </cell>
          <cell r="AF42">
            <v>5205868</v>
          </cell>
          <cell r="AG42">
            <v>10760</v>
          </cell>
          <cell r="AH42">
            <v>2</v>
          </cell>
          <cell r="AK42">
            <v>33249</v>
          </cell>
        </row>
        <row r="43">
          <cell r="B43">
            <v>80576063</v>
          </cell>
          <cell r="E43">
            <v>23153357</v>
          </cell>
          <cell r="F43">
            <v>29237</v>
          </cell>
          <cell r="I43">
            <v>9127450</v>
          </cell>
          <cell r="J43">
            <v>3655</v>
          </cell>
          <cell r="M43">
            <v>25139705</v>
          </cell>
          <cell r="N43">
            <v>78460</v>
          </cell>
          <cell r="O43">
            <v>388</v>
          </cell>
          <cell r="R43">
            <v>602457</v>
          </cell>
          <cell r="S43">
            <v>1365</v>
          </cell>
          <cell r="T43">
            <v>8078</v>
          </cell>
          <cell r="W43">
            <v>101815</v>
          </cell>
          <cell r="X43">
            <v>217</v>
          </cell>
          <cell r="Y43">
            <v>660</v>
          </cell>
          <cell r="AF43">
            <v>5898729</v>
          </cell>
          <cell r="AG43">
            <v>11353</v>
          </cell>
          <cell r="AH43">
            <v>2</v>
          </cell>
          <cell r="AK43">
            <v>33282</v>
          </cell>
        </row>
        <row r="44">
          <cell r="B44">
            <v>86332339</v>
          </cell>
          <cell r="E44">
            <v>32353833</v>
          </cell>
          <cell r="F44">
            <v>29250</v>
          </cell>
          <cell r="I44">
            <v>12677684</v>
          </cell>
          <cell r="J44">
            <v>3653</v>
          </cell>
          <cell r="M44">
            <v>31161608</v>
          </cell>
          <cell r="N44">
            <v>74474</v>
          </cell>
          <cell r="O44">
            <v>388</v>
          </cell>
          <cell r="R44">
            <v>655234</v>
          </cell>
          <cell r="S44">
            <v>1365</v>
          </cell>
          <cell r="T44">
            <v>8094</v>
          </cell>
          <cell r="W44">
            <v>118378</v>
          </cell>
          <cell r="X44">
            <v>252</v>
          </cell>
          <cell r="Y44">
            <v>662</v>
          </cell>
          <cell r="AF44">
            <v>5326895</v>
          </cell>
          <cell r="AG44">
            <v>11828</v>
          </cell>
          <cell r="AH44">
            <v>2</v>
          </cell>
          <cell r="AK44">
            <v>33293</v>
          </cell>
        </row>
        <row r="45">
          <cell r="B45">
            <v>73605133</v>
          </cell>
          <cell r="E45">
            <v>28902146</v>
          </cell>
          <cell r="F45">
            <v>29263</v>
          </cell>
          <cell r="I45">
            <v>9806325</v>
          </cell>
          <cell r="J45">
            <v>3651</v>
          </cell>
          <cell r="M45">
            <v>26210941</v>
          </cell>
          <cell r="N45">
            <v>56919</v>
          </cell>
          <cell r="O45">
            <v>387</v>
          </cell>
          <cell r="R45">
            <v>618318</v>
          </cell>
          <cell r="S45">
            <v>1336</v>
          </cell>
          <cell r="T45">
            <v>8110</v>
          </cell>
          <cell r="W45">
            <v>90103</v>
          </cell>
          <cell r="X45">
            <v>192</v>
          </cell>
          <cell r="Y45">
            <v>664</v>
          </cell>
          <cell r="AF45">
            <v>5579576</v>
          </cell>
          <cell r="AG45">
            <v>10906</v>
          </cell>
          <cell r="AH45">
            <v>2</v>
          </cell>
          <cell r="AK45">
            <v>33303</v>
          </cell>
        </row>
        <row r="46">
          <cell r="B46">
            <v>76572507</v>
          </cell>
          <cell r="E46">
            <v>30083328</v>
          </cell>
          <cell r="F46">
            <v>29276</v>
          </cell>
          <cell r="I46">
            <v>12133172</v>
          </cell>
          <cell r="J46">
            <v>3649</v>
          </cell>
          <cell r="M46">
            <v>29163628</v>
          </cell>
          <cell r="N46">
            <v>64394</v>
          </cell>
          <cell r="O46">
            <v>387</v>
          </cell>
          <cell r="R46">
            <v>521999</v>
          </cell>
          <cell r="S46">
            <v>1363</v>
          </cell>
          <cell r="T46">
            <v>8126</v>
          </cell>
          <cell r="W46">
            <v>94770</v>
          </cell>
          <cell r="X46">
            <v>217</v>
          </cell>
          <cell r="Y46">
            <v>666</v>
          </cell>
          <cell r="AF46">
            <v>5446684</v>
          </cell>
          <cell r="AG46">
            <v>11571</v>
          </cell>
          <cell r="AH46">
            <v>2</v>
          </cell>
          <cell r="AK46">
            <v>33314</v>
          </cell>
        </row>
        <row r="47">
          <cell r="B47">
            <v>64546323</v>
          </cell>
          <cell r="E47">
            <v>28296764</v>
          </cell>
          <cell r="F47">
            <v>29289</v>
          </cell>
          <cell r="I47">
            <v>12126117</v>
          </cell>
          <cell r="J47">
            <v>3647</v>
          </cell>
          <cell r="M47">
            <v>30214073</v>
          </cell>
          <cell r="N47">
            <v>65918</v>
          </cell>
          <cell r="O47">
            <v>386</v>
          </cell>
          <cell r="R47">
            <v>513060</v>
          </cell>
          <cell r="S47">
            <v>1363</v>
          </cell>
          <cell r="T47">
            <v>8142</v>
          </cell>
          <cell r="W47">
            <v>88697</v>
          </cell>
          <cell r="X47">
            <v>237</v>
          </cell>
          <cell r="Y47">
            <v>668</v>
          </cell>
          <cell r="AF47">
            <v>5930156</v>
          </cell>
          <cell r="AG47">
            <v>11539</v>
          </cell>
          <cell r="AH47">
            <v>2</v>
          </cell>
          <cell r="AK47">
            <v>33324</v>
          </cell>
        </row>
        <row r="48">
          <cell r="B48">
            <v>61750575</v>
          </cell>
          <cell r="E48">
            <v>20381881</v>
          </cell>
          <cell r="F48">
            <v>29302</v>
          </cell>
          <cell r="I48">
            <v>9135020</v>
          </cell>
          <cell r="J48">
            <v>3645</v>
          </cell>
          <cell r="M48">
            <v>25765104</v>
          </cell>
          <cell r="N48">
            <v>61378</v>
          </cell>
          <cell r="O48">
            <v>385</v>
          </cell>
          <cell r="R48">
            <v>444419</v>
          </cell>
          <cell r="S48">
            <v>1364</v>
          </cell>
          <cell r="T48">
            <v>8158</v>
          </cell>
          <cell r="W48">
            <v>71229</v>
          </cell>
          <cell r="X48">
            <v>233</v>
          </cell>
          <cell r="Y48">
            <v>670</v>
          </cell>
          <cell r="AF48">
            <v>5544454</v>
          </cell>
          <cell r="AG48">
            <v>10685</v>
          </cell>
          <cell r="AH48">
            <v>2</v>
          </cell>
          <cell r="AK48">
            <v>33334</v>
          </cell>
        </row>
        <row r="49">
          <cell r="B49">
            <v>71956114</v>
          </cell>
          <cell r="E49">
            <v>21095579</v>
          </cell>
          <cell r="F49">
            <v>29315</v>
          </cell>
          <cell r="I49">
            <v>10210363</v>
          </cell>
          <cell r="J49">
            <v>3643</v>
          </cell>
          <cell r="M49">
            <v>27064094</v>
          </cell>
          <cell r="N49">
            <v>67175</v>
          </cell>
          <cell r="O49">
            <v>385</v>
          </cell>
          <cell r="R49">
            <v>393213</v>
          </cell>
          <cell r="S49">
            <v>1364</v>
          </cell>
          <cell r="T49">
            <v>8174</v>
          </cell>
          <cell r="W49">
            <v>65325</v>
          </cell>
          <cell r="X49">
            <v>241</v>
          </cell>
          <cell r="Y49">
            <v>672</v>
          </cell>
          <cell r="AF49">
            <v>5595650</v>
          </cell>
          <cell r="AG49">
            <v>10963</v>
          </cell>
          <cell r="AH49">
            <v>2</v>
          </cell>
          <cell r="AK49">
            <v>33345</v>
          </cell>
        </row>
        <row r="50">
          <cell r="B50">
            <v>73387032</v>
          </cell>
          <cell r="E50">
            <v>21588658</v>
          </cell>
          <cell r="F50">
            <v>29328</v>
          </cell>
          <cell r="I50">
            <v>8901062</v>
          </cell>
          <cell r="J50">
            <v>3641</v>
          </cell>
          <cell r="M50">
            <v>24066018</v>
          </cell>
          <cell r="N50">
            <v>53865</v>
          </cell>
          <cell r="O50">
            <v>384</v>
          </cell>
          <cell r="R50">
            <v>356802</v>
          </cell>
          <cell r="S50">
            <v>1364</v>
          </cell>
          <cell r="T50">
            <v>8190</v>
          </cell>
          <cell r="W50">
            <v>51501</v>
          </cell>
          <cell r="X50">
            <v>194</v>
          </cell>
          <cell r="Y50">
            <v>675</v>
          </cell>
          <cell r="AF50">
            <v>5901176</v>
          </cell>
          <cell r="AG50">
            <v>11338</v>
          </cell>
          <cell r="AH50">
            <v>2</v>
          </cell>
          <cell r="AK50">
            <v>33355</v>
          </cell>
        </row>
        <row r="51">
          <cell r="B51">
            <v>72098075</v>
          </cell>
          <cell r="E51">
            <v>27659219</v>
          </cell>
          <cell r="F51">
            <v>29341</v>
          </cell>
          <cell r="I51">
            <v>12486197</v>
          </cell>
          <cell r="J51">
            <v>3639</v>
          </cell>
          <cell r="M51">
            <v>30455282</v>
          </cell>
          <cell r="N51">
            <v>72419</v>
          </cell>
          <cell r="O51">
            <v>384</v>
          </cell>
          <cell r="R51">
            <v>382321</v>
          </cell>
          <cell r="S51">
            <v>1364</v>
          </cell>
          <cell r="T51">
            <v>8206</v>
          </cell>
          <cell r="W51">
            <v>65358</v>
          </cell>
          <cell r="X51">
            <v>245</v>
          </cell>
          <cell r="Y51">
            <v>678</v>
          </cell>
          <cell r="AF51">
            <v>4374689</v>
          </cell>
          <cell r="AG51">
            <v>10972</v>
          </cell>
          <cell r="AH51">
            <v>2</v>
          </cell>
          <cell r="AK51">
            <v>33366</v>
          </cell>
        </row>
        <row r="52">
          <cell r="B52">
            <v>64972689</v>
          </cell>
          <cell r="E52">
            <v>24019712</v>
          </cell>
          <cell r="F52">
            <v>29354</v>
          </cell>
          <cell r="I52">
            <v>11358177</v>
          </cell>
          <cell r="J52">
            <v>3637</v>
          </cell>
          <cell r="M52">
            <v>28407746</v>
          </cell>
          <cell r="N52">
            <v>65316</v>
          </cell>
          <cell r="O52">
            <v>383</v>
          </cell>
          <cell r="R52">
            <v>436781</v>
          </cell>
          <cell r="S52">
            <v>1364</v>
          </cell>
          <cell r="T52">
            <v>8222</v>
          </cell>
          <cell r="W52">
            <v>69366</v>
          </cell>
          <cell r="X52">
            <v>236</v>
          </cell>
          <cell r="Y52">
            <v>681</v>
          </cell>
          <cell r="AF52">
            <v>5916315</v>
          </cell>
          <cell r="AG52">
            <v>11950</v>
          </cell>
          <cell r="AH52">
            <v>2</v>
          </cell>
          <cell r="AK52">
            <v>33376</v>
          </cell>
        </row>
        <row r="53">
          <cell r="B53">
            <v>65688638</v>
          </cell>
          <cell r="E53">
            <v>19081473</v>
          </cell>
          <cell r="F53">
            <v>29367</v>
          </cell>
          <cell r="I53">
            <v>9395752</v>
          </cell>
          <cell r="J53">
            <v>3635</v>
          </cell>
          <cell r="M53">
            <v>27045967</v>
          </cell>
          <cell r="N53">
            <v>63489</v>
          </cell>
          <cell r="O53">
            <v>382</v>
          </cell>
          <cell r="R53">
            <v>483129</v>
          </cell>
          <cell r="S53">
            <v>1364</v>
          </cell>
          <cell r="T53">
            <v>8238</v>
          </cell>
          <cell r="W53">
            <v>73879</v>
          </cell>
          <cell r="X53">
            <v>236</v>
          </cell>
          <cell r="Y53">
            <v>684</v>
          </cell>
          <cell r="AF53">
            <v>5726994</v>
          </cell>
          <cell r="AG53">
            <v>11633</v>
          </cell>
          <cell r="AH53">
            <v>2</v>
          </cell>
          <cell r="AK53">
            <v>33386</v>
          </cell>
        </row>
        <row r="54">
          <cell r="B54">
            <v>70111288</v>
          </cell>
          <cell r="E54">
            <v>20472120</v>
          </cell>
          <cell r="F54">
            <v>29380</v>
          </cell>
          <cell r="I54">
            <v>9455405</v>
          </cell>
          <cell r="J54">
            <v>3633</v>
          </cell>
          <cell r="M54">
            <v>26541837</v>
          </cell>
          <cell r="N54">
            <v>63297</v>
          </cell>
          <cell r="O54">
            <v>382</v>
          </cell>
          <cell r="R54">
            <v>554584</v>
          </cell>
          <cell r="S54">
            <v>1377</v>
          </cell>
          <cell r="T54">
            <v>8254</v>
          </cell>
          <cell r="W54">
            <v>91202</v>
          </cell>
          <cell r="X54">
            <v>233</v>
          </cell>
          <cell r="Y54">
            <v>687</v>
          </cell>
          <cell r="AF54">
            <v>5634277</v>
          </cell>
          <cell r="AG54">
            <v>11413</v>
          </cell>
          <cell r="AH54">
            <v>2</v>
          </cell>
          <cell r="AK54">
            <v>33397</v>
          </cell>
        </row>
        <row r="55">
          <cell r="B55">
            <v>79917691</v>
          </cell>
          <cell r="E55">
            <v>22499251</v>
          </cell>
          <cell r="F55">
            <v>29400</v>
          </cell>
          <cell r="I55">
            <v>8619574</v>
          </cell>
          <cell r="J55">
            <v>3631</v>
          </cell>
          <cell r="M55">
            <v>24647267</v>
          </cell>
          <cell r="N55">
            <v>55686</v>
          </cell>
          <cell r="O55">
            <v>381</v>
          </cell>
          <cell r="R55">
            <v>625722</v>
          </cell>
          <cell r="S55">
            <v>1377</v>
          </cell>
          <cell r="T55">
            <v>8275</v>
          </cell>
          <cell r="W55">
            <v>87183</v>
          </cell>
          <cell r="X55">
            <v>205</v>
          </cell>
          <cell r="Y55">
            <v>689</v>
          </cell>
          <cell r="AF55">
            <v>5543849</v>
          </cell>
          <cell r="AG55">
            <v>11281</v>
          </cell>
          <cell r="AH55">
            <v>2</v>
          </cell>
          <cell r="AK55">
            <v>33414</v>
          </cell>
        </row>
        <row r="56">
          <cell r="B56">
            <v>79703735</v>
          </cell>
          <cell r="E56">
            <v>32352102</v>
          </cell>
          <cell r="F56">
            <v>29427</v>
          </cell>
          <cell r="I56">
            <v>13347020</v>
          </cell>
          <cell r="J56">
            <v>3628</v>
          </cell>
          <cell r="M56">
            <v>31264926</v>
          </cell>
          <cell r="N56">
            <v>73246</v>
          </cell>
          <cell r="O56">
            <v>381</v>
          </cell>
          <cell r="R56">
            <v>661335</v>
          </cell>
          <cell r="S56">
            <v>1377</v>
          </cell>
          <cell r="T56">
            <v>8272</v>
          </cell>
          <cell r="W56">
            <v>131276</v>
          </cell>
          <cell r="X56">
            <v>262</v>
          </cell>
          <cell r="Y56">
            <v>688</v>
          </cell>
          <cell r="AB56">
            <v>0</v>
          </cell>
          <cell r="AF56">
            <v>5214578</v>
          </cell>
          <cell r="AG56">
            <v>11078</v>
          </cell>
          <cell r="AH56">
            <v>2</v>
          </cell>
          <cell r="AK56">
            <v>33438</v>
          </cell>
        </row>
        <row r="57">
          <cell r="B57">
            <v>74315353</v>
          </cell>
          <cell r="E57">
            <v>27412201</v>
          </cell>
          <cell r="F57">
            <v>29454</v>
          </cell>
          <cell r="I57">
            <v>10224058</v>
          </cell>
          <cell r="J57">
            <v>3625</v>
          </cell>
          <cell r="M57">
            <v>27516613</v>
          </cell>
          <cell r="N57">
            <v>64131</v>
          </cell>
          <cell r="O57">
            <v>380</v>
          </cell>
          <cell r="R57">
            <v>651411</v>
          </cell>
          <cell r="S57">
            <v>1381</v>
          </cell>
          <cell r="T57">
            <v>8269</v>
          </cell>
          <cell r="W57">
            <v>94847</v>
          </cell>
          <cell r="X57">
            <v>186</v>
          </cell>
          <cell r="Y57">
            <v>688</v>
          </cell>
          <cell r="AB57">
            <v>0</v>
          </cell>
          <cell r="AF57">
            <v>5783247</v>
          </cell>
          <cell r="AG57">
            <v>10821</v>
          </cell>
          <cell r="AH57">
            <v>2</v>
          </cell>
          <cell r="AK57">
            <v>33461</v>
          </cell>
        </row>
        <row r="58">
          <cell r="B58">
            <v>75996451</v>
          </cell>
          <cell r="E58">
            <v>28556474</v>
          </cell>
          <cell r="F58">
            <v>29481</v>
          </cell>
          <cell r="I58">
            <v>10487626</v>
          </cell>
          <cell r="J58">
            <v>3622</v>
          </cell>
          <cell r="M58">
            <v>26970483</v>
          </cell>
          <cell r="N58">
            <v>59435</v>
          </cell>
          <cell r="O58">
            <v>379</v>
          </cell>
          <cell r="R58">
            <v>537683</v>
          </cell>
          <cell r="S58">
            <v>1381</v>
          </cell>
          <cell r="T58">
            <v>8266</v>
          </cell>
          <cell r="W58">
            <v>111446</v>
          </cell>
          <cell r="X58">
            <v>209</v>
          </cell>
          <cell r="Y58">
            <v>687</v>
          </cell>
          <cell r="AB58">
            <v>0</v>
          </cell>
          <cell r="AF58">
            <v>5399970</v>
          </cell>
          <cell r="AG58">
            <v>11071</v>
          </cell>
          <cell r="AH58">
            <v>2</v>
          </cell>
          <cell r="AK58">
            <v>33484</v>
          </cell>
        </row>
        <row r="59">
          <cell r="B59">
            <v>63231564</v>
          </cell>
          <cell r="E59">
            <v>25863105</v>
          </cell>
          <cell r="F59">
            <v>29508</v>
          </cell>
          <cell r="I59">
            <v>9536765</v>
          </cell>
          <cell r="J59">
            <v>3619</v>
          </cell>
          <cell r="M59">
            <v>26713487</v>
          </cell>
          <cell r="N59">
            <v>58690</v>
          </cell>
          <cell r="O59">
            <v>379</v>
          </cell>
          <cell r="R59">
            <v>531375</v>
          </cell>
          <cell r="S59">
            <v>1381</v>
          </cell>
          <cell r="T59">
            <v>8263</v>
          </cell>
          <cell r="W59">
            <v>69232</v>
          </cell>
          <cell r="X59">
            <v>162</v>
          </cell>
          <cell r="Y59">
            <v>686</v>
          </cell>
          <cell r="AB59">
            <v>0</v>
          </cell>
          <cell r="AF59">
            <v>5835271</v>
          </cell>
          <cell r="AG59">
            <v>10795</v>
          </cell>
          <cell r="AH59">
            <v>2</v>
          </cell>
          <cell r="AK59">
            <v>33508</v>
          </cell>
        </row>
        <row r="60">
          <cell r="B60">
            <v>63212361</v>
          </cell>
          <cell r="E60">
            <v>21909510</v>
          </cell>
          <cell r="F60">
            <v>29535</v>
          </cell>
          <cell r="I60">
            <v>10828303</v>
          </cell>
          <cell r="J60">
            <v>3616</v>
          </cell>
          <cell r="M60">
            <v>27615897</v>
          </cell>
          <cell r="N60">
            <v>69194</v>
          </cell>
          <cell r="O60">
            <v>378</v>
          </cell>
          <cell r="R60">
            <v>457774</v>
          </cell>
          <cell r="S60">
            <v>1381</v>
          </cell>
          <cell r="T60">
            <v>8260</v>
          </cell>
          <cell r="W60">
            <v>114234</v>
          </cell>
          <cell r="X60">
            <v>306</v>
          </cell>
          <cell r="Y60">
            <v>686</v>
          </cell>
          <cell r="AB60">
            <v>0</v>
          </cell>
          <cell r="AF60">
            <v>5402042</v>
          </cell>
          <cell r="AG60">
            <v>10697</v>
          </cell>
          <cell r="AH60">
            <v>2</v>
          </cell>
          <cell r="AK60">
            <v>33531</v>
          </cell>
        </row>
        <row r="61">
          <cell r="B61">
            <v>66176947</v>
          </cell>
          <cell r="E61">
            <v>18968375</v>
          </cell>
          <cell r="F61">
            <v>29562</v>
          </cell>
          <cell r="I61">
            <v>9075768</v>
          </cell>
          <cell r="J61">
            <v>3613</v>
          </cell>
          <cell r="M61">
            <v>25813828</v>
          </cell>
          <cell r="N61">
            <v>67510</v>
          </cell>
          <cell r="O61">
            <v>378</v>
          </cell>
          <cell r="R61">
            <v>412305</v>
          </cell>
          <cell r="S61">
            <v>1381</v>
          </cell>
          <cell r="T61">
            <v>8257</v>
          </cell>
          <cell r="W61">
            <v>69836</v>
          </cell>
          <cell r="X61">
            <v>236</v>
          </cell>
          <cell r="Y61">
            <v>685</v>
          </cell>
          <cell r="AB61">
            <v>163910</v>
          </cell>
          <cell r="AF61">
            <v>5266454</v>
          </cell>
          <cell r="AG61">
            <v>11382</v>
          </cell>
          <cell r="AH61">
            <v>2</v>
          </cell>
          <cell r="AK61">
            <v>33555</v>
          </cell>
        </row>
        <row r="62">
          <cell r="B62">
            <v>71462724</v>
          </cell>
          <cell r="E62">
            <v>20659688</v>
          </cell>
          <cell r="F62">
            <v>29589</v>
          </cell>
          <cell r="I62">
            <v>9649285</v>
          </cell>
          <cell r="J62">
            <v>3610</v>
          </cell>
          <cell r="M62">
            <v>26195737</v>
          </cell>
          <cell r="N62">
            <v>74300</v>
          </cell>
          <cell r="O62">
            <v>377</v>
          </cell>
          <cell r="R62">
            <v>372839</v>
          </cell>
          <cell r="S62">
            <v>1381</v>
          </cell>
          <cell r="T62">
            <v>8254</v>
          </cell>
          <cell r="W62">
            <v>65007</v>
          </cell>
          <cell r="X62">
            <v>404</v>
          </cell>
          <cell r="Y62">
            <v>685</v>
          </cell>
          <cell r="AB62">
            <v>160475</v>
          </cell>
          <cell r="AF62">
            <v>5603091</v>
          </cell>
          <cell r="AG62">
            <v>11593</v>
          </cell>
          <cell r="AH62">
            <v>2</v>
          </cell>
          <cell r="AK62">
            <v>33578</v>
          </cell>
        </row>
        <row r="63">
          <cell r="B63">
            <v>70161206</v>
          </cell>
          <cell r="E63">
            <v>26909697</v>
          </cell>
          <cell r="F63">
            <v>29616</v>
          </cell>
          <cell r="I63">
            <v>12525907</v>
          </cell>
          <cell r="J63">
            <v>3607</v>
          </cell>
          <cell r="M63">
            <v>30411686</v>
          </cell>
          <cell r="N63">
            <v>77732</v>
          </cell>
          <cell r="O63">
            <v>377</v>
          </cell>
          <cell r="R63">
            <v>395175</v>
          </cell>
          <cell r="S63">
            <v>1381</v>
          </cell>
          <cell r="T63">
            <v>8251</v>
          </cell>
          <cell r="W63">
            <v>77758</v>
          </cell>
          <cell r="X63">
            <v>416</v>
          </cell>
          <cell r="Y63">
            <v>684</v>
          </cell>
          <cell r="AB63">
            <v>167892</v>
          </cell>
          <cell r="AF63">
            <v>4262374</v>
          </cell>
          <cell r="AG63">
            <v>11031</v>
          </cell>
          <cell r="AH63">
            <v>2</v>
          </cell>
          <cell r="AK63">
            <v>33602</v>
          </cell>
        </row>
        <row r="64">
          <cell r="B64">
            <v>61162530.2</v>
          </cell>
          <cell r="E64">
            <v>22182416</v>
          </cell>
          <cell r="F64">
            <v>29643</v>
          </cell>
          <cell r="I64">
            <v>10514229</v>
          </cell>
          <cell r="J64">
            <v>3604</v>
          </cell>
          <cell r="M64">
            <v>27766805</v>
          </cell>
          <cell r="N64">
            <v>69983</v>
          </cell>
          <cell r="O64">
            <v>376</v>
          </cell>
          <cell r="R64">
            <v>445172</v>
          </cell>
          <cell r="S64">
            <v>1381</v>
          </cell>
          <cell r="T64">
            <v>8248</v>
          </cell>
          <cell r="W64">
            <v>76371</v>
          </cell>
          <cell r="X64">
            <v>419</v>
          </cell>
          <cell r="Y64">
            <v>684</v>
          </cell>
          <cell r="AB64">
            <v>169158</v>
          </cell>
          <cell r="AF64">
            <v>5833631</v>
          </cell>
          <cell r="AG64">
            <v>11451</v>
          </cell>
          <cell r="AH64">
            <v>2</v>
          </cell>
          <cell r="AK64">
            <v>33625</v>
          </cell>
        </row>
        <row r="65">
          <cell r="B65">
            <v>66564497</v>
          </cell>
          <cell r="E65">
            <v>19486892</v>
          </cell>
          <cell r="F65">
            <v>29670</v>
          </cell>
          <cell r="I65">
            <v>8647513</v>
          </cell>
          <cell r="J65">
            <v>3601</v>
          </cell>
          <cell r="M65">
            <v>24192916</v>
          </cell>
          <cell r="N65">
            <v>61095</v>
          </cell>
          <cell r="O65">
            <v>375</v>
          </cell>
          <cell r="R65">
            <v>522195</v>
          </cell>
          <cell r="S65">
            <v>1381</v>
          </cell>
          <cell r="T65">
            <v>8245</v>
          </cell>
          <cell r="W65">
            <v>82128</v>
          </cell>
          <cell r="X65">
            <v>443</v>
          </cell>
          <cell r="Y65">
            <v>683</v>
          </cell>
          <cell r="AB65">
            <v>172304</v>
          </cell>
          <cell r="AF65">
            <v>5353616</v>
          </cell>
          <cell r="AG65">
            <v>10663</v>
          </cell>
          <cell r="AH65">
            <v>2</v>
          </cell>
          <cell r="AK65">
            <v>33648</v>
          </cell>
        </row>
        <row r="66">
          <cell r="B66">
            <v>69340297</v>
          </cell>
          <cell r="E66">
            <v>22786959</v>
          </cell>
          <cell r="F66">
            <v>29697</v>
          </cell>
          <cell r="I66">
            <v>10929489</v>
          </cell>
          <cell r="J66">
            <v>3598</v>
          </cell>
          <cell r="M66">
            <v>28223913</v>
          </cell>
          <cell r="N66">
            <v>71777</v>
          </cell>
          <cell r="O66">
            <v>375</v>
          </cell>
          <cell r="R66">
            <v>622287</v>
          </cell>
          <cell r="S66">
            <v>1381</v>
          </cell>
          <cell r="T66">
            <v>8242</v>
          </cell>
          <cell r="W66">
            <v>116541</v>
          </cell>
          <cell r="X66">
            <v>522</v>
          </cell>
          <cell r="Y66">
            <v>683</v>
          </cell>
          <cell r="AB66">
            <v>167245</v>
          </cell>
          <cell r="AF66">
            <v>5608005</v>
          </cell>
          <cell r="AG66">
            <v>11490</v>
          </cell>
          <cell r="AH66">
            <v>2</v>
          </cell>
          <cell r="AK66">
            <v>33672</v>
          </cell>
        </row>
        <row r="67">
          <cell r="B67">
            <v>74668663</v>
          </cell>
          <cell r="E67">
            <v>23088082</v>
          </cell>
          <cell r="F67">
            <v>29726</v>
          </cell>
          <cell r="I67">
            <v>8587973</v>
          </cell>
          <cell r="J67">
            <v>3598</v>
          </cell>
          <cell r="M67">
            <v>24341037</v>
          </cell>
          <cell r="N67">
            <v>58033</v>
          </cell>
          <cell r="O67">
            <v>374</v>
          </cell>
          <cell r="R67">
            <v>673968</v>
          </cell>
          <cell r="S67">
            <v>1381</v>
          </cell>
          <cell r="T67">
            <v>8238</v>
          </cell>
          <cell r="W67">
            <v>84349</v>
          </cell>
          <cell r="X67">
            <v>465</v>
          </cell>
          <cell r="Y67">
            <v>682</v>
          </cell>
          <cell r="AB67">
            <v>218815</v>
          </cell>
          <cell r="AF67">
            <v>5537879</v>
          </cell>
          <cell r="AG67">
            <v>10970</v>
          </cell>
          <cell r="AH67">
            <v>2</v>
          </cell>
          <cell r="AK67">
            <v>33700</v>
          </cell>
        </row>
        <row r="68">
          <cell r="B68">
            <v>81968591</v>
          </cell>
          <cell r="E68">
            <v>29169242</v>
          </cell>
          <cell r="F68">
            <v>29760</v>
          </cell>
          <cell r="I68">
            <v>12209526</v>
          </cell>
          <cell r="J68">
            <v>3601</v>
          </cell>
          <cell r="M68">
            <v>29948714</v>
          </cell>
          <cell r="N68">
            <v>75509</v>
          </cell>
          <cell r="O68">
            <v>374</v>
          </cell>
          <cell r="R68">
            <v>719289</v>
          </cell>
          <cell r="S68">
            <v>1396</v>
          </cell>
          <cell r="T68">
            <v>8245</v>
          </cell>
          <cell r="W68">
            <v>150963</v>
          </cell>
          <cell r="X68">
            <v>286</v>
          </cell>
          <cell r="Y68">
            <v>664</v>
          </cell>
          <cell r="AB68">
            <v>185375</v>
          </cell>
          <cell r="AC68">
            <v>383</v>
          </cell>
          <cell r="AF68">
            <v>4751874</v>
          </cell>
          <cell r="AG68">
            <v>10523</v>
          </cell>
          <cell r="AH68">
            <v>2</v>
          </cell>
          <cell r="AK68">
            <v>33737</v>
          </cell>
        </row>
        <row r="69">
          <cell r="B69">
            <v>78582100</v>
          </cell>
          <cell r="E69">
            <v>27351943</v>
          </cell>
          <cell r="F69">
            <v>29794</v>
          </cell>
          <cell r="I69">
            <v>9659857</v>
          </cell>
          <cell r="J69">
            <v>3604</v>
          </cell>
          <cell r="M69">
            <v>27118334</v>
          </cell>
          <cell r="N69">
            <v>62342</v>
          </cell>
          <cell r="O69">
            <v>374</v>
          </cell>
          <cell r="R69">
            <v>682978</v>
          </cell>
          <cell r="S69">
            <v>1404</v>
          </cell>
          <cell r="T69">
            <v>8252</v>
          </cell>
          <cell r="W69">
            <v>89673</v>
          </cell>
          <cell r="X69">
            <v>176</v>
          </cell>
          <cell r="Y69">
            <v>646</v>
          </cell>
          <cell r="AB69">
            <v>204349</v>
          </cell>
          <cell r="AC69">
            <v>383</v>
          </cell>
          <cell r="AF69">
            <v>5634226</v>
          </cell>
          <cell r="AG69">
            <v>10481</v>
          </cell>
          <cell r="AH69">
            <v>2</v>
          </cell>
          <cell r="AK69">
            <v>33774</v>
          </cell>
        </row>
        <row r="70">
          <cell r="B70">
            <v>77387451</v>
          </cell>
          <cell r="E70">
            <v>32663144</v>
          </cell>
          <cell r="F70">
            <v>29828</v>
          </cell>
          <cell r="I70">
            <v>12838723</v>
          </cell>
          <cell r="J70">
            <v>3607</v>
          </cell>
          <cell r="M70">
            <v>31144274</v>
          </cell>
          <cell r="N70">
            <v>73423</v>
          </cell>
          <cell r="O70">
            <v>374</v>
          </cell>
          <cell r="R70">
            <v>550301</v>
          </cell>
          <cell r="S70">
            <v>1392</v>
          </cell>
          <cell r="T70">
            <v>8259</v>
          </cell>
          <cell r="W70">
            <v>115863</v>
          </cell>
          <cell r="X70">
            <v>260</v>
          </cell>
          <cell r="Y70">
            <v>628</v>
          </cell>
          <cell r="AB70">
            <v>183424</v>
          </cell>
          <cell r="AC70">
            <v>383</v>
          </cell>
          <cell r="AF70">
            <v>5175767</v>
          </cell>
          <cell r="AG70">
            <v>10313</v>
          </cell>
          <cell r="AH70">
            <v>2</v>
          </cell>
          <cell r="AK70">
            <v>33811</v>
          </cell>
        </row>
        <row r="71">
          <cell r="B71">
            <v>66825873</v>
          </cell>
          <cell r="E71">
            <v>25077308</v>
          </cell>
          <cell r="F71">
            <v>29862</v>
          </cell>
          <cell r="I71">
            <v>12397570</v>
          </cell>
          <cell r="J71">
            <v>3610</v>
          </cell>
          <cell r="M71">
            <v>28457199</v>
          </cell>
          <cell r="N71">
            <v>69802</v>
          </cell>
          <cell r="O71">
            <v>375</v>
          </cell>
          <cell r="R71">
            <v>565405</v>
          </cell>
          <cell r="S71">
            <v>1392</v>
          </cell>
          <cell r="T71">
            <v>8266</v>
          </cell>
          <cell r="W71">
            <v>90078</v>
          </cell>
          <cell r="X71">
            <v>221</v>
          </cell>
          <cell r="Y71">
            <v>610</v>
          </cell>
          <cell r="AB71">
            <v>185064</v>
          </cell>
          <cell r="AC71">
            <v>383</v>
          </cell>
          <cell r="AF71">
            <v>5422080</v>
          </cell>
          <cell r="AG71">
            <v>10637</v>
          </cell>
          <cell r="AH71">
            <v>2</v>
          </cell>
          <cell r="AK71">
            <v>33849</v>
          </cell>
        </row>
        <row r="72">
          <cell r="B72">
            <v>63985051</v>
          </cell>
          <cell r="E72">
            <v>23014582</v>
          </cell>
          <cell r="F72">
            <v>29896</v>
          </cell>
          <cell r="I72">
            <v>9946837</v>
          </cell>
          <cell r="J72">
            <v>3613</v>
          </cell>
          <cell r="M72">
            <v>26632306</v>
          </cell>
          <cell r="N72">
            <v>66998</v>
          </cell>
          <cell r="O72">
            <v>375</v>
          </cell>
          <cell r="R72">
            <v>557204</v>
          </cell>
          <cell r="S72">
            <v>1392</v>
          </cell>
          <cell r="T72">
            <v>8273</v>
          </cell>
          <cell r="W72">
            <v>90929</v>
          </cell>
          <cell r="X72">
            <v>216</v>
          </cell>
          <cell r="Y72">
            <v>592</v>
          </cell>
          <cell r="AB72">
            <v>189004</v>
          </cell>
          <cell r="AC72">
            <v>383</v>
          </cell>
          <cell r="AF72">
            <v>4823158</v>
          </cell>
          <cell r="AG72">
            <v>10885</v>
          </cell>
          <cell r="AH72">
            <v>2</v>
          </cell>
          <cell r="AK72">
            <v>33886</v>
          </cell>
        </row>
        <row r="73">
          <cell r="B73">
            <v>69238506</v>
          </cell>
          <cell r="E73">
            <v>19103351</v>
          </cell>
          <cell r="F73">
            <v>29930</v>
          </cell>
          <cell r="I73">
            <v>9482301</v>
          </cell>
          <cell r="J73">
            <v>3616</v>
          </cell>
          <cell r="M73">
            <v>26699027</v>
          </cell>
          <cell r="N73">
            <v>69143</v>
          </cell>
          <cell r="O73">
            <v>375</v>
          </cell>
          <cell r="R73">
            <v>517808</v>
          </cell>
          <cell r="S73">
            <v>1392</v>
          </cell>
          <cell r="T73">
            <v>8280</v>
          </cell>
          <cell r="W73">
            <v>81874</v>
          </cell>
          <cell r="X73">
            <v>209</v>
          </cell>
          <cell r="Y73">
            <v>574</v>
          </cell>
          <cell r="AB73">
            <v>173983</v>
          </cell>
          <cell r="AC73">
            <v>383</v>
          </cell>
          <cell r="AF73">
            <v>5538948</v>
          </cell>
          <cell r="AG73">
            <v>10581</v>
          </cell>
          <cell r="AH73">
            <v>2</v>
          </cell>
          <cell r="AK73">
            <v>33923</v>
          </cell>
        </row>
        <row r="74">
          <cell r="B74">
            <v>68874470</v>
          </cell>
          <cell r="E74">
            <v>21934641</v>
          </cell>
          <cell r="F74">
            <v>29964</v>
          </cell>
          <cell r="I74">
            <v>10013660</v>
          </cell>
          <cell r="J74">
            <v>3619</v>
          </cell>
          <cell r="M74">
            <v>27465722</v>
          </cell>
          <cell r="N74">
            <v>71347</v>
          </cell>
          <cell r="O74">
            <v>375</v>
          </cell>
          <cell r="R74">
            <v>521626</v>
          </cell>
          <cell r="S74">
            <v>1390</v>
          </cell>
          <cell r="T74">
            <v>8287</v>
          </cell>
          <cell r="W74">
            <v>82718</v>
          </cell>
          <cell r="X74">
            <v>209</v>
          </cell>
          <cell r="Y74">
            <v>556</v>
          </cell>
          <cell r="AB74">
            <v>177003</v>
          </cell>
          <cell r="AC74">
            <v>383</v>
          </cell>
          <cell r="AF74">
            <v>5486523</v>
          </cell>
          <cell r="AG74">
            <v>10887</v>
          </cell>
          <cell r="AH74">
            <v>2</v>
          </cell>
          <cell r="AK74">
            <v>33960</v>
          </cell>
        </row>
        <row r="75">
          <cell r="B75">
            <v>71255747</v>
          </cell>
          <cell r="E75">
            <v>22963588</v>
          </cell>
          <cell r="F75">
            <v>29998</v>
          </cell>
          <cell r="I75">
            <v>11395623</v>
          </cell>
          <cell r="J75">
            <v>3622</v>
          </cell>
          <cell r="M75">
            <v>29544979</v>
          </cell>
          <cell r="N75">
            <v>75788</v>
          </cell>
          <cell r="O75">
            <v>376</v>
          </cell>
          <cell r="R75">
            <v>634928</v>
          </cell>
          <cell r="S75">
            <v>1390</v>
          </cell>
          <cell r="T75">
            <v>8294</v>
          </cell>
          <cell r="W75">
            <v>108426</v>
          </cell>
          <cell r="X75">
            <v>230</v>
          </cell>
          <cell r="Y75">
            <v>538</v>
          </cell>
          <cell r="AB75">
            <v>178244</v>
          </cell>
          <cell r="AC75">
            <v>383</v>
          </cell>
          <cell r="AF75">
            <v>4953909</v>
          </cell>
          <cell r="AG75">
            <v>11235</v>
          </cell>
          <cell r="AH75">
            <v>2</v>
          </cell>
          <cell r="AK75">
            <v>33998</v>
          </cell>
        </row>
        <row r="76">
          <cell r="B76">
            <v>63640572</v>
          </cell>
          <cell r="E76">
            <v>20721603</v>
          </cell>
          <cell r="F76">
            <v>30032</v>
          </cell>
          <cell r="I76">
            <v>8671518</v>
          </cell>
          <cell r="J76">
            <v>3625</v>
          </cell>
          <cell r="M76">
            <v>25864507</v>
          </cell>
          <cell r="N76">
            <v>61771</v>
          </cell>
          <cell r="O76">
            <v>376</v>
          </cell>
          <cell r="R76">
            <v>853161</v>
          </cell>
          <cell r="S76">
            <v>1390</v>
          </cell>
          <cell r="T76">
            <v>8301</v>
          </cell>
          <cell r="W76">
            <v>89965</v>
          </cell>
          <cell r="X76">
            <v>154</v>
          </cell>
          <cell r="Y76">
            <v>520</v>
          </cell>
          <cell r="AB76">
            <v>170315</v>
          </cell>
          <cell r="AC76">
            <v>383</v>
          </cell>
          <cell r="AF76">
            <v>5294174</v>
          </cell>
          <cell r="AG76">
            <v>10798</v>
          </cell>
          <cell r="AH76">
            <v>2</v>
          </cell>
          <cell r="AK76">
            <v>34035</v>
          </cell>
        </row>
        <row r="77">
          <cell r="B77">
            <v>64642499</v>
          </cell>
          <cell r="E77">
            <v>20689343</v>
          </cell>
          <cell r="F77">
            <v>30066</v>
          </cell>
          <cell r="I77">
            <v>11104430</v>
          </cell>
          <cell r="J77">
            <v>3628</v>
          </cell>
          <cell r="M77">
            <v>28788097</v>
          </cell>
          <cell r="N77">
            <v>78653</v>
          </cell>
          <cell r="O77">
            <v>376</v>
          </cell>
          <cell r="R77">
            <v>986242</v>
          </cell>
          <cell r="S77">
            <v>1394</v>
          </cell>
          <cell r="T77">
            <v>8308</v>
          </cell>
          <cell r="W77">
            <v>189393</v>
          </cell>
          <cell r="X77">
            <v>263</v>
          </cell>
          <cell r="Y77">
            <v>502</v>
          </cell>
          <cell r="AB77">
            <v>188384</v>
          </cell>
          <cell r="AC77">
            <v>383</v>
          </cell>
          <cell r="AF77">
            <v>5250483</v>
          </cell>
          <cell r="AG77">
            <v>10784</v>
          </cell>
          <cell r="AH77">
            <v>2</v>
          </cell>
          <cell r="AK77">
            <v>34072</v>
          </cell>
        </row>
        <row r="78">
          <cell r="B78">
            <v>71823632</v>
          </cell>
          <cell r="E78">
            <v>19542648</v>
          </cell>
          <cell r="F78">
            <v>30100</v>
          </cell>
          <cell r="I78">
            <v>8508324</v>
          </cell>
          <cell r="J78">
            <v>3631</v>
          </cell>
          <cell r="M78">
            <v>24475819</v>
          </cell>
          <cell r="N78">
            <v>62811</v>
          </cell>
          <cell r="O78">
            <v>376</v>
          </cell>
          <cell r="R78">
            <v>0</v>
          </cell>
          <cell r="S78">
            <v>0</v>
          </cell>
          <cell r="T78">
            <v>8315</v>
          </cell>
          <cell r="W78">
            <v>133802</v>
          </cell>
          <cell r="X78">
            <v>184</v>
          </cell>
          <cell r="Y78">
            <v>484</v>
          </cell>
          <cell r="AB78">
            <v>184395</v>
          </cell>
          <cell r="AC78">
            <v>383</v>
          </cell>
          <cell r="AF78">
            <v>5572880</v>
          </cell>
          <cell r="AG78">
            <v>10657</v>
          </cell>
          <cell r="AH78">
            <v>2</v>
          </cell>
          <cell r="AK78">
            <v>34109</v>
          </cell>
        </row>
        <row r="79">
          <cell r="B79">
            <v>79446397</v>
          </cell>
          <cell r="E79">
            <v>23156209</v>
          </cell>
          <cell r="F79">
            <v>30138</v>
          </cell>
          <cell r="I79">
            <v>8432639</v>
          </cell>
          <cell r="J79">
            <v>3635</v>
          </cell>
          <cell r="M79">
            <v>26928784</v>
          </cell>
          <cell r="N79">
            <v>63142</v>
          </cell>
          <cell r="O79">
            <v>376</v>
          </cell>
          <cell r="R79">
            <v>0</v>
          </cell>
          <cell r="S79">
            <v>0</v>
          </cell>
          <cell r="T79">
            <v>8324</v>
          </cell>
          <cell r="W79">
            <v>84635</v>
          </cell>
          <cell r="X79">
            <v>166</v>
          </cell>
          <cell r="Y79">
            <v>464</v>
          </cell>
          <cell r="AB79">
            <v>192182</v>
          </cell>
          <cell r="AC79">
            <v>383</v>
          </cell>
          <cell r="AF79">
            <v>5546078</v>
          </cell>
          <cell r="AG79">
            <v>10900</v>
          </cell>
          <cell r="AH79">
            <v>2</v>
          </cell>
          <cell r="AK79">
            <v>34151</v>
          </cell>
        </row>
        <row r="80">
          <cell r="B80">
            <v>81373762</v>
          </cell>
          <cell r="E80">
            <v>32782234</v>
          </cell>
          <cell r="F80">
            <v>30155</v>
          </cell>
          <cell r="I80">
            <v>14029923</v>
          </cell>
          <cell r="J80">
            <v>3635</v>
          </cell>
          <cell r="M80">
            <v>32240863</v>
          </cell>
          <cell r="N80">
            <v>79345</v>
          </cell>
          <cell r="O80">
            <v>375</v>
          </cell>
          <cell r="R80">
            <v>627009</v>
          </cell>
          <cell r="S80">
            <v>1394</v>
          </cell>
          <cell r="T80">
            <v>8297</v>
          </cell>
          <cell r="W80">
            <v>75859</v>
          </cell>
          <cell r="X80">
            <v>272</v>
          </cell>
          <cell r="Y80">
            <v>462</v>
          </cell>
          <cell r="AB80">
            <v>161074</v>
          </cell>
          <cell r="AC80">
            <v>383</v>
          </cell>
          <cell r="AF80">
            <v>4515579</v>
          </cell>
          <cell r="AG80">
            <v>14464</v>
          </cell>
          <cell r="AH80">
            <v>2</v>
          </cell>
          <cell r="AK80">
            <v>34167</v>
          </cell>
        </row>
        <row r="81">
          <cell r="B81">
            <v>77356887</v>
          </cell>
          <cell r="E81">
            <v>27143441</v>
          </cell>
          <cell r="F81">
            <v>30172</v>
          </cell>
          <cell r="I81">
            <v>9690981</v>
          </cell>
          <cell r="J81">
            <v>3635</v>
          </cell>
          <cell r="M81">
            <v>27471401</v>
          </cell>
          <cell r="N81">
            <v>62091</v>
          </cell>
          <cell r="O81">
            <v>374</v>
          </cell>
          <cell r="R81">
            <v>610722</v>
          </cell>
          <cell r="S81">
            <v>1394</v>
          </cell>
          <cell r="T81">
            <v>8270</v>
          </cell>
          <cell r="W81">
            <v>4947</v>
          </cell>
          <cell r="X81">
            <v>162</v>
          </cell>
          <cell r="Y81">
            <v>460</v>
          </cell>
          <cell r="AB81">
            <v>141963</v>
          </cell>
          <cell r="AC81">
            <v>383</v>
          </cell>
          <cell r="AF81">
            <v>5675396</v>
          </cell>
          <cell r="AG81">
            <v>10745</v>
          </cell>
          <cell r="AH81">
            <v>2</v>
          </cell>
          <cell r="AK81">
            <v>34183</v>
          </cell>
        </row>
        <row r="82">
          <cell r="B82">
            <v>77132501</v>
          </cell>
          <cell r="E82">
            <v>28007568</v>
          </cell>
          <cell r="F82">
            <v>30189</v>
          </cell>
          <cell r="I82">
            <v>10294005</v>
          </cell>
          <cell r="J82">
            <v>3634</v>
          </cell>
          <cell r="M82">
            <v>27949922</v>
          </cell>
          <cell r="N82">
            <v>64356</v>
          </cell>
          <cell r="O82">
            <v>373</v>
          </cell>
          <cell r="R82">
            <v>520638</v>
          </cell>
          <cell r="S82">
            <v>1380</v>
          </cell>
          <cell r="T82">
            <v>8243</v>
          </cell>
          <cell r="W82">
            <v>2784</v>
          </cell>
          <cell r="X82">
            <v>182</v>
          </cell>
          <cell r="Y82">
            <v>458</v>
          </cell>
          <cell r="AB82">
            <v>110520</v>
          </cell>
          <cell r="AC82">
            <v>383</v>
          </cell>
          <cell r="AF82">
            <v>5243270</v>
          </cell>
          <cell r="AG82">
            <v>11140</v>
          </cell>
          <cell r="AH82">
            <v>2</v>
          </cell>
          <cell r="AK82">
            <v>34198</v>
          </cell>
        </row>
        <row r="83">
          <cell r="B83">
            <v>65644265.8</v>
          </cell>
          <cell r="E83">
            <v>29986575</v>
          </cell>
          <cell r="F83">
            <v>30206</v>
          </cell>
          <cell r="I83">
            <v>12831701</v>
          </cell>
          <cell r="J83">
            <v>3634</v>
          </cell>
          <cell r="M83">
            <v>31462708</v>
          </cell>
          <cell r="N83">
            <v>72912</v>
          </cell>
          <cell r="O83">
            <v>372</v>
          </cell>
          <cell r="R83">
            <v>494090</v>
          </cell>
          <cell r="S83">
            <v>1384</v>
          </cell>
          <cell r="T83">
            <v>8216</v>
          </cell>
          <cell r="W83">
            <v>24228</v>
          </cell>
          <cell r="X83">
            <v>227</v>
          </cell>
          <cell r="Y83">
            <v>456</v>
          </cell>
          <cell r="AB83">
            <v>87446</v>
          </cell>
          <cell r="AC83">
            <v>383</v>
          </cell>
          <cell r="AF83">
            <v>5197058</v>
          </cell>
          <cell r="AG83">
            <v>11239</v>
          </cell>
          <cell r="AH83">
            <v>2</v>
          </cell>
          <cell r="AK83">
            <v>34214</v>
          </cell>
        </row>
        <row r="84">
          <cell r="B84">
            <v>63027512.099999994</v>
          </cell>
          <cell r="E84">
            <v>21185693</v>
          </cell>
          <cell r="F84">
            <v>30223</v>
          </cell>
          <cell r="I84">
            <v>9900121</v>
          </cell>
          <cell r="J84">
            <v>3634</v>
          </cell>
          <cell r="M84">
            <v>26459598</v>
          </cell>
          <cell r="N84">
            <v>68539</v>
          </cell>
          <cell r="O84">
            <v>371</v>
          </cell>
          <cell r="R84">
            <v>411270</v>
          </cell>
          <cell r="S84">
            <v>1382</v>
          </cell>
          <cell r="T84">
            <v>8189</v>
          </cell>
          <cell r="W84">
            <v>63112</v>
          </cell>
          <cell r="X84">
            <v>211</v>
          </cell>
          <cell r="Y84">
            <v>454</v>
          </cell>
          <cell r="AB84">
            <v>115191</v>
          </cell>
          <cell r="AC84">
            <v>383</v>
          </cell>
          <cell r="AF84">
            <v>5111780</v>
          </cell>
          <cell r="AG84">
            <v>10559</v>
          </cell>
          <cell r="AH84">
            <v>2</v>
          </cell>
          <cell r="AK84">
            <v>34230</v>
          </cell>
        </row>
        <row r="85">
          <cell r="B85">
            <v>67031106</v>
          </cell>
          <cell r="E85">
            <v>18542070</v>
          </cell>
          <cell r="F85">
            <v>30240</v>
          </cell>
          <cell r="I85">
            <v>8525747</v>
          </cell>
          <cell r="J85">
            <v>3633</v>
          </cell>
          <cell r="M85">
            <v>26348564</v>
          </cell>
          <cell r="N85">
            <v>68886</v>
          </cell>
          <cell r="O85">
            <v>370</v>
          </cell>
          <cell r="R85">
            <v>363289</v>
          </cell>
          <cell r="S85">
            <v>1368</v>
          </cell>
          <cell r="T85">
            <v>8162</v>
          </cell>
          <cell r="W85">
            <v>56647</v>
          </cell>
          <cell r="X85">
            <v>210</v>
          </cell>
          <cell r="Y85">
            <v>452</v>
          </cell>
          <cell r="AB85">
            <v>76462</v>
          </cell>
          <cell r="AC85">
            <v>383</v>
          </cell>
          <cell r="AF85">
            <v>5437920</v>
          </cell>
          <cell r="AG85">
            <v>10671</v>
          </cell>
          <cell r="AH85">
            <v>2</v>
          </cell>
          <cell r="AK85">
            <v>34245</v>
          </cell>
        </row>
        <row r="86">
          <cell r="B86">
            <v>70797854</v>
          </cell>
          <cell r="E86">
            <v>21600017</v>
          </cell>
          <cell r="F86">
            <v>30257</v>
          </cell>
          <cell r="I86">
            <v>9936013</v>
          </cell>
          <cell r="J86">
            <v>3633</v>
          </cell>
          <cell r="M86">
            <v>28554654</v>
          </cell>
          <cell r="N86">
            <v>75800</v>
          </cell>
          <cell r="O86">
            <v>369</v>
          </cell>
          <cell r="R86">
            <v>321270</v>
          </cell>
          <cell r="S86">
            <v>1368</v>
          </cell>
          <cell r="T86">
            <v>8135</v>
          </cell>
          <cell r="W86">
            <v>59400</v>
          </cell>
          <cell r="X86">
            <v>240</v>
          </cell>
          <cell r="Y86">
            <v>450</v>
          </cell>
          <cell r="AB86">
            <v>103193</v>
          </cell>
          <cell r="AC86">
            <v>383</v>
          </cell>
          <cell r="AF86">
            <v>5382218</v>
          </cell>
          <cell r="AG86">
            <v>10848</v>
          </cell>
          <cell r="AH86">
            <v>2</v>
          </cell>
          <cell r="AK86">
            <v>34261</v>
          </cell>
        </row>
        <row r="87">
          <cell r="B87">
            <v>66845262.56</v>
          </cell>
          <cell r="E87">
            <v>22344273</v>
          </cell>
          <cell r="F87">
            <v>30274</v>
          </cell>
          <cell r="I87">
            <v>9795220</v>
          </cell>
          <cell r="J87">
            <v>3633</v>
          </cell>
          <cell r="M87">
            <v>28591148</v>
          </cell>
          <cell r="N87">
            <v>70652</v>
          </cell>
          <cell r="O87">
            <v>368</v>
          </cell>
          <cell r="R87">
            <v>345568</v>
          </cell>
          <cell r="S87">
            <v>1368</v>
          </cell>
          <cell r="T87">
            <v>8108</v>
          </cell>
          <cell r="W87">
            <v>52889</v>
          </cell>
          <cell r="X87">
            <v>212</v>
          </cell>
          <cell r="Y87">
            <v>448</v>
          </cell>
          <cell r="AB87">
            <v>114243</v>
          </cell>
          <cell r="AC87">
            <v>383</v>
          </cell>
          <cell r="AF87">
            <v>5255368</v>
          </cell>
          <cell r="AG87">
            <v>11166</v>
          </cell>
          <cell r="AH87">
            <v>2</v>
          </cell>
          <cell r="AK87">
            <v>34277</v>
          </cell>
        </row>
        <row r="88">
          <cell r="B88">
            <v>64588581.01</v>
          </cell>
          <cell r="E88">
            <v>20906989</v>
          </cell>
          <cell r="F88">
            <v>30291</v>
          </cell>
          <cell r="I88">
            <v>8909032</v>
          </cell>
          <cell r="J88">
            <v>3632</v>
          </cell>
          <cell r="M88">
            <v>27639098</v>
          </cell>
          <cell r="N88">
            <v>69833</v>
          </cell>
          <cell r="O88">
            <v>367</v>
          </cell>
          <cell r="R88">
            <v>397884</v>
          </cell>
          <cell r="S88">
            <v>1368</v>
          </cell>
          <cell r="T88">
            <v>8081</v>
          </cell>
          <cell r="W88">
            <v>51469</v>
          </cell>
          <cell r="X88">
            <v>174</v>
          </cell>
          <cell r="Y88">
            <v>446</v>
          </cell>
          <cell r="AB88">
            <v>140451</v>
          </cell>
          <cell r="AC88">
            <v>383</v>
          </cell>
          <cell r="AF88">
            <v>5481097</v>
          </cell>
          <cell r="AG88">
            <v>10945</v>
          </cell>
          <cell r="AH88">
            <v>2</v>
          </cell>
          <cell r="AK88">
            <v>34292</v>
          </cell>
        </row>
        <row r="89">
          <cell r="B89">
            <v>66495027.160000004</v>
          </cell>
          <cell r="E89">
            <v>20620951</v>
          </cell>
          <cell r="F89">
            <v>30308</v>
          </cell>
          <cell r="I89">
            <v>9799741</v>
          </cell>
          <cell r="J89">
            <v>3632</v>
          </cell>
          <cell r="M89">
            <v>28204101</v>
          </cell>
          <cell r="N89">
            <v>72526</v>
          </cell>
          <cell r="O89">
            <v>366</v>
          </cell>
          <cell r="R89">
            <v>452005</v>
          </cell>
          <cell r="S89">
            <v>1368</v>
          </cell>
          <cell r="T89">
            <v>8054</v>
          </cell>
          <cell r="W89">
            <v>72887</v>
          </cell>
          <cell r="X89">
            <v>198</v>
          </cell>
          <cell r="Y89">
            <v>444</v>
          </cell>
          <cell r="AB89">
            <v>130645</v>
          </cell>
          <cell r="AC89">
            <v>383</v>
          </cell>
          <cell r="AF89">
            <v>5313937</v>
          </cell>
          <cell r="AG89">
            <v>10926</v>
          </cell>
          <cell r="AH89">
            <v>2</v>
          </cell>
          <cell r="AK89">
            <v>34308</v>
          </cell>
        </row>
        <row r="90">
          <cell r="B90">
            <v>71142534.06</v>
          </cell>
          <cell r="E90">
            <v>20371803</v>
          </cell>
          <cell r="F90">
            <v>30325</v>
          </cell>
          <cell r="I90">
            <v>7940736</v>
          </cell>
          <cell r="J90">
            <v>3632</v>
          </cell>
          <cell r="M90">
            <v>25902677</v>
          </cell>
          <cell r="N90">
            <v>65266</v>
          </cell>
          <cell r="O90">
            <v>365</v>
          </cell>
          <cell r="R90">
            <v>529397</v>
          </cell>
          <cell r="S90">
            <v>1368</v>
          </cell>
          <cell r="T90">
            <v>8027</v>
          </cell>
          <cell r="W90">
            <v>76530</v>
          </cell>
          <cell r="X90">
            <v>188</v>
          </cell>
          <cell r="Y90">
            <v>442</v>
          </cell>
          <cell r="AB90">
            <v>129115</v>
          </cell>
          <cell r="AC90">
            <v>383</v>
          </cell>
          <cell r="AF90">
            <v>5452747</v>
          </cell>
          <cell r="AG90">
            <v>11056</v>
          </cell>
          <cell r="AH90">
            <v>2</v>
          </cell>
          <cell r="AK90">
            <v>34324</v>
          </cell>
        </row>
        <row r="91">
          <cell r="B91">
            <v>80606153.12</v>
          </cell>
          <cell r="E91">
            <v>24678687</v>
          </cell>
          <cell r="F91">
            <v>30342</v>
          </cell>
          <cell r="I91">
            <v>9933253</v>
          </cell>
          <cell r="J91">
            <v>3632</v>
          </cell>
          <cell r="M91">
            <v>28174479</v>
          </cell>
          <cell r="N91">
            <v>72541</v>
          </cell>
          <cell r="O91">
            <v>363</v>
          </cell>
          <cell r="R91">
            <v>567600</v>
          </cell>
          <cell r="S91">
            <v>1371</v>
          </cell>
          <cell r="T91">
            <v>7996</v>
          </cell>
          <cell r="W91">
            <v>92512</v>
          </cell>
          <cell r="X91">
            <v>161</v>
          </cell>
          <cell r="Y91">
            <v>438</v>
          </cell>
          <cell r="AB91">
            <v>116001</v>
          </cell>
          <cell r="AC91">
            <v>383</v>
          </cell>
          <cell r="AF91">
            <v>5214096</v>
          </cell>
          <cell r="AG91">
            <v>10631</v>
          </cell>
          <cell r="AH91">
            <v>2</v>
          </cell>
          <cell r="AK91">
            <v>34339</v>
          </cell>
        </row>
        <row r="92">
          <cell r="B92">
            <v>86796095.48</v>
          </cell>
          <cell r="E92">
            <v>32112071</v>
          </cell>
          <cell r="F92">
            <v>30370</v>
          </cell>
          <cell r="I92">
            <v>12116947</v>
          </cell>
          <cell r="J92">
            <v>3630</v>
          </cell>
          <cell r="M92">
            <v>31110159</v>
          </cell>
          <cell r="N92">
            <v>73818</v>
          </cell>
          <cell r="O92">
            <v>363</v>
          </cell>
          <cell r="R92">
            <v>620389</v>
          </cell>
          <cell r="S92">
            <v>1371</v>
          </cell>
          <cell r="T92">
            <v>7997</v>
          </cell>
          <cell r="W92">
            <v>94100</v>
          </cell>
          <cell r="X92">
            <v>197</v>
          </cell>
          <cell r="Y92">
            <v>436</v>
          </cell>
          <cell r="AB92">
            <v>137516</v>
          </cell>
          <cell r="AC92">
            <v>383</v>
          </cell>
          <cell r="AF92">
            <v>4626266</v>
          </cell>
          <cell r="AG92">
            <v>10576</v>
          </cell>
          <cell r="AH92">
            <v>2</v>
          </cell>
          <cell r="AK92">
            <v>34365</v>
          </cell>
        </row>
        <row r="93">
          <cell r="B93">
            <v>72894145.9</v>
          </cell>
          <cell r="E93">
            <v>29533784</v>
          </cell>
          <cell r="F93">
            <v>30398</v>
          </cell>
          <cell r="I93">
            <v>10078930</v>
          </cell>
          <cell r="J93">
            <v>3628</v>
          </cell>
          <cell r="M93">
            <v>29034492</v>
          </cell>
          <cell r="N93">
            <v>66711</v>
          </cell>
          <cell r="O93">
            <v>363</v>
          </cell>
          <cell r="R93">
            <v>595996</v>
          </cell>
          <cell r="S93">
            <v>1371</v>
          </cell>
          <cell r="T93">
            <v>7998</v>
          </cell>
          <cell r="W93">
            <v>80236</v>
          </cell>
          <cell r="X93">
            <v>168</v>
          </cell>
          <cell r="Y93">
            <v>434</v>
          </cell>
          <cell r="AB93">
            <v>127284</v>
          </cell>
          <cell r="AC93">
            <v>383</v>
          </cell>
          <cell r="AF93">
            <v>5320709</v>
          </cell>
          <cell r="AG93">
            <v>10918</v>
          </cell>
          <cell r="AH93">
            <v>2</v>
          </cell>
          <cell r="AK93">
            <v>34391</v>
          </cell>
        </row>
        <row r="94">
          <cell r="B94">
            <v>74293097.30000001</v>
          </cell>
          <cell r="E94">
            <v>31560076</v>
          </cell>
          <cell r="F94">
            <v>30426</v>
          </cell>
          <cell r="I94">
            <v>13051036</v>
          </cell>
          <cell r="J94">
            <v>3626</v>
          </cell>
          <cell r="M94">
            <v>29783522</v>
          </cell>
          <cell r="N94">
            <v>71933</v>
          </cell>
          <cell r="O94">
            <v>363</v>
          </cell>
          <cell r="R94">
            <v>493958</v>
          </cell>
          <cell r="S94">
            <v>1356</v>
          </cell>
          <cell r="T94">
            <v>7999</v>
          </cell>
          <cell r="W94">
            <v>87796</v>
          </cell>
          <cell r="X94">
            <v>204</v>
          </cell>
          <cell r="Y94">
            <v>432</v>
          </cell>
          <cell r="AB94">
            <v>134323</v>
          </cell>
          <cell r="AC94">
            <v>383</v>
          </cell>
          <cell r="AF94">
            <v>4713554</v>
          </cell>
          <cell r="AG94">
            <v>10565</v>
          </cell>
          <cell r="AH94">
            <v>2</v>
          </cell>
          <cell r="AK94">
            <v>34417</v>
          </cell>
        </row>
        <row r="95">
          <cell r="B95">
            <v>64952144</v>
          </cell>
          <cell r="E95">
            <v>24026711</v>
          </cell>
          <cell r="F95">
            <v>30454</v>
          </cell>
          <cell r="I95">
            <v>8865064</v>
          </cell>
          <cell r="J95">
            <v>3624</v>
          </cell>
          <cell r="M95">
            <v>25706565</v>
          </cell>
          <cell r="N95">
            <v>64482</v>
          </cell>
          <cell r="O95">
            <v>363</v>
          </cell>
          <cell r="R95">
            <v>485323</v>
          </cell>
          <cell r="S95">
            <v>1356</v>
          </cell>
          <cell r="T95">
            <v>8000</v>
          </cell>
          <cell r="W95">
            <v>63117</v>
          </cell>
          <cell r="X95">
            <v>174</v>
          </cell>
          <cell r="Y95">
            <v>430</v>
          </cell>
          <cell r="AB95">
            <v>125825</v>
          </cell>
          <cell r="AC95">
            <v>383</v>
          </cell>
          <cell r="AF95">
            <v>5003618</v>
          </cell>
          <cell r="AG95">
            <v>10999</v>
          </cell>
          <cell r="AH95">
            <v>2</v>
          </cell>
          <cell r="AK95">
            <v>34443</v>
          </cell>
        </row>
        <row r="96">
          <cell r="B96">
            <v>60781513</v>
          </cell>
          <cell r="E96">
            <v>21540572</v>
          </cell>
          <cell r="F96">
            <v>30482</v>
          </cell>
          <cell r="I96">
            <v>9374817</v>
          </cell>
          <cell r="J96">
            <v>3622</v>
          </cell>
          <cell r="M96">
            <v>25961781</v>
          </cell>
          <cell r="N96">
            <v>66865</v>
          </cell>
          <cell r="O96">
            <v>363</v>
          </cell>
          <cell r="R96">
            <v>406948</v>
          </cell>
          <cell r="S96">
            <v>1356</v>
          </cell>
          <cell r="T96">
            <v>8001</v>
          </cell>
          <cell r="W96">
            <v>63184</v>
          </cell>
          <cell r="X96">
            <v>180</v>
          </cell>
          <cell r="Y96">
            <v>428</v>
          </cell>
          <cell r="AB96">
            <v>131167</v>
          </cell>
          <cell r="AC96">
            <v>383</v>
          </cell>
          <cell r="AF96">
            <v>4841374</v>
          </cell>
          <cell r="AG96">
            <v>10669</v>
          </cell>
          <cell r="AH96">
            <v>2</v>
          </cell>
          <cell r="AK96">
            <v>34469</v>
          </cell>
        </row>
        <row r="97">
          <cell r="B97">
            <v>64160462</v>
          </cell>
          <cell r="E97">
            <v>20453800</v>
          </cell>
          <cell r="F97">
            <v>30510</v>
          </cell>
          <cell r="I97">
            <v>9976628</v>
          </cell>
          <cell r="J97">
            <v>3620</v>
          </cell>
          <cell r="M97">
            <v>26929025</v>
          </cell>
          <cell r="N97">
            <v>71910</v>
          </cell>
          <cell r="O97">
            <v>363</v>
          </cell>
          <cell r="R97">
            <v>354369</v>
          </cell>
          <cell r="S97">
            <v>1356</v>
          </cell>
          <cell r="T97">
            <v>8002</v>
          </cell>
          <cell r="W97">
            <v>55450</v>
          </cell>
          <cell r="X97">
            <v>190</v>
          </cell>
          <cell r="Y97">
            <v>426</v>
          </cell>
          <cell r="AB97">
            <v>135583</v>
          </cell>
          <cell r="AC97">
            <v>383</v>
          </cell>
          <cell r="AF97">
            <v>4789532</v>
          </cell>
          <cell r="AG97">
            <v>10520</v>
          </cell>
          <cell r="AH97">
            <v>2</v>
          </cell>
          <cell r="AK97">
            <v>34495</v>
          </cell>
        </row>
        <row r="98">
          <cell r="B98">
            <v>65102418</v>
          </cell>
          <cell r="E98">
            <v>20492541</v>
          </cell>
          <cell r="F98">
            <v>30538</v>
          </cell>
          <cell r="I98">
            <v>9055475</v>
          </cell>
          <cell r="J98">
            <v>3618</v>
          </cell>
          <cell r="M98">
            <v>26236313</v>
          </cell>
          <cell r="N98">
            <v>68766</v>
          </cell>
          <cell r="O98">
            <v>363</v>
          </cell>
          <cell r="R98">
            <v>316386</v>
          </cell>
          <cell r="S98">
            <v>1356</v>
          </cell>
          <cell r="T98">
            <v>8003</v>
          </cell>
          <cell r="W98">
            <v>35625</v>
          </cell>
          <cell r="X98">
            <v>85</v>
          </cell>
          <cell r="Y98">
            <v>424</v>
          </cell>
          <cell r="AB98">
            <v>134328</v>
          </cell>
          <cell r="AC98">
            <v>383</v>
          </cell>
          <cell r="AF98">
            <v>5072572</v>
          </cell>
          <cell r="AG98">
            <v>10527</v>
          </cell>
          <cell r="AH98">
            <v>2</v>
          </cell>
          <cell r="AK98">
            <v>34521</v>
          </cell>
        </row>
        <row r="99">
          <cell r="B99">
            <v>69576190</v>
          </cell>
          <cell r="E99">
            <v>19761074</v>
          </cell>
          <cell r="F99">
            <v>30566</v>
          </cell>
          <cell r="I99">
            <v>8165134</v>
          </cell>
          <cell r="J99">
            <v>3616</v>
          </cell>
          <cell r="M99">
            <v>25725430</v>
          </cell>
          <cell r="N99">
            <v>64801</v>
          </cell>
          <cell r="O99">
            <v>363</v>
          </cell>
          <cell r="R99">
            <v>341504</v>
          </cell>
          <cell r="S99">
            <v>1356</v>
          </cell>
          <cell r="T99">
            <v>8004</v>
          </cell>
          <cell r="W99">
            <v>45386</v>
          </cell>
          <cell r="X99">
            <v>75</v>
          </cell>
          <cell r="Y99">
            <v>422</v>
          </cell>
          <cell r="AB99">
            <v>136174</v>
          </cell>
          <cell r="AC99">
            <v>383</v>
          </cell>
          <cell r="AF99">
            <v>4787109</v>
          </cell>
          <cell r="AG99">
            <v>9962</v>
          </cell>
          <cell r="AH99">
            <v>2</v>
          </cell>
          <cell r="AK99">
            <v>34547</v>
          </cell>
        </row>
        <row r="100">
          <cell r="B100">
            <v>62658162.88</v>
          </cell>
          <cell r="E100">
            <v>21801590</v>
          </cell>
          <cell r="F100">
            <v>30594</v>
          </cell>
          <cell r="I100">
            <v>9604320</v>
          </cell>
          <cell r="J100">
            <v>3614</v>
          </cell>
          <cell r="M100">
            <v>27306401</v>
          </cell>
          <cell r="N100">
            <v>68683</v>
          </cell>
          <cell r="O100">
            <v>363</v>
          </cell>
          <cell r="R100">
            <v>393832</v>
          </cell>
          <cell r="S100">
            <v>1348</v>
          </cell>
          <cell r="T100">
            <v>8005</v>
          </cell>
          <cell r="W100">
            <v>53479</v>
          </cell>
          <cell r="X100">
            <v>75</v>
          </cell>
          <cell r="Y100">
            <v>420</v>
          </cell>
          <cell r="AB100">
            <v>133616</v>
          </cell>
          <cell r="AC100">
            <v>383</v>
          </cell>
          <cell r="AF100">
            <v>4796457</v>
          </cell>
          <cell r="AG100">
            <v>10764</v>
          </cell>
          <cell r="AH100">
            <v>2</v>
          </cell>
          <cell r="AK100">
            <v>34573</v>
          </cell>
        </row>
        <row r="101">
          <cell r="B101">
            <v>66216102</v>
          </cell>
          <cell r="E101">
            <v>19079170</v>
          </cell>
          <cell r="F101">
            <v>30622</v>
          </cell>
          <cell r="I101">
            <v>8711265</v>
          </cell>
          <cell r="J101">
            <v>3612</v>
          </cell>
          <cell r="M101">
            <v>26155704</v>
          </cell>
          <cell r="N101">
            <v>70915</v>
          </cell>
          <cell r="O101">
            <v>363</v>
          </cell>
          <cell r="R101">
            <v>440317</v>
          </cell>
          <cell r="S101">
            <v>1348</v>
          </cell>
          <cell r="T101">
            <v>8006</v>
          </cell>
          <cell r="W101">
            <v>66217</v>
          </cell>
          <cell r="X101">
            <v>197</v>
          </cell>
          <cell r="Y101">
            <v>418</v>
          </cell>
          <cell r="AB101">
            <v>123174</v>
          </cell>
          <cell r="AC101">
            <v>383</v>
          </cell>
          <cell r="AF101">
            <v>4899784</v>
          </cell>
          <cell r="AG101">
            <v>10740</v>
          </cell>
          <cell r="AH101">
            <v>2</v>
          </cell>
          <cell r="AK101">
            <v>34599</v>
          </cell>
        </row>
        <row r="102">
          <cell r="B102">
            <v>67775538</v>
          </cell>
          <cell r="E102">
            <v>20446839</v>
          </cell>
          <cell r="F102">
            <v>30650</v>
          </cell>
          <cell r="I102">
            <v>8793460</v>
          </cell>
          <cell r="J102">
            <v>3610</v>
          </cell>
          <cell r="M102">
            <v>26036159</v>
          </cell>
          <cell r="N102">
            <v>65717</v>
          </cell>
          <cell r="O102">
            <v>363</v>
          </cell>
          <cell r="R102">
            <v>526831</v>
          </cell>
          <cell r="S102">
            <v>1348</v>
          </cell>
          <cell r="T102">
            <v>8007</v>
          </cell>
          <cell r="W102">
            <v>72926</v>
          </cell>
          <cell r="X102">
            <v>187</v>
          </cell>
          <cell r="Y102">
            <v>416</v>
          </cell>
          <cell r="AB102">
            <v>138678</v>
          </cell>
          <cell r="AC102">
            <v>383</v>
          </cell>
          <cell r="AF102">
            <v>4877861</v>
          </cell>
          <cell r="AG102">
            <v>10126</v>
          </cell>
          <cell r="AH102">
            <v>2</v>
          </cell>
          <cell r="AK102">
            <v>34625</v>
          </cell>
        </row>
        <row r="103">
          <cell r="B103">
            <v>78843514.54</v>
          </cell>
          <cell r="E103">
            <v>23656619</v>
          </cell>
          <cell r="F103">
            <v>30680</v>
          </cell>
          <cell r="I103">
            <v>9413031</v>
          </cell>
          <cell r="J103">
            <v>3609</v>
          </cell>
          <cell r="M103">
            <v>27183670</v>
          </cell>
          <cell r="N103">
            <v>65200</v>
          </cell>
          <cell r="O103">
            <v>363</v>
          </cell>
          <cell r="R103">
            <v>564146</v>
          </cell>
          <cell r="S103">
            <v>1362</v>
          </cell>
          <cell r="T103">
            <v>8006</v>
          </cell>
          <cell r="W103">
            <v>78922</v>
          </cell>
          <cell r="X103">
            <v>184</v>
          </cell>
          <cell r="Y103">
            <v>416</v>
          </cell>
          <cell r="AB103">
            <v>144149</v>
          </cell>
          <cell r="AC103">
            <v>383</v>
          </cell>
          <cell r="AF103">
            <v>4789182</v>
          </cell>
          <cell r="AG103">
            <v>10619</v>
          </cell>
          <cell r="AH103">
            <v>2</v>
          </cell>
          <cell r="AK103">
            <v>34654</v>
          </cell>
        </row>
        <row r="104">
          <cell r="B104">
            <v>82338464</v>
          </cell>
          <cell r="E104">
            <v>30615417</v>
          </cell>
          <cell r="F104">
            <v>30716</v>
          </cell>
          <cell r="I104">
            <v>10829819</v>
          </cell>
          <cell r="J104">
            <v>3609</v>
          </cell>
          <cell r="M104">
            <v>28744083</v>
          </cell>
          <cell r="N104">
            <v>68005</v>
          </cell>
          <cell r="O104">
            <v>366</v>
          </cell>
          <cell r="R104">
            <v>613655</v>
          </cell>
          <cell r="S104">
            <v>1362</v>
          </cell>
          <cell r="T104">
            <v>8015</v>
          </cell>
          <cell r="W104">
            <v>88453</v>
          </cell>
          <cell r="X104">
            <v>191</v>
          </cell>
          <cell r="Y104">
            <v>417</v>
          </cell>
          <cell r="AB104">
            <v>151561</v>
          </cell>
          <cell r="AC104">
            <v>383</v>
          </cell>
          <cell r="AF104">
            <v>4395538</v>
          </cell>
          <cell r="AG104">
            <v>10000</v>
          </cell>
          <cell r="AH104">
            <v>2</v>
          </cell>
          <cell r="AK104">
            <v>34693</v>
          </cell>
        </row>
        <row r="105">
          <cell r="B105">
            <v>72436556</v>
          </cell>
          <cell r="E105">
            <v>27080167</v>
          </cell>
          <cell r="F105">
            <v>30721</v>
          </cell>
          <cell r="I105">
            <v>10657252</v>
          </cell>
          <cell r="J105">
            <v>3609</v>
          </cell>
          <cell r="M105">
            <v>28146313</v>
          </cell>
          <cell r="N105">
            <v>65231</v>
          </cell>
          <cell r="O105">
            <v>364</v>
          </cell>
          <cell r="R105">
            <v>597635</v>
          </cell>
          <cell r="S105">
            <v>1368</v>
          </cell>
          <cell r="T105">
            <v>8024</v>
          </cell>
          <cell r="W105">
            <v>78171</v>
          </cell>
          <cell r="X105">
            <v>172</v>
          </cell>
          <cell r="Y105">
            <v>418</v>
          </cell>
          <cell r="AB105">
            <v>140076</v>
          </cell>
          <cell r="AC105">
            <v>383</v>
          </cell>
          <cell r="AF105">
            <v>4817102</v>
          </cell>
          <cell r="AG105">
            <v>9904</v>
          </cell>
          <cell r="AH105">
            <v>2</v>
          </cell>
          <cell r="AK105">
            <v>34696</v>
          </cell>
        </row>
        <row r="106">
          <cell r="B106">
            <v>70342533</v>
          </cell>
          <cell r="E106">
            <v>32537157</v>
          </cell>
          <cell r="F106">
            <v>30721</v>
          </cell>
          <cell r="I106">
            <v>12382556</v>
          </cell>
          <cell r="J106">
            <v>3609</v>
          </cell>
          <cell r="M106">
            <v>30770589</v>
          </cell>
          <cell r="N106">
            <v>71144</v>
          </cell>
          <cell r="O106">
            <v>365</v>
          </cell>
          <cell r="R106">
            <v>497391</v>
          </cell>
          <cell r="S106">
            <v>1364</v>
          </cell>
          <cell r="T106">
            <v>8033</v>
          </cell>
          <cell r="W106">
            <v>87054</v>
          </cell>
          <cell r="X106">
            <v>208</v>
          </cell>
          <cell r="Y106">
            <v>419</v>
          </cell>
          <cell r="AB106">
            <v>141189</v>
          </cell>
          <cell r="AC106">
            <v>383</v>
          </cell>
          <cell r="AF106">
            <v>4376464</v>
          </cell>
          <cell r="AG106">
            <v>9350</v>
          </cell>
          <cell r="AH106">
            <v>2</v>
          </cell>
          <cell r="AK106">
            <v>34697</v>
          </cell>
        </row>
        <row r="107">
          <cell r="B107">
            <v>60688722</v>
          </cell>
          <cell r="E107">
            <v>21706424</v>
          </cell>
          <cell r="F107">
            <v>30684</v>
          </cell>
          <cell r="I107">
            <v>9248746</v>
          </cell>
          <cell r="J107">
            <v>3612</v>
          </cell>
          <cell r="M107">
            <v>26243303</v>
          </cell>
          <cell r="N107">
            <v>62810</v>
          </cell>
          <cell r="O107">
            <v>365</v>
          </cell>
          <cell r="R107">
            <v>490010</v>
          </cell>
          <cell r="S107">
            <v>1364</v>
          </cell>
          <cell r="T107">
            <v>8042</v>
          </cell>
          <cell r="W107">
            <v>65769</v>
          </cell>
          <cell r="X107">
            <v>178</v>
          </cell>
          <cell r="Y107">
            <v>420</v>
          </cell>
          <cell r="AB107">
            <v>157393</v>
          </cell>
          <cell r="AC107">
            <v>383</v>
          </cell>
          <cell r="AF107">
            <v>4640287</v>
          </cell>
          <cell r="AG107">
            <v>9612</v>
          </cell>
          <cell r="AH107">
            <v>2</v>
          </cell>
          <cell r="AK107">
            <v>34663</v>
          </cell>
        </row>
        <row r="108">
          <cell r="B108">
            <v>65376291</v>
          </cell>
          <cell r="E108">
            <v>19989582</v>
          </cell>
          <cell r="F108">
            <v>30699</v>
          </cell>
          <cell r="I108">
            <v>9342067</v>
          </cell>
          <cell r="J108">
            <v>3617</v>
          </cell>
          <cell r="M108">
            <v>25190156</v>
          </cell>
          <cell r="N108">
            <v>63492</v>
          </cell>
          <cell r="O108">
            <v>365</v>
          </cell>
          <cell r="R108">
            <v>408130</v>
          </cell>
          <cell r="S108">
            <v>1364</v>
          </cell>
          <cell r="T108">
            <v>8051</v>
          </cell>
          <cell r="W108">
            <v>60807</v>
          </cell>
          <cell r="X108">
            <v>180</v>
          </cell>
          <cell r="Y108">
            <v>421</v>
          </cell>
          <cell r="AB108">
            <v>29694</v>
          </cell>
          <cell r="AC108">
            <v>383</v>
          </cell>
          <cell r="AF108">
            <v>4340029</v>
          </cell>
          <cell r="AG108">
            <v>9434</v>
          </cell>
          <cell r="AH108">
            <v>2</v>
          </cell>
          <cell r="AK108">
            <v>34683</v>
          </cell>
        </row>
        <row r="109">
          <cell r="B109">
            <v>65409585</v>
          </cell>
          <cell r="E109">
            <v>21343595</v>
          </cell>
          <cell r="F109">
            <v>30668</v>
          </cell>
          <cell r="I109">
            <v>9498796</v>
          </cell>
          <cell r="J109">
            <v>3605</v>
          </cell>
          <cell r="M109">
            <v>27382293</v>
          </cell>
          <cell r="N109">
            <v>74573</v>
          </cell>
          <cell r="O109">
            <v>364</v>
          </cell>
          <cell r="R109">
            <v>364359</v>
          </cell>
          <cell r="S109">
            <v>1364</v>
          </cell>
          <cell r="T109">
            <v>8060</v>
          </cell>
          <cell r="W109">
            <v>54191</v>
          </cell>
          <cell r="X109">
            <v>176</v>
          </cell>
          <cell r="Y109">
            <v>422</v>
          </cell>
          <cell r="AB109">
            <v>236722</v>
          </cell>
          <cell r="AC109">
            <v>383</v>
          </cell>
          <cell r="AF109">
            <v>4751667</v>
          </cell>
          <cell r="AG109">
            <v>10636</v>
          </cell>
          <cell r="AH109">
            <v>2</v>
          </cell>
          <cell r="AK109">
            <v>34639</v>
          </cell>
        </row>
        <row r="110">
          <cell r="B110">
            <v>75030142</v>
          </cell>
          <cell r="E110">
            <v>22187663</v>
          </cell>
          <cell r="F110">
            <v>30704</v>
          </cell>
          <cell r="I110">
            <v>9808444</v>
          </cell>
          <cell r="J110">
            <v>3604</v>
          </cell>
          <cell r="M110">
            <v>27042151</v>
          </cell>
          <cell r="N110">
            <v>69517</v>
          </cell>
          <cell r="O110">
            <v>362</v>
          </cell>
          <cell r="R110">
            <v>323030</v>
          </cell>
          <cell r="S110">
            <v>1364</v>
          </cell>
          <cell r="T110">
            <v>8069</v>
          </cell>
          <cell r="W110">
            <v>45657</v>
          </cell>
          <cell r="X110">
            <v>179</v>
          </cell>
          <cell r="Y110">
            <v>423</v>
          </cell>
          <cell r="AB110">
            <v>130792</v>
          </cell>
          <cell r="AC110">
            <v>383</v>
          </cell>
          <cell r="AF110">
            <v>5007503</v>
          </cell>
          <cell r="AG110">
            <v>10262</v>
          </cell>
          <cell r="AH110">
            <v>2</v>
          </cell>
          <cell r="AK110">
            <v>34672</v>
          </cell>
        </row>
        <row r="111">
          <cell r="B111">
            <v>71658733</v>
          </cell>
          <cell r="E111">
            <v>26000722</v>
          </cell>
          <cell r="F111">
            <v>30765</v>
          </cell>
          <cell r="I111">
            <v>9911215</v>
          </cell>
          <cell r="J111">
            <v>3590</v>
          </cell>
          <cell r="M111">
            <v>28802089</v>
          </cell>
          <cell r="N111">
            <v>71213</v>
          </cell>
          <cell r="O111">
            <v>378</v>
          </cell>
          <cell r="R111">
            <v>340181</v>
          </cell>
          <cell r="S111">
            <v>1364</v>
          </cell>
          <cell r="T111">
            <v>8078</v>
          </cell>
          <cell r="W111">
            <v>45949</v>
          </cell>
          <cell r="X111">
            <v>182</v>
          </cell>
          <cell r="Y111">
            <v>424</v>
          </cell>
          <cell r="AB111">
            <v>136293</v>
          </cell>
          <cell r="AC111">
            <v>383</v>
          </cell>
          <cell r="AF111">
            <v>3847744</v>
          </cell>
          <cell r="AG111">
            <v>10442</v>
          </cell>
          <cell r="AH111">
            <v>2</v>
          </cell>
          <cell r="AK111">
            <v>34735</v>
          </cell>
        </row>
        <row r="112">
          <cell r="B112">
            <v>62552017</v>
          </cell>
          <cell r="E112">
            <v>23597626</v>
          </cell>
          <cell r="F112">
            <v>30861</v>
          </cell>
          <cell r="I112">
            <v>9546228</v>
          </cell>
          <cell r="J112">
            <v>3584</v>
          </cell>
          <cell r="M112">
            <v>29538039</v>
          </cell>
          <cell r="N112">
            <v>75185</v>
          </cell>
          <cell r="O112">
            <v>383</v>
          </cell>
          <cell r="R112">
            <v>395143</v>
          </cell>
          <cell r="S112">
            <v>1367</v>
          </cell>
          <cell r="T112">
            <v>8087</v>
          </cell>
          <cell r="W112">
            <v>53097</v>
          </cell>
          <cell r="X112">
            <v>182</v>
          </cell>
          <cell r="Y112">
            <v>425</v>
          </cell>
          <cell r="AB112">
            <v>129598</v>
          </cell>
          <cell r="AC112">
            <v>383</v>
          </cell>
          <cell r="AF112">
            <v>4893427</v>
          </cell>
          <cell r="AG112">
            <v>11528</v>
          </cell>
          <cell r="AH112">
            <v>2</v>
          </cell>
          <cell r="AK112">
            <v>34830</v>
          </cell>
        </row>
        <row r="113">
          <cell r="B113">
            <v>63558469</v>
          </cell>
          <cell r="E113">
            <v>18793934</v>
          </cell>
          <cell r="F113">
            <v>30927</v>
          </cell>
          <cell r="I113">
            <v>8458434</v>
          </cell>
          <cell r="J113">
            <v>3587</v>
          </cell>
          <cell r="M113">
            <v>25898381</v>
          </cell>
          <cell r="N113">
            <v>70175</v>
          </cell>
          <cell r="O113">
            <v>383</v>
          </cell>
          <cell r="R113">
            <v>449517</v>
          </cell>
          <cell r="S113">
            <v>1364</v>
          </cell>
          <cell r="T113">
            <v>8096</v>
          </cell>
          <cell r="W113">
            <v>57127</v>
          </cell>
          <cell r="X113">
            <v>165</v>
          </cell>
          <cell r="Y113">
            <v>426</v>
          </cell>
          <cell r="AB113">
            <v>27715</v>
          </cell>
          <cell r="AC113">
            <v>383</v>
          </cell>
          <cell r="AF113">
            <v>4807319</v>
          </cell>
          <cell r="AG113">
            <v>9961</v>
          </cell>
          <cell r="AH113">
            <v>2</v>
          </cell>
          <cell r="AK113">
            <v>34899</v>
          </cell>
        </row>
        <row r="114">
          <cell r="B114">
            <v>68996385</v>
          </cell>
          <cell r="E114">
            <v>20663745</v>
          </cell>
          <cell r="F114">
            <v>30983</v>
          </cell>
          <cell r="I114">
            <v>8591267</v>
          </cell>
          <cell r="J114">
            <v>3581</v>
          </cell>
          <cell r="M114">
            <v>26109097</v>
          </cell>
          <cell r="N114">
            <v>67488</v>
          </cell>
          <cell r="O114">
            <v>384</v>
          </cell>
          <cell r="R114">
            <v>530721</v>
          </cell>
          <cell r="S114">
            <v>1364</v>
          </cell>
          <cell r="T114">
            <v>8105</v>
          </cell>
          <cell r="W114">
            <v>72546</v>
          </cell>
          <cell r="X114">
            <v>184</v>
          </cell>
          <cell r="Y114">
            <v>427</v>
          </cell>
          <cell r="AB114">
            <v>137767</v>
          </cell>
          <cell r="AC114">
            <v>383</v>
          </cell>
          <cell r="AF114">
            <v>4770581</v>
          </cell>
          <cell r="AG114">
            <v>10042</v>
          </cell>
          <cell r="AH114">
            <v>2</v>
          </cell>
          <cell r="AK114">
            <v>34950</v>
          </cell>
        </row>
        <row r="115">
          <cell r="B115">
            <v>79658366</v>
          </cell>
          <cell r="E115">
            <v>23193050</v>
          </cell>
          <cell r="F115">
            <v>31037</v>
          </cell>
          <cell r="I115">
            <v>9231440</v>
          </cell>
          <cell r="J115">
            <v>3588</v>
          </cell>
          <cell r="M115">
            <v>27429802</v>
          </cell>
          <cell r="N115">
            <v>66186</v>
          </cell>
          <cell r="O115">
            <v>385</v>
          </cell>
          <cell r="R115">
            <v>572272</v>
          </cell>
          <cell r="S115">
            <v>1379</v>
          </cell>
          <cell r="T115">
            <v>8110</v>
          </cell>
          <cell r="W115">
            <v>79787</v>
          </cell>
          <cell r="X115">
            <v>177</v>
          </cell>
          <cell r="Y115">
            <v>428</v>
          </cell>
          <cell r="AB115">
            <v>146850</v>
          </cell>
          <cell r="AC115">
            <v>384</v>
          </cell>
          <cell r="AF115">
            <v>4881480</v>
          </cell>
          <cell r="AG115">
            <v>10518</v>
          </cell>
          <cell r="AH115">
            <v>2</v>
          </cell>
          <cell r="AK115">
            <v>35012</v>
          </cell>
        </row>
        <row r="116">
          <cell r="B116">
            <v>83591644</v>
          </cell>
          <cell r="E116">
            <v>31466921</v>
          </cell>
          <cell r="F116">
            <v>31064</v>
          </cell>
          <cell r="I116">
            <v>10627186</v>
          </cell>
          <cell r="J116">
            <v>3597</v>
          </cell>
          <cell r="M116">
            <v>29897275</v>
          </cell>
          <cell r="N116">
            <v>71606</v>
          </cell>
          <cell r="O116">
            <v>386</v>
          </cell>
          <cell r="R116">
            <v>621343</v>
          </cell>
          <cell r="S116">
            <v>1379</v>
          </cell>
          <cell r="T116">
            <v>8110</v>
          </cell>
          <cell r="W116">
            <v>85234</v>
          </cell>
          <cell r="X116">
            <v>160</v>
          </cell>
          <cell r="Y116">
            <v>426</v>
          </cell>
          <cell r="AB116">
            <v>244574</v>
          </cell>
          <cell r="AC116">
            <v>384</v>
          </cell>
          <cell r="AF116">
            <v>4490665</v>
          </cell>
          <cell r="AG116">
            <v>10692</v>
          </cell>
          <cell r="AH116">
            <v>2</v>
          </cell>
          <cell r="AK116">
            <v>35049</v>
          </cell>
        </row>
        <row r="117">
          <cell r="B117">
            <v>74181456</v>
          </cell>
          <cell r="E117">
            <v>27630546</v>
          </cell>
          <cell r="F117">
            <v>31080</v>
          </cell>
          <cell r="I117">
            <v>10607352</v>
          </cell>
          <cell r="J117">
            <v>3599</v>
          </cell>
          <cell r="M117">
            <v>29463511</v>
          </cell>
          <cell r="N117">
            <v>67378</v>
          </cell>
          <cell r="O117">
            <v>386</v>
          </cell>
          <cell r="R117">
            <v>601807</v>
          </cell>
          <cell r="S117">
            <v>1379</v>
          </cell>
          <cell r="T117">
            <v>8137</v>
          </cell>
          <cell r="W117">
            <v>79072</v>
          </cell>
          <cell r="X117">
            <v>173</v>
          </cell>
          <cell r="Y117">
            <v>424</v>
          </cell>
          <cell r="AB117">
            <v>37516</v>
          </cell>
          <cell r="AC117">
            <v>384</v>
          </cell>
          <cell r="AF117">
            <v>4797459</v>
          </cell>
          <cell r="AG117">
            <v>10015</v>
          </cell>
          <cell r="AH117">
            <v>2</v>
          </cell>
          <cell r="AK117">
            <v>35067</v>
          </cell>
        </row>
        <row r="118">
          <cell r="B118">
            <v>76852077</v>
          </cell>
          <cell r="E118">
            <v>32774567</v>
          </cell>
          <cell r="F118">
            <v>31083</v>
          </cell>
          <cell r="I118">
            <v>11320672</v>
          </cell>
          <cell r="J118">
            <v>3585</v>
          </cell>
          <cell r="M118">
            <v>31199211</v>
          </cell>
          <cell r="N118">
            <v>74324</v>
          </cell>
          <cell r="O118">
            <v>387</v>
          </cell>
          <cell r="R118">
            <v>499349</v>
          </cell>
          <cell r="S118">
            <v>1368</v>
          </cell>
          <cell r="T118">
            <v>8137</v>
          </cell>
          <cell r="W118">
            <v>80601</v>
          </cell>
          <cell r="X118">
            <v>196</v>
          </cell>
          <cell r="Y118">
            <v>422</v>
          </cell>
          <cell r="AB118">
            <v>247723</v>
          </cell>
          <cell r="AC118">
            <v>384</v>
          </cell>
          <cell r="AF118">
            <v>4492092</v>
          </cell>
          <cell r="AG118">
            <v>9945</v>
          </cell>
          <cell r="AH118">
            <v>2</v>
          </cell>
          <cell r="AK118">
            <v>35057</v>
          </cell>
        </row>
        <row r="119">
          <cell r="B119">
            <v>65680577</v>
          </cell>
          <cell r="E119">
            <v>23576650</v>
          </cell>
          <cell r="F119">
            <v>31064</v>
          </cell>
          <cell r="I119">
            <v>9622541</v>
          </cell>
          <cell r="J119">
            <v>3569</v>
          </cell>
          <cell r="M119">
            <v>28640441</v>
          </cell>
          <cell r="N119">
            <v>65619</v>
          </cell>
          <cell r="O119">
            <v>388</v>
          </cell>
          <cell r="R119">
            <v>492580</v>
          </cell>
          <cell r="S119">
            <v>1368</v>
          </cell>
          <cell r="T119">
            <v>8137</v>
          </cell>
          <cell r="W119">
            <v>62191</v>
          </cell>
          <cell r="X119">
            <v>176</v>
          </cell>
          <cell r="Y119">
            <v>420</v>
          </cell>
          <cell r="AB119">
            <v>38815</v>
          </cell>
          <cell r="AC119">
            <v>384</v>
          </cell>
          <cell r="AF119">
            <v>5012924</v>
          </cell>
          <cell r="AG119">
            <v>10029</v>
          </cell>
          <cell r="AH119">
            <v>2</v>
          </cell>
          <cell r="AK119">
            <v>35023</v>
          </cell>
        </row>
        <row r="120">
          <cell r="B120">
            <v>64269545</v>
          </cell>
          <cell r="E120">
            <v>23945528</v>
          </cell>
          <cell r="F120">
            <v>31021</v>
          </cell>
          <cell r="I120">
            <v>9173436</v>
          </cell>
          <cell r="J120">
            <v>3572</v>
          </cell>
          <cell r="M120">
            <v>27320022</v>
          </cell>
          <cell r="N120">
            <v>69198</v>
          </cell>
          <cell r="O120">
            <v>388</v>
          </cell>
          <cell r="R120">
            <v>414944</v>
          </cell>
          <cell r="S120">
            <v>1368</v>
          </cell>
          <cell r="T120">
            <v>8131</v>
          </cell>
          <cell r="W120">
            <v>60289</v>
          </cell>
          <cell r="X120">
            <v>185</v>
          </cell>
          <cell r="Y120">
            <v>418</v>
          </cell>
          <cell r="AB120">
            <v>129797</v>
          </cell>
          <cell r="AC120">
            <v>384</v>
          </cell>
          <cell r="AF120">
            <v>4507386</v>
          </cell>
          <cell r="AG120">
            <v>10799</v>
          </cell>
          <cell r="AH120">
            <v>2</v>
          </cell>
          <cell r="AK120">
            <v>34983</v>
          </cell>
        </row>
        <row r="121">
          <cell r="B121">
            <v>66475177</v>
          </cell>
          <cell r="E121">
            <v>21472129</v>
          </cell>
          <cell r="F121">
            <v>31057</v>
          </cell>
          <cell r="I121">
            <v>9007648</v>
          </cell>
          <cell r="J121">
            <v>3557</v>
          </cell>
          <cell r="M121">
            <v>26153258</v>
          </cell>
          <cell r="N121">
            <v>69790</v>
          </cell>
          <cell r="O121">
            <v>387</v>
          </cell>
          <cell r="R121">
            <v>368772</v>
          </cell>
          <cell r="S121">
            <v>1368</v>
          </cell>
          <cell r="T121">
            <v>8131</v>
          </cell>
          <cell r="W121">
            <v>52312</v>
          </cell>
          <cell r="X121">
            <v>176</v>
          </cell>
          <cell r="Y121">
            <v>416</v>
          </cell>
          <cell r="AB121">
            <v>241208</v>
          </cell>
          <cell r="AC121">
            <v>384</v>
          </cell>
          <cell r="AF121">
            <v>4867029</v>
          </cell>
          <cell r="AG121">
            <v>10072</v>
          </cell>
          <cell r="AH121">
            <v>2</v>
          </cell>
          <cell r="AK121">
            <v>35003</v>
          </cell>
        </row>
        <row r="122">
          <cell r="B122">
            <v>75911509</v>
          </cell>
          <cell r="E122">
            <v>20321625</v>
          </cell>
          <cell r="F122">
            <v>31083</v>
          </cell>
          <cell r="I122">
            <v>8793248</v>
          </cell>
          <cell r="J122">
            <v>3557</v>
          </cell>
          <cell r="M122">
            <v>30983163</v>
          </cell>
          <cell r="N122">
            <v>78134</v>
          </cell>
          <cell r="O122">
            <v>386</v>
          </cell>
          <cell r="R122">
            <v>324034</v>
          </cell>
          <cell r="S122">
            <v>1368</v>
          </cell>
          <cell r="T122">
            <v>8131</v>
          </cell>
          <cell r="W122">
            <v>41864</v>
          </cell>
          <cell r="X122">
            <v>169</v>
          </cell>
          <cell r="Y122">
            <v>414</v>
          </cell>
          <cell r="AB122">
            <v>25260</v>
          </cell>
          <cell r="AC122">
            <v>384</v>
          </cell>
          <cell r="AF122">
            <v>4934599</v>
          </cell>
          <cell r="AG122">
            <v>11489</v>
          </cell>
          <cell r="AH122">
            <v>2</v>
          </cell>
          <cell r="AK122">
            <v>35028</v>
          </cell>
        </row>
        <row r="123">
          <cell r="B123">
            <v>70746256</v>
          </cell>
          <cell r="E123">
            <v>27460092</v>
          </cell>
          <cell r="F123">
            <v>31128</v>
          </cell>
          <cell r="I123">
            <v>10458529</v>
          </cell>
          <cell r="J123">
            <v>3567</v>
          </cell>
          <cell r="M123">
            <v>31389572</v>
          </cell>
          <cell r="N123">
            <v>77208</v>
          </cell>
          <cell r="O123">
            <v>386</v>
          </cell>
          <cell r="R123">
            <v>341815</v>
          </cell>
          <cell r="S123">
            <v>1367</v>
          </cell>
          <cell r="T123">
            <v>8131</v>
          </cell>
          <cell r="W123">
            <v>49575</v>
          </cell>
          <cell r="X123">
            <v>191</v>
          </cell>
          <cell r="Y123">
            <v>412</v>
          </cell>
          <cell r="AB123">
            <v>239388</v>
          </cell>
          <cell r="AC123">
            <v>384</v>
          </cell>
          <cell r="AF123">
            <v>4352636</v>
          </cell>
          <cell r="AG123">
            <v>8959</v>
          </cell>
          <cell r="AH123">
            <v>2</v>
          </cell>
          <cell r="AK123">
            <v>35083</v>
          </cell>
        </row>
        <row r="124">
          <cell r="B124">
            <v>64010688</v>
          </cell>
          <cell r="E124">
            <v>23001540</v>
          </cell>
          <cell r="F124">
            <v>31202</v>
          </cell>
          <cell r="I124">
            <v>9346350</v>
          </cell>
          <cell r="J124">
            <v>3556</v>
          </cell>
          <cell r="M124">
            <v>29196887</v>
          </cell>
          <cell r="N124">
            <v>71631</v>
          </cell>
          <cell r="O124">
            <v>389</v>
          </cell>
          <cell r="R124">
            <v>395173</v>
          </cell>
          <cell r="S124">
            <v>1367</v>
          </cell>
          <cell r="T124">
            <v>8131</v>
          </cell>
          <cell r="W124">
            <v>51702</v>
          </cell>
          <cell r="X124">
            <v>179</v>
          </cell>
          <cell r="Y124">
            <v>410</v>
          </cell>
          <cell r="AB124">
            <v>130518</v>
          </cell>
          <cell r="AC124">
            <v>384</v>
          </cell>
          <cell r="AF124">
            <v>4860797</v>
          </cell>
          <cell r="AG124">
            <v>10151</v>
          </cell>
          <cell r="AH124">
            <v>2</v>
          </cell>
          <cell r="AK124">
            <v>35149</v>
          </cell>
        </row>
        <row r="125">
          <cell r="B125">
            <v>64615695</v>
          </cell>
          <cell r="E125">
            <v>18932341</v>
          </cell>
          <cell r="F125">
            <v>31243</v>
          </cell>
          <cell r="I125">
            <v>8396680</v>
          </cell>
          <cell r="J125">
            <v>3559</v>
          </cell>
          <cell r="M125">
            <v>26634470</v>
          </cell>
          <cell r="N125">
            <v>68742</v>
          </cell>
          <cell r="O125">
            <v>394</v>
          </cell>
          <cell r="R125">
            <v>449364</v>
          </cell>
          <cell r="S125">
            <v>1367</v>
          </cell>
          <cell r="T125">
            <v>8131</v>
          </cell>
          <cell r="W125">
            <v>57222</v>
          </cell>
          <cell r="X125">
            <v>167</v>
          </cell>
          <cell r="Y125">
            <v>408</v>
          </cell>
          <cell r="AB125">
            <v>25753</v>
          </cell>
          <cell r="AC125">
            <v>384</v>
          </cell>
          <cell r="AF125">
            <v>4824552</v>
          </cell>
          <cell r="AG125">
            <v>10361</v>
          </cell>
          <cell r="AH125">
            <v>2</v>
          </cell>
          <cell r="AK125">
            <v>35198</v>
          </cell>
        </row>
        <row r="126">
          <cell r="B126">
            <v>67802485</v>
          </cell>
          <cell r="E126">
            <v>20663126</v>
          </cell>
          <cell r="F126">
            <v>31280</v>
          </cell>
          <cell r="I126">
            <v>8443433</v>
          </cell>
          <cell r="J126">
            <v>3557</v>
          </cell>
          <cell r="M126">
            <v>26811875</v>
          </cell>
          <cell r="N126">
            <v>68204</v>
          </cell>
          <cell r="O126">
            <v>394</v>
          </cell>
          <cell r="R126">
            <v>532908</v>
          </cell>
          <cell r="S126">
            <v>1367</v>
          </cell>
          <cell r="T126">
            <v>8131</v>
          </cell>
          <cell r="W126">
            <v>71097</v>
          </cell>
          <cell r="X126">
            <v>179</v>
          </cell>
          <cell r="Y126">
            <v>408</v>
          </cell>
          <cell r="AB126">
            <v>137870</v>
          </cell>
          <cell r="AC126">
            <v>384</v>
          </cell>
          <cell r="AF126">
            <v>4824257</v>
          </cell>
          <cell r="AG126">
            <v>9602</v>
          </cell>
          <cell r="AH126">
            <v>2</v>
          </cell>
          <cell r="AK126">
            <v>35233</v>
          </cell>
        </row>
        <row r="127">
          <cell r="B127">
            <v>74682133</v>
          </cell>
          <cell r="E127">
            <v>22296619</v>
          </cell>
          <cell r="F127">
            <v>31314</v>
          </cell>
          <cell r="I127">
            <v>8911242</v>
          </cell>
          <cell r="J127">
            <v>3560</v>
          </cell>
          <cell r="M127">
            <v>27853730</v>
          </cell>
          <cell r="N127">
            <v>66547</v>
          </cell>
          <cell r="O127">
            <v>394</v>
          </cell>
          <cell r="R127">
            <v>572127</v>
          </cell>
          <cell r="S127">
            <v>1382</v>
          </cell>
          <cell r="T127">
            <v>8131</v>
          </cell>
          <cell r="W127">
            <v>77343</v>
          </cell>
          <cell r="X127">
            <v>178</v>
          </cell>
          <cell r="Y127">
            <v>408</v>
          </cell>
          <cell r="AB127">
            <v>162783</v>
          </cell>
          <cell r="AC127">
            <v>384</v>
          </cell>
          <cell r="AF127">
            <v>4697483</v>
          </cell>
          <cell r="AG127">
            <v>9665</v>
          </cell>
          <cell r="AH127">
            <v>2</v>
          </cell>
          <cell r="AK127">
            <v>35270</v>
          </cell>
        </row>
        <row r="129">
          <cell r="E129">
            <v>2311631995</v>
          </cell>
          <cell r="F129">
            <v>2887085</v>
          </cell>
          <cell r="I129">
            <v>968140524</v>
          </cell>
          <cell r="J129">
            <v>347319</v>
          </cell>
          <cell r="M129">
            <v>2653883469</v>
          </cell>
          <cell r="N129">
            <v>6523083</v>
          </cell>
          <cell r="O129">
            <v>36173</v>
          </cell>
          <cell r="R129">
            <v>47215368</v>
          </cell>
          <cell r="S129">
            <v>129046</v>
          </cell>
          <cell r="T129">
            <v>781584</v>
          </cell>
          <cell r="W129">
            <v>7365823</v>
          </cell>
          <cell r="X129">
            <v>20611</v>
          </cell>
          <cell r="Y129">
            <v>51832</v>
          </cell>
          <cell r="AB129">
            <v>9686497</v>
          </cell>
          <cell r="AC129">
            <v>25674</v>
          </cell>
          <cell r="AF129">
            <v>492372094</v>
          </cell>
          <cell r="AG129">
            <v>1035872</v>
          </cell>
          <cell r="AH129">
            <v>192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essage"/>
      <sheetName val="TOC"/>
      <sheetName val="Summary"/>
      <sheetName val="2.3 Results Participation - LDC"/>
      <sheetName val="2.5.1 Evaluation Findings"/>
      <sheetName val="2.5.2 Results - LDC"/>
      <sheetName val="3.1.1 Summary - LDC"/>
      <sheetName val="Provincial - Participation"/>
      <sheetName val="Provincial - Results"/>
      <sheetName val="Provincial - Progress Summary"/>
      <sheetName val="Methodology"/>
      <sheetName val="Reference Tables"/>
      <sheetName val="Glossary"/>
    </sheetNames>
    <sheetDataSet>
      <sheetData sheetId="6">
        <row r="21">
          <cell r="B21">
            <v>2.5778075286422037</v>
          </cell>
          <cell r="C21">
            <v>2.5778075286422037</v>
          </cell>
          <cell r="D21">
            <v>2.5774382268935425</v>
          </cell>
          <cell r="E21">
            <v>2.5479668384500536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ummy File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ClassRevenues"/>
      <sheetName val="ExistingRatesDetails"/>
      <sheetName val="ExistingRatesSummary"/>
      <sheetName val="LoadForecastDetails"/>
      <sheetName val="LoadForecastSummary"/>
      <sheetName val="Refs"/>
    </sheetNames>
    <sheetDataSet>
      <sheetData sheetId="0">
        <row r="8">
          <cell r="C8" t="str">
            <v>C:\Documents and Settings\jcochrane.ERA-INC\My Documents\2008EDR\FTYv1.3</v>
          </cell>
        </row>
      </sheetData>
      <sheetData sheetId="6">
        <row r="2">
          <cell r="B2" t="str">
            <v>Horizon_Utilities_Corporation_Detailed_CA_model_Run2.xls</v>
          </cell>
        </row>
        <row r="3">
          <cell r="B3" t="str">
            <v>'[Horizon_Utilities_Corporation_Detailed_CA_model_Run2.xls]I2 LDC class'!$C:$G</v>
          </cell>
        </row>
        <row r="4">
          <cell r="B4" t="str">
            <v>'[Horizon_Utilities_Corporation_Detailed_CA_model_Run2.xls]O1 Revenue to cost|RR'!$D$17:$W$17</v>
          </cell>
        </row>
        <row r="5">
          <cell r="B5" t="str">
            <v>Revenue Requirement (includes NI)</v>
          </cell>
        </row>
        <row r="6">
          <cell r="B6">
            <v>92033309.2224772</v>
          </cell>
        </row>
        <row r="7">
          <cell r="B7" t="str">
            <v>'[Horizon_Utilities_Corporation_Detailed_CA_model_Run2.xls]O1 Revenue to cost|RR'!$B:$W</v>
          </cell>
        </row>
        <row r="8">
          <cell r="B8">
            <v>498976676.0555279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0"/>
  <sheetViews>
    <sheetView tabSelected="1" zoomScalePageLayoutView="0" workbookViewId="0" topLeftCell="A1">
      <pane xSplit="1" ySplit="3" topLeftCell="B2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58" sqref="J58"/>
    </sheetView>
  </sheetViews>
  <sheetFormatPr defaultColWidth="9.140625" defaultRowHeight="12.75"/>
  <cols>
    <col min="1" max="1" width="32.7109375" style="0" customWidth="1"/>
    <col min="2" max="2" width="12.7109375" style="1" bestFit="1" customWidth="1"/>
    <col min="3" max="3" width="13.57421875" style="1" customWidth="1"/>
    <col min="4" max="4" width="12.7109375" style="1" customWidth="1"/>
    <col min="5" max="5" width="13.00390625" style="1" customWidth="1"/>
    <col min="6" max="6" width="12.7109375" style="1" bestFit="1" customWidth="1"/>
    <col min="7" max="9" width="12.8515625" style="1" customWidth="1"/>
    <col min="10" max="10" width="12.7109375" style="19" bestFit="1" customWidth="1"/>
    <col min="11" max="11" width="13.140625" style="1" customWidth="1"/>
  </cols>
  <sheetData>
    <row r="1" ht="15.75">
      <c r="A1" s="37" t="s">
        <v>127</v>
      </c>
    </row>
    <row r="3" spans="2:11" ht="38.25">
      <c r="B3" s="39" t="s">
        <v>51</v>
      </c>
      <c r="C3" s="39" t="s">
        <v>52</v>
      </c>
      <c r="D3" s="39" t="s">
        <v>53</v>
      </c>
      <c r="E3" s="39" t="s">
        <v>54</v>
      </c>
      <c r="F3" s="39" t="s">
        <v>64</v>
      </c>
      <c r="G3" s="39" t="s">
        <v>67</v>
      </c>
      <c r="H3" s="39" t="s">
        <v>73</v>
      </c>
      <c r="I3" s="39" t="s">
        <v>78</v>
      </c>
      <c r="J3" s="52" t="s">
        <v>74</v>
      </c>
      <c r="K3" s="39" t="s">
        <v>79</v>
      </c>
    </row>
    <row r="4" spans="1:10" ht="12.75">
      <c r="A4" s="15" t="s">
        <v>57</v>
      </c>
      <c r="B4" s="25">
        <f>'Purchased Power Model '!B127</f>
        <v>818498048</v>
      </c>
      <c r="C4" s="25">
        <f>'Purchased Power Model '!B128</f>
        <v>860938404</v>
      </c>
      <c r="D4" s="25">
        <f>'Purchased Power Model '!B129</f>
        <v>835996328.2</v>
      </c>
      <c r="E4" s="25">
        <f>'Purchased Power Model '!B130</f>
        <v>857670889</v>
      </c>
      <c r="F4" s="25">
        <f>'Purchased Power Model '!B131</f>
        <v>852041445.8100001</v>
      </c>
      <c r="G4" s="25">
        <f>'Purchased Power Model '!B132</f>
        <v>834049383.1</v>
      </c>
      <c r="H4" s="25">
        <f>'Purchased Power Model '!B133</f>
        <v>838046263</v>
      </c>
      <c r="I4" s="25">
        <f>'Purchased Power Model '!B134</f>
        <v>848819242</v>
      </c>
      <c r="J4" s="53"/>
    </row>
    <row r="5" spans="1:11" ht="12.75">
      <c r="A5" s="15" t="s">
        <v>58</v>
      </c>
      <c r="B5" s="25">
        <f>'Purchased Power Model '!K127</f>
        <v>825313494.3734066</v>
      </c>
      <c r="C5" s="25">
        <f>'Purchased Power Model '!K128</f>
        <v>850001289.78912</v>
      </c>
      <c r="D5" s="25">
        <f>'Purchased Power Model '!K129</f>
        <v>837452153.0790619</v>
      </c>
      <c r="E5" s="25">
        <f>'Purchased Power Model '!K130</f>
        <v>845540631.9974012</v>
      </c>
      <c r="F5" s="25">
        <f>'Purchased Power Model '!K131</f>
        <v>853937498.7130793</v>
      </c>
      <c r="G5" s="25">
        <f>'Purchased Power Model '!K132</f>
        <v>838345000.8491421</v>
      </c>
      <c r="H5" s="25">
        <f>'Purchased Power Model '!K133</f>
        <v>842918314.4571482</v>
      </c>
      <c r="I5" s="25">
        <f>'Purchased Power Model '!K134</f>
        <v>852551619.8516409</v>
      </c>
      <c r="J5" s="54">
        <f>'Purchased Power Model '!K135</f>
        <v>859746440.0202109</v>
      </c>
      <c r="K5" s="25">
        <f>'Purchased Power Model '!K136</f>
        <v>866587550.4760334</v>
      </c>
    </row>
    <row r="6" spans="1:14" ht="12.75">
      <c r="A6" s="15" t="s">
        <v>9</v>
      </c>
      <c r="B6" s="38">
        <f aca="true" t="shared" si="0" ref="B6:I6">(B5-B4)/B4</f>
        <v>0.008326771688778234</v>
      </c>
      <c r="C6" s="38">
        <f t="shared" si="0"/>
        <v>-0.012703712786031138</v>
      </c>
      <c r="D6" s="38">
        <f t="shared" si="0"/>
        <v>0.0017414249679737026</v>
      </c>
      <c r="E6" s="38">
        <f t="shared" si="0"/>
        <v>-0.014143253733074719</v>
      </c>
      <c r="F6" s="38">
        <f t="shared" si="0"/>
        <v>0.0022253059547787295</v>
      </c>
      <c r="G6" s="38">
        <f t="shared" si="0"/>
        <v>0.00515031584002385</v>
      </c>
      <c r="H6" s="38">
        <f t="shared" si="0"/>
        <v>0.005813582939571195</v>
      </c>
      <c r="I6" s="38">
        <f t="shared" si="0"/>
        <v>0.004397140954117225</v>
      </c>
      <c r="J6" s="55"/>
      <c r="K6" s="42"/>
      <c r="L6" s="43"/>
      <c r="M6" s="28"/>
      <c r="N6" s="28"/>
    </row>
    <row r="7" spans="1:10" ht="12.75">
      <c r="A7" s="15"/>
      <c r="B7" s="35"/>
      <c r="C7" s="35"/>
      <c r="D7" s="35"/>
      <c r="E7" s="35"/>
      <c r="F7" s="35"/>
      <c r="G7" s="35"/>
      <c r="H7" s="35"/>
      <c r="I7" s="35"/>
      <c r="J7" s="53"/>
    </row>
    <row r="8" spans="1:11" ht="12.75">
      <c r="A8" s="15" t="s">
        <v>60</v>
      </c>
      <c r="B8" s="25">
        <f>'Rate Class Energy Model'!G7</f>
        <v>797901871</v>
      </c>
      <c r="C8" s="25">
        <f>'Rate Class Energy Model'!G8</f>
        <v>826955665</v>
      </c>
      <c r="D8" s="25">
        <f>'Rate Class Energy Model'!G9</f>
        <v>815253266</v>
      </c>
      <c r="E8" s="25">
        <f>'Rate Class Energy Model'!G10</f>
        <v>816675455</v>
      </c>
      <c r="F8" s="25">
        <f>'Rate Class Energy Model'!G11</f>
        <v>819736763</v>
      </c>
      <c r="G8" s="25">
        <f>'Rate Class Energy Model'!G12</f>
        <v>795296447</v>
      </c>
      <c r="H8" s="25">
        <f>'Rate Class Energy Model'!G13</f>
        <v>799977085</v>
      </c>
      <c r="I8" s="25">
        <f>'Rate Class Energy Model'!G14</f>
        <v>818499218</v>
      </c>
      <c r="J8" s="54">
        <f>'Rate Class Energy Model'!O53</f>
        <v>819659095.8495787</v>
      </c>
      <c r="K8" s="25">
        <f>'Rate Class Energy Model'!O54</f>
        <v>818754941.9658915</v>
      </c>
    </row>
    <row r="9" spans="1:9" ht="12.75">
      <c r="A9" s="15"/>
      <c r="B9" s="35"/>
      <c r="C9" s="35"/>
      <c r="D9" s="35"/>
      <c r="E9" s="35"/>
      <c r="G9" s="19"/>
      <c r="H9" s="19"/>
      <c r="I9" s="19"/>
    </row>
    <row r="10" ht="15.75">
      <c r="A10" s="37" t="s">
        <v>59</v>
      </c>
    </row>
    <row r="11" ht="12.75">
      <c r="A11" s="36" t="str">
        <f>'Rate Class Energy Model'!H2</f>
        <v>Residential </v>
      </c>
    </row>
    <row r="12" spans="1:11" ht="12.75">
      <c r="A12" t="s">
        <v>48</v>
      </c>
      <c r="B12" s="6">
        <f>'Rate Class Customer Model'!B3</f>
        <v>29047.25</v>
      </c>
      <c r="C12" s="6">
        <f>'Rate Class Customer Model'!B4</f>
        <v>29322.083333333332</v>
      </c>
      <c r="D12" s="6">
        <f>'Rate Class Customer Model'!B5</f>
        <v>29575.666666666668</v>
      </c>
      <c r="E12" s="6">
        <f>'Rate Class Customer Model'!B6</f>
        <v>29947.333333333332</v>
      </c>
      <c r="F12" s="6">
        <f>'Rate Class Customer Model'!B7</f>
        <v>30248.5</v>
      </c>
      <c r="G12" s="6">
        <f>'Rate Class Customer Model'!B8</f>
        <v>30524.166666666668</v>
      </c>
      <c r="H12" s="6">
        <f>'Rate Class Customer Model'!B9</f>
        <v>30790.5</v>
      </c>
      <c r="I12" s="6">
        <f>'Rate Class Customer Model'!B10</f>
        <v>31134.916666666668</v>
      </c>
      <c r="J12" s="23">
        <f>'Rate Class Customer Model'!B11</f>
        <v>31445.159759078786</v>
      </c>
      <c r="K12" s="6">
        <f>'Rate Class Customer Model'!B12</f>
        <v>31758.494260965992</v>
      </c>
    </row>
    <row r="13" spans="1:11" ht="12.75">
      <c r="A13" t="s">
        <v>49</v>
      </c>
      <c r="B13" s="6">
        <f>'Rate Class Energy Model'!H7</f>
        <v>285749014</v>
      </c>
      <c r="C13" s="6">
        <f>'Rate Class Energy Model'!H8</f>
        <v>296433964</v>
      </c>
      <c r="D13" s="6">
        <f>'Rate Class Energy Model'!H9</f>
        <v>290175501</v>
      </c>
      <c r="E13" s="6">
        <f>'Rate Class Energy Model'!H10</f>
        <v>285387602</v>
      </c>
      <c r="F13" s="6">
        <f>'Rate Class Energy Model'!H11</f>
        <v>288170301</v>
      </c>
      <c r="G13" s="6">
        <f>'Rate Class Energy Model'!H12</f>
        <v>284464847</v>
      </c>
      <c r="H13" s="6">
        <f>'Rate Class Energy Model'!H13</f>
        <v>287709082</v>
      </c>
      <c r="I13" s="6">
        <f>'Rate Class Energy Model'!H14</f>
        <v>293541684</v>
      </c>
      <c r="J13" s="23">
        <f>'Rate Class Energy Model'!H53</f>
        <v>294333518.3800358</v>
      </c>
      <c r="K13" s="6">
        <f>'Rate Class Energy Model'!H54</f>
        <v>294240107.23884034</v>
      </c>
    </row>
    <row r="14" spans="6:11" ht="12.75">
      <c r="F14" s="43"/>
      <c r="G14" s="19"/>
      <c r="H14" s="19"/>
      <c r="I14" s="19"/>
      <c r="K14" s="42"/>
    </row>
    <row r="15" ht="12.75">
      <c r="A15" s="36" t="str">
        <f>'Rate Class Energy Model'!I2</f>
        <v>General Service
&lt; 50 kW</v>
      </c>
    </row>
    <row r="16" spans="1:11" ht="12.75">
      <c r="A16" t="s">
        <v>48</v>
      </c>
      <c r="B16" s="6">
        <f>'Rate Class Customer Model'!C3</f>
        <v>3650.4166666666665</v>
      </c>
      <c r="C16" s="6">
        <f>'Rate Class Customer Model'!C4</f>
        <v>3642</v>
      </c>
      <c r="D16" s="6">
        <f>'Rate Class Customer Model'!C5</f>
        <v>3611.75</v>
      </c>
      <c r="E16" s="6">
        <f>'Rate Class Customer Model'!C6</f>
        <v>3617.5833333333335</v>
      </c>
      <c r="F16" s="6">
        <f>'Rate Class Customer Model'!C7</f>
        <v>3633.25</v>
      </c>
      <c r="G16" s="6">
        <f>'Rate Class Customer Model'!C8</f>
        <v>3619.0833333333335</v>
      </c>
      <c r="H16" s="6">
        <f>'Rate Class Customer Model'!C9</f>
        <v>3599.5833333333335</v>
      </c>
      <c r="I16" s="6">
        <f>'Rate Class Customer Model'!C10</f>
        <v>3569.5833333333335</v>
      </c>
      <c r="J16" s="6">
        <f>'Rate Class Customer Model'!C11</f>
        <v>3558.18276593255</v>
      </c>
      <c r="K16" s="6">
        <f>'Rate Class Customer Model'!C12</f>
        <v>3546.8186097666144</v>
      </c>
    </row>
    <row r="17" spans="1:11" ht="12.75">
      <c r="A17" t="s">
        <v>49</v>
      </c>
      <c r="B17" s="6">
        <f>'Rate Class Energy Model'!I7</f>
        <v>121813571</v>
      </c>
      <c r="C17" s="6">
        <f>'Rate Class Energy Model'!I8</f>
        <v>126304848</v>
      </c>
      <c r="D17" s="6">
        <f>'Rate Class Energy Model'!I9</f>
        <v>124353936</v>
      </c>
      <c r="E17" s="6">
        <f>'Rate Class Energy Model'!I10</f>
        <v>124661008</v>
      </c>
      <c r="F17" s="6">
        <f>'Rate Class Energy Model'!I11</f>
        <v>121586473</v>
      </c>
      <c r="G17" s="6">
        <f>'Rate Class Energy Model'!I12</f>
        <v>117206107</v>
      </c>
      <c r="H17" s="6">
        <f>'Rate Class Energy Model'!I13</f>
        <v>117506264</v>
      </c>
      <c r="I17" s="6">
        <f>'Rate Class Energy Model'!I14</f>
        <v>114708317</v>
      </c>
      <c r="J17" s="6">
        <f>'Rate Class Energy Model'!I53</f>
        <v>113597003.56461161</v>
      </c>
      <c r="K17" s="6">
        <f>'Rate Class Energy Model'!I54</f>
        <v>112158205.35641587</v>
      </c>
    </row>
    <row r="18" spans="6:11" ht="12.75">
      <c r="F18" s="43"/>
      <c r="G18" s="19"/>
      <c r="H18" s="19"/>
      <c r="I18" s="19"/>
      <c r="K18" s="42"/>
    </row>
    <row r="19" spans="1:11" ht="12.75">
      <c r="A19" s="36" t="str">
        <f>'Rate Class Energy Model'!J2</f>
        <v>General Service
&gt; 50 kW</v>
      </c>
      <c r="K19" s="6"/>
    </row>
    <row r="20" spans="1:11" ht="12.75">
      <c r="A20" t="s">
        <v>48</v>
      </c>
      <c r="B20" s="6">
        <f>'Rate Class Customer Model'!D3</f>
        <v>384.1666666666667</v>
      </c>
      <c r="C20" s="6">
        <f>'Rate Class Customer Model'!D4</f>
        <v>384.5</v>
      </c>
      <c r="D20" s="6">
        <f>'Rate Class Customer Model'!D5</f>
        <v>377.4166666666667</v>
      </c>
      <c r="E20" s="6">
        <f>'Rate Class Customer Model'!D6</f>
        <v>375.1666666666667</v>
      </c>
      <c r="F20" s="6">
        <f>'Rate Class Customer Model'!D7</f>
        <v>369.4166666666667</v>
      </c>
      <c r="G20" s="6">
        <f>'Rate Class Customer Model'!D8</f>
        <v>363</v>
      </c>
      <c r="H20" s="6">
        <f>'Rate Class Customer Model'!D9</f>
        <v>372</v>
      </c>
      <c r="I20" s="23">
        <f>'Rate Class Customer Model'!D10</f>
        <v>388.75</v>
      </c>
      <c r="J20" s="6">
        <f>'Rate Class Customer Model'!D11</f>
        <v>389.4092105970397</v>
      </c>
      <c r="K20" s="6">
        <f>'Rate Class Customer Model'!D12</f>
        <v>390.0695390297354</v>
      </c>
    </row>
    <row r="21" spans="1:11" ht="12.75">
      <c r="A21" t="s">
        <v>49</v>
      </c>
      <c r="B21" s="6">
        <f>'Rate Class Energy Model'!J7</f>
        <v>320036669</v>
      </c>
      <c r="C21" s="6">
        <f>'Rate Class Energy Model'!J8</f>
        <v>330743565</v>
      </c>
      <c r="D21" s="6">
        <f>'Rate Class Energy Model'!J9</f>
        <v>327027328</v>
      </c>
      <c r="E21" s="6">
        <f>'Rate Class Energy Model'!J10</f>
        <v>333067762</v>
      </c>
      <c r="F21" s="6">
        <f>'Rate Class Energy Model'!J11</f>
        <v>338999213</v>
      </c>
      <c r="G21" s="6">
        <f>'Rate Class Energy Model'!J12</f>
        <v>327169221</v>
      </c>
      <c r="H21" s="6">
        <f>'Rate Class Energy Model'!J13</f>
        <v>331296296</v>
      </c>
      <c r="I21" s="6">
        <f>'Rate Class Energy Model'!J14</f>
        <v>345543415</v>
      </c>
      <c r="J21" s="6">
        <f>'Rate Class Energy Model'!J53</f>
        <v>348573780.5421628</v>
      </c>
      <c r="K21" s="6">
        <f>'Rate Class Energy Model'!J54</f>
        <v>350715604.9993504</v>
      </c>
    </row>
    <row r="22" spans="1:11" ht="12.75">
      <c r="A22" t="s">
        <v>50</v>
      </c>
      <c r="B22" s="6">
        <f>'Rate Class Load Model'!B2</f>
        <v>786950</v>
      </c>
      <c r="C22" s="6">
        <f>'Rate Class Load Model'!B3</f>
        <v>764330</v>
      </c>
      <c r="D22" s="6">
        <f>'Rate Class Load Model'!B4</f>
        <v>805126</v>
      </c>
      <c r="E22" s="6">
        <f>'Rate Class Load Model'!B5</f>
        <v>830729</v>
      </c>
      <c r="F22" s="6">
        <f>'Rate Class Load Model'!B6</f>
        <v>842747</v>
      </c>
      <c r="G22" s="6">
        <f>'Rate Class Load Model'!B7</f>
        <v>819801</v>
      </c>
      <c r="H22" s="23">
        <f>'Rate Class Load Model'!B8</f>
        <v>825019</v>
      </c>
      <c r="I22" s="23">
        <f>'Rate Class Load Model'!B9</f>
        <v>848381</v>
      </c>
      <c r="J22" s="6">
        <f>'Rate Class Load Model'!B10</f>
        <v>856760.2539054027</v>
      </c>
      <c r="K22" s="6">
        <f>'Rate Class Load Model'!B11</f>
        <v>862024.6489006508</v>
      </c>
    </row>
    <row r="23" spans="6:11" ht="12.75">
      <c r="F23" s="43"/>
      <c r="G23" s="19"/>
      <c r="H23" s="19"/>
      <c r="I23" s="19"/>
      <c r="K23" s="42"/>
    </row>
    <row r="24" spans="1:11" ht="12.75">
      <c r="A24" s="36" t="str">
        <f>'Rate Class Energy Model'!K2</f>
        <v>Large User</v>
      </c>
      <c r="K24" s="6"/>
    </row>
    <row r="25" spans="1:11" ht="12.75">
      <c r="A25" t="s">
        <v>48</v>
      </c>
      <c r="B25" s="6">
        <f>'Rate Class Customer Model'!E3</f>
        <v>2</v>
      </c>
      <c r="C25" s="6">
        <f>'Rate Class Customer Model'!E4</f>
        <v>2</v>
      </c>
      <c r="D25" s="6">
        <f>'Rate Class Customer Model'!E5</f>
        <v>2</v>
      </c>
      <c r="E25" s="6">
        <f>'Rate Class Customer Model'!E6</f>
        <v>2</v>
      </c>
      <c r="F25" s="6">
        <f>'Rate Class Customer Model'!E7</f>
        <v>2</v>
      </c>
      <c r="G25" s="6">
        <f>'Rate Class Customer Model'!E8</f>
        <v>2</v>
      </c>
      <c r="H25" s="6">
        <f>'Rate Class Customer Model'!E9</f>
        <v>2</v>
      </c>
      <c r="I25" s="6">
        <f>'Rate Class Customer Model'!E10</f>
        <v>2</v>
      </c>
      <c r="J25" s="23">
        <f>'Rate Class Customer Model'!E11</f>
        <v>2</v>
      </c>
      <c r="K25" s="6">
        <f>'Rate Class Customer Model'!E12</f>
        <v>2</v>
      </c>
    </row>
    <row r="26" spans="1:11" ht="12.75">
      <c r="A26" t="s">
        <v>49</v>
      </c>
      <c r="B26" s="6">
        <f>'Rate Class Energy Model'!K7</f>
        <v>63311617</v>
      </c>
      <c r="C26" s="6">
        <f>'Rate Class Energy Model'!K8</f>
        <v>66520715</v>
      </c>
      <c r="D26" s="6">
        <f>'Rate Class Energy Model'!K9</f>
        <v>65100158</v>
      </c>
      <c r="E26" s="6">
        <f>'Rate Class Energy Model'!K10</f>
        <v>63450100</v>
      </c>
      <c r="F26" s="6">
        <f>'Rate Class Energy Model'!K11</f>
        <v>63280466</v>
      </c>
      <c r="G26" s="6">
        <f>'Rate Class Energy Model'!K12</f>
        <v>58518018</v>
      </c>
      <c r="H26" s="6">
        <f>'Rate Class Energy Model'!K13</f>
        <v>55529141</v>
      </c>
      <c r="I26" s="6">
        <f>'Rate Class Energy Model'!K14</f>
        <v>56661879</v>
      </c>
      <c r="J26" s="6">
        <f>'Rate Class Energy Model'!K53</f>
        <v>55262515.82851032</v>
      </c>
      <c r="K26" s="6">
        <f>'Rate Class Energy Model'!K54</f>
        <v>53896861.989778064</v>
      </c>
    </row>
    <row r="27" spans="1:11" ht="12.75">
      <c r="A27" t="s">
        <v>50</v>
      </c>
      <c r="B27" s="6">
        <f>'Rate Class Load Model'!C2</f>
        <v>133227</v>
      </c>
      <c r="C27" s="6">
        <f>'Rate Class Load Model'!C3</f>
        <v>136079</v>
      </c>
      <c r="D27" s="6">
        <f>'Rate Class Load Model'!C4</f>
        <v>133042</v>
      </c>
      <c r="E27" s="6">
        <f>'Rate Class Load Model'!C5</f>
        <v>128681</v>
      </c>
      <c r="F27" s="6">
        <f>'Rate Class Load Model'!C6</f>
        <v>134390</v>
      </c>
      <c r="G27" s="6">
        <f>'Rate Class Load Model'!C7</f>
        <v>126985</v>
      </c>
      <c r="H27" s="23">
        <f>'Rate Class Load Model'!C8</f>
        <v>121689</v>
      </c>
      <c r="I27" s="23">
        <f>'Rate Class Load Model'!C9</f>
        <v>121779</v>
      </c>
      <c r="J27" s="6">
        <f>'Rate Class Load Model'!C10</f>
        <v>116438.73303084826</v>
      </c>
      <c r="K27" s="6">
        <f>'Rate Class Load Model'!C11</f>
        <v>113561.28526437032</v>
      </c>
    </row>
    <row r="28" spans="6:11" ht="12.75">
      <c r="F28" s="43"/>
      <c r="G28" s="19"/>
      <c r="H28" s="19"/>
      <c r="I28" s="19"/>
      <c r="K28" s="42"/>
    </row>
    <row r="29" spans="1:11" ht="12.75">
      <c r="A29" s="36" t="str">
        <f>'Rate Class Energy Model'!L2</f>
        <v>Street Lighting </v>
      </c>
      <c r="K29" s="6"/>
    </row>
    <row r="30" spans="1:11" ht="12.75">
      <c r="A30" t="s">
        <v>68</v>
      </c>
      <c r="B30" s="6">
        <f>'Rate Class Customer Model'!F3</f>
        <v>8065.083333333333</v>
      </c>
      <c r="C30" s="6">
        <f>'Rate Class Customer Model'!F4</f>
        <v>8182.416666666667</v>
      </c>
      <c r="D30" s="6">
        <f>'Rate Class Customer Model'!F5</f>
        <v>8255.416666666666</v>
      </c>
      <c r="E30" s="6">
        <f>'Rate Class Customer Model'!F6</f>
        <v>8283.666666666666</v>
      </c>
      <c r="F30" s="6">
        <f>'Rate Class Customer Model'!F7</f>
        <v>8148.166666666667</v>
      </c>
      <c r="G30" s="6">
        <f>'Rate Class Customer Model'!F8</f>
        <v>8002.333333333333</v>
      </c>
      <c r="H30" s="23">
        <f>'Rate Class Customer Model'!F9</f>
        <v>8064.166666666667</v>
      </c>
      <c r="I30" s="23">
        <f>'Rate Class Customer Model'!F10</f>
        <v>8130.75</v>
      </c>
      <c r="J30" s="6">
        <f>'Rate Class Customer Model'!F11</f>
        <v>8140.1744972835795</v>
      </c>
      <c r="K30" s="6">
        <f>'Rate Class Customer Model'!F12</f>
        <v>8149.609918669985</v>
      </c>
    </row>
    <row r="31" spans="1:11" ht="12.75">
      <c r="A31" t="s">
        <v>49</v>
      </c>
      <c r="B31" s="6">
        <f>'Rate Class Energy Model'!L7</f>
        <v>5980324</v>
      </c>
      <c r="C31" s="6">
        <f>'Rate Class Energy Model'!L8</f>
        <v>5985582</v>
      </c>
      <c r="D31" s="6">
        <f>'Rate Class Energy Model'!L9</f>
        <v>6283519</v>
      </c>
      <c r="E31" s="6">
        <f>'Rate Class Energy Model'!L10</f>
        <v>6588942</v>
      </c>
      <c r="F31" s="6">
        <f>'Rate Class Energy Model'!L11</f>
        <v>5640742</v>
      </c>
      <c r="G31" s="6">
        <f>'Rate Class Energy Model'!L12</f>
        <v>5539999</v>
      </c>
      <c r="H31" s="6">
        <f>'Rate Class Energy Model'!L13</f>
        <v>5582044</v>
      </c>
      <c r="I31" s="6">
        <f>'Rate Class Energy Model'!L14</f>
        <v>5614216</v>
      </c>
      <c r="J31" s="6">
        <f>'Rate Class Energy Model'!L53</f>
        <v>5513077.022506365</v>
      </c>
      <c r="K31" s="57">
        <f>'Rate Class Energy Model'!L54</f>
        <v>5413674.628692462</v>
      </c>
    </row>
    <row r="32" spans="1:11" ht="12.75">
      <c r="A32" t="s">
        <v>50</v>
      </c>
      <c r="B32" s="6">
        <f>'Rate Class Load Model'!D2</f>
        <v>16548</v>
      </c>
      <c r="C32" s="6">
        <f>'Rate Class Load Model'!D3</f>
        <v>16365</v>
      </c>
      <c r="D32" s="6">
        <f>'Rate Class Load Model'!D4</f>
        <v>16568</v>
      </c>
      <c r="E32" s="6">
        <f>'Rate Class Load Model'!D5</f>
        <v>13932</v>
      </c>
      <c r="F32" s="6">
        <f>'Rate Class Load Model'!D6</f>
        <v>16513</v>
      </c>
      <c r="G32" s="6">
        <f>'Rate Class Load Model'!D7</f>
        <v>16284</v>
      </c>
      <c r="H32" s="23">
        <f>'Rate Class Load Model'!D8</f>
        <v>16388</v>
      </c>
      <c r="I32" s="23">
        <f>'Rate Class Load Model'!D9</f>
        <v>16448</v>
      </c>
      <c r="J32" s="6">
        <f>'Rate Class Load Model'!D10</f>
        <v>15150.407807567131</v>
      </c>
      <c r="K32" s="6">
        <f>'Rate Class Load Model'!D11</f>
        <v>14877.241516368764</v>
      </c>
    </row>
    <row r="34" ht="12.75">
      <c r="A34" s="36" t="str">
        <f>'Rate Class Energy Model'!M2</f>
        <v>Sentinel Lighting</v>
      </c>
    </row>
    <row r="35" spans="1:11" ht="12.75">
      <c r="A35" t="s">
        <v>68</v>
      </c>
      <c r="B35" s="6">
        <f>'Rate Class Customer Model'!G3</f>
        <v>680.75</v>
      </c>
      <c r="C35" s="6">
        <f>'Rate Class Customer Model'!G4</f>
        <v>674.6666666666666</v>
      </c>
      <c r="D35" s="6">
        <f>'Rate Class Customer Model'!G5</f>
        <v>685.0833333333334</v>
      </c>
      <c r="E35" s="6">
        <f>'Rate Class Customer Model'!G6</f>
        <v>564.8333333333334</v>
      </c>
      <c r="F35" s="6">
        <f>'Rate Class Customer Model'!G7</f>
        <v>450.8333333333333</v>
      </c>
      <c r="G35" s="6">
        <f>'Rate Class Customer Model'!G8</f>
        <v>425.1666666666667</v>
      </c>
      <c r="H35" s="23">
        <f>'Rate Class Customer Model'!G9</f>
        <v>422.5</v>
      </c>
      <c r="I35" s="23">
        <f>'Rate Class Customer Model'!G10</f>
        <v>415.5</v>
      </c>
      <c r="J35" s="6">
        <f>'Rate Class Customer Model'!G11</f>
        <v>387.2042202260511</v>
      </c>
      <c r="K35" s="6">
        <f>'Rate Class Customer Model'!G12</f>
        <v>360.8353987024411</v>
      </c>
    </row>
    <row r="36" spans="1:11" ht="12.75">
      <c r="A36" t="s">
        <v>49</v>
      </c>
      <c r="B36" s="6">
        <f>'Rate Class Energy Model'!M7</f>
        <v>1010676</v>
      </c>
      <c r="C36" s="6">
        <f>'Rate Class Energy Model'!M8</f>
        <v>966991</v>
      </c>
      <c r="D36" s="6">
        <f>'Rate Class Energy Model'!M9</f>
        <v>1093025</v>
      </c>
      <c r="E36" s="6">
        <f>'Rate Class Energy Model'!M10</f>
        <v>1308319</v>
      </c>
      <c r="F36" s="6">
        <f>'Rate Class Energy Model'!M11</f>
        <v>633264</v>
      </c>
      <c r="G36" s="6">
        <f>'Rate Class Energy Model'!M12</f>
        <v>796438</v>
      </c>
      <c r="H36" s="6">
        <f>'Rate Class Energy Model'!M13</f>
        <v>788608</v>
      </c>
      <c r="I36" s="6">
        <f>'Rate Class Energy Model'!M14</f>
        <v>768502</v>
      </c>
      <c r="J36" s="6">
        <f>'Rate Class Energy Model'!M53</f>
        <v>732274.7120112196</v>
      </c>
      <c r="K36" s="6">
        <f>'Rate Class Energy Model'!M54</f>
        <v>697744.1745433661</v>
      </c>
    </row>
    <row r="37" spans="1:11" ht="12.75">
      <c r="A37" t="s">
        <v>50</v>
      </c>
      <c r="B37" s="6">
        <f>'Rate Class Load Model'!E2</f>
        <v>2630</v>
      </c>
      <c r="C37" s="6">
        <f>'Rate Class Load Model'!E3</f>
        <v>2721</v>
      </c>
      <c r="D37" s="6">
        <f>'Rate Class Load Model'!E4</f>
        <v>4030</v>
      </c>
      <c r="E37" s="6">
        <f>'Rate Class Load Model'!E5</f>
        <v>2574</v>
      </c>
      <c r="F37" s="6">
        <f>'Rate Class Load Model'!E6</f>
        <v>2437</v>
      </c>
      <c r="G37" s="6">
        <f>'Rate Class Load Model'!E7</f>
        <v>1916</v>
      </c>
      <c r="H37" s="6">
        <f>'Rate Class Load Model'!E8</f>
        <v>2174</v>
      </c>
      <c r="I37" s="6">
        <f>'Rate Class Load Model'!E9</f>
        <v>2129</v>
      </c>
      <c r="J37" s="23">
        <f>'Rate Class Load Model'!E10</f>
        <v>2091.7093913212893</v>
      </c>
      <c r="K37" s="6">
        <f>'Rate Class Load Model'!E11</f>
        <v>1993.0744824214523</v>
      </c>
    </row>
    <row r="38" ht="12.75">
      <c r="K38" s="6"/>
    </row>
    <row r="39" spans="1:11" ht="12.75">
      <c r="A39" s="36" t="str">
        <f>'Rate Class Energy Model'!N2</f>
        <v>Unmetered Scattered Loads </v>
      </c>
      <c r="K39" s="6"/>
    </row>
    <row r="40" spans="1:11" ht="12.75">
      <c r="A40" t="s">
        <v>68</v>
      </c>
      <c r="B40" s="6">
        <f>'Rate Class Customer Model'!H3</f>
        <v>0</v>
      </c>
      <c r="C40" s="6">
        <f>'Rate Class Customer Model'!H4</f>
        <v>0</v>
      </c>
      <c r="D40" s="6">
        <f>'Rate Class Customer Model'!H5</f>
        <v>383</v>
      </c>
      <c r="E40" s="6">
        <f>'Rate Class Customer Model'!H6</f>
        <v>383</v>
      </c>
      <c r="F40" s="6">
        <f>'Rate Class Customer Model'!H7</f>
        <v>383</v>
      </c>
      <c r="G40" s="6">
        <f>'Rate Class Customer Model'!H8</f>
        <v>383</v>
      </c>
      <c r="H40" s="6">
        <f>'Rate Class Customer Model'!H9</f>
        <v>383.0833333333333</v>
      </c>
      <c r="I40" s="6">
        <f>'Rate Class Customer Model'!H10</f>
        <v>384</v>
      </c>
      <c r="J40" s="23">
        <f>'Rate Class Customer Model'!H11</f>
        <v>384.20031309803426</v>
      </c>
      <c r="K40" s="6">
        <f>'Rate Class Customer Model'!H12</f>
        <v>384.4007306891342</v>
      </c>
    </row>
    <row r="41" spans="1:11" ht="12.75">
      <c r="A41" t="s">
        <v>49</v>
      </c>
      <c r="B41" s="6">
        <f>'Rate Class Energy Model'!N7</f>
        <v>0</v>
      </c>
      <c r="C41" s="6">
        <f>'Rate Class Energy Model'!N8</f>
        <v>0</v>
      </c>
      <c r="D41" s="6">
        <f>'Rate Class Energy Model'!N9</f>
        <v>1219799</v>
      </c>
      <c r="E41" s="6">
        <f>'Rate Class Energy Model'!N10</f>
        <v>2211722</v>
      </c>
      <c r="F41" s="6">
        <f>'Rate Class Energy Model'!N11</f>
        <v>1426304</v>
      </c>
      <c r="G41" s="6">
        <f>'Rate Class Energy Model'!N12</f>
        <v>1601817</v>
      </c>
      <c r="H41" s="6">
        <f>'Rate Class Energy Model'!N13</f>
        <v>1565650</v>
      </c>
      <c r="I41" s="6">
        <f>'Rate Class Energy Model'!N14</f>
        <v>1661205</v>
      </c>
      <c r="J41" s="6">
        <f>'Rate Class Energy Model'!N53</f>
        <v>1646925.7997406481</v>
      </c>
      <c r="K41" s="6">
        <f>'Rate Class Energy Model'!N54</f>
        <v>1632743.5782709413</v>
      </c>
    </row>
    <row r="42" ht="12.75">
      <c r="K42" s="6"/>
    </row>
    <row r="43" spans="1:10" ht="12.75">
      <c r="A43" s="36" t="s">
        <v>69</v>
      </c>
      <c r="B43" s="6"/>
      <c r="C43" s="6"/>
      <c r="D43" s="6"/>
      <c r="F43" s="6"/>
      <c r="G43" s="6"/>
      <c r="H43" s="6"/>
      <c r="I43" s="6"/>
      <c r="J43" s="23"/>
    </row>
    <row r="44" spans="1:11" ht="12.75">
      <c r="A44" t="s">
        <v>56</v>
      </c>
      <c r="B44" s="6">
        <f>SUM(B12+B16+B20+B25+B30+B35+B40)</f>
        <v>41829.66666666667</v>
      </c>
      <c r="C44" s="6">
        <f aca="true" t="shared" si="1" ref="C44:K44">SUM(C12+C16+C20+C25+C30+C35+C40)</f>
        <v>42207.66666666666</v>
      </c>
      <c r="D44" s="6">
        <f t="shared" si="1"/>
        <v>42890.333333333336</v>
      </c>
      <c r="E44" s="6">
        <f t="shared" si="1"/>
        <v>43173.58333333333</v>
      </c>
      <c r="F44" s="6">
        <f t="shared" si="1"/>
        <v>43235.166666666664</v>
      </c>
      <c r="G44" s="6">
        <f t="shared" si="1"/>
        <v>43318.75</v>
      </c>
      <c r="H44" s="6">
        <f t="shared" si="1"/>
        <v>43633.833333333336</v>
      </c>
      <c r="I44" s="6">
        <f t="shared" si="1"/>
        <v>44025.5</v>
      </c>
      <c r="J44" s="6">
        <f t="shared" si="1"/>
        <v>44306.330766216044</v>
      </c>
      <c r="K44" s="6">
        <f t="shared" si="1"/>
        <v>44592.2284578239</v>
      </c>
    </row>
    <row r="45" spans="1:11" ht="12.75">
      <c r="A45" t="s">
        <v>49</v>
      </c>
      <c r="B45" s="6">
        <f>SUM(B13+B17+B21+B26+B31+B36+B41)</f>
        <v>797901871</v>
      </c>
      <c r="C45" s="6">
        <f aca="true" t="shared" si="2" ref="C45:K45">SUM(C13+C17+C21+C26+C31+C36+C41)</f>
        <v>826955665</v>
      </c>
      <c r="D45" s="6">
        <f t="shared" si="2"/>
        <v>815253266</v>
      </c>
      <c r="E45" s="6">
        <f t="shared" si="2"/>
        <v>816675455</v>
      </c>
      <c r="F45" s="6">
        <f t="shared" si="2"/>
        <v>819736763</v>
      </c>
      <c r="G45" s="6">
        <f t="shared" si="2"/>
        <v>795296447</v>
      </c>
      <c r="H45" s="6">
        <f t="shared" si="2"/>
        <v>799977085</v>
      </c>
      <c r="I45" s="6">
        <f t="shared" si="2"/>
        <v>818499218</v>
      </c>
      <c r="J45" s="6">
        <f t="shared" si="2"/>
        <v>819659095.8495787</v>
      </c>
      <c r="K45" s="6">
        <f t="shared" si="2"/>
        <v>818754941.9658915</v>
      </c>
    </row>
    <row r="46" spans="1:11" ht="12.75">
      <c r="A46" t="s">
        <v>55</v>
      </c>
      <c r="B46" s="6">
        <f>SUM(B22+B27+B32+B37)</f>
        <v>939355</v>
      </c>
      <c r="C46" s="6">
        <f aca="true" t="shared" si="3" ref="C46:K46">SUM(C22+C27+C32+C37)</f>
        <v>919495</v>
      </c>
      <c r="D46" s="6">
        <f t="shared" si="3"/>
        <v>958766</v>
      </c>
      <c r="E46" s="6">
        <f t="shared" si="3"/>
        <v>975916</v>
      </c>
      <c r="F46" s="6">
        <f t="shared" si="3"/>
        <v>996087</v>
      </c>
      <c r="G46" s="6">
        <f t="shared" si="3"/>
        <v>964986</v>
      </c>
      <c r="H46" s="6">
        <f t="shared" si="3"/>
        <v>965270</v>
      </c>
      <c r="I46" s="6">
        <f t="shared" si="3"/>
        <v>988737</v>
      </c>
      <c r="J46" s="6">
        <f t="shared" si="3"/>
        <v>990441.1041351394</v>
      </c>
      <c r="K46" s="6">
        <f t="shared" si="3"/>
        <v>992456.2501638115</v>
      </c>
    </row>
    <row r="48" spans="1:11" ht="12.75">
      <c r="A48" s="36" t="s">
        <v>70</v>
      </c>
      <c r="K48" s="6"/>
    </row>
    <row r="49" spans="1:11" ht="12.75">
      <c r="A49" t="s">
        <v>56</v>
      </c>
      <c r="B49" s="6">
        <f>'Rate Class Customer Model'!I3</f>
        <v>41829.66666666667</v>
      </c>
      <c r="C49" s="6">
        <f>'Rate Class Customer Model'!I4</f>
        <v>42207.66666666666</v>
      </c>
      <c r="D49" s="6">
        <f>'Rate Class Customer Model'!I5</f>
        <v>42890.333333333336</v>
      </c>
      <c r="E49" s="6">
        <f>'Rate Class Customer Model'!I6</f>
        <v>43173.58333333333</v>
      </c>
      <c r="F49" s="6">
        <f>'Rate Class Customer Model'!I7</f>
        <v>43235.166666666664</v>
      </c>
      <c r="G49" s="6">
        <f>'Rate Class Customer Model'!I8</f>
        <v>43318.75</v>
      </c>
      <c r="H49" s="6">
        <f>'Rate Class Customer Model'!I9</f>
        <v>43633.833333333336</v>
      </c>
      <c r="I49" s="6">
        <f>'Rate Class Customer Model'!I10</f>
        <v>44025.5</v>
      </c>
      <c r="J49" s="6">
        <f>'Rate Class Customer Model'!I11</f>
        <v>44306.330766216044</v>
      </c>
      <c r="K49" s="6">
        <f>'Rate Class Customer Model'!I12</f>
        <v>44592.2284578239</v>
      </c>
    </row>
    <row r="50" spans="1:11" ht="12.75">
      <c r="A50" t="s">
        <v>49</v>
      </c>
      <c r="B50" s="6">
        <f>'Rate Class Energy Model'!G7</f>
        <v>797901871</v>
      </c>
      <c r="C50" s="6">
        <f>'Rate Class Energy Model'!G8</f>
        <v>826955665</v>
      </c>
      <c r="D50" s="6">
        <f>'Rate Class Energy Model'!G9</f>
        <v>815253266</v>
      </c>
      <c r="E50" s="6">
        <f>'Rate Class Energy Model'!G10</f>
        <v>816675455</v>
      </c>
      <c r="F50" s="6">
        <f>'Rate Class Energy Model'!G11</f>
        <v>819736763</v>
      </c>
      <c r="G50" s="6">
        <f>'Rate Class Energy Model'!G12</f>
        <v>795296447</v>
      </c>
      <c r="H50" s="6">
        <f>'Rate Class Energy Model'!G13</f>
        <v>799977085</v>
      </c>
      <c r="I50" s="6">
        <f>'Rate Class Energy Model'!G14</f>
        <v>818499218</v>
      </c>
      <c r="J50" s="23">
        <f>'Rate Class Energy Model'!O53</f>
        <v>819659095.8495787</v>
      </c>
      <c r="K50" s="6">
        <f>'Rate Class Energy Model'!O54</f>
        <v>818754941.9658915</v>
      </c>
    </row>
    <row r="51" spans="1:11" ht="12.75">
      <c r="A51" t="s">
        <v>55</v>
      </c>
      <c r="B51" s="6">
        <f>'Rate Class Load Model'!F2</f>
        <v>939355</v>
      </c>
      <c r="C51" s="6">
        <f>'Rate Class Load Model'!F3</f>
        <v>919495</v>
      </c>
      <c r="D51" s="6">
        <f>'Rate Class Load Model'!F4</f>
        <v>958766</v>
      </c>
      <c r="E51" s="6">
        <f>'Rate Class Load Model'!F5</f>
        <v>975916</v>
      </c>
      <c r="F51" s="6">
        <f>'Rate Class Load Model'!F6</f>
        <v>996087</v>
      </c>
      <c r="G51" s="6">
        <f>'Rate Class Load Model'!F7</f>
        <v>964986</v>
      </c>
      <c r="H51" s="23">
        <f>'Rate Class Load Model'!F8</f>
        <v>965270</v>
      </c>
      <c r="I51" s="23">
        <f>'Rate Class Load Model'!F9</f>
        <v>988737</v>
      </c>
      <c r="J51" s="6">
        <f>'Rate Class Load Model'!F10</f>
        <v>990441.1041351394</v>
      </c>
      <c r="K51" s="6">
        <f>'Rate Class Load Model'!F11</f>
        <v>992456.2501638115</v>
      </c>
    </row>
    <row r="53" spans="1:11" ht="12.75">
      <c r="A53" s="36" t="s">
        <v>71</v>
      </c>
      <c r="B53" s="6"/>
      <c r="C53" s="6"/>
      <c r="D53" s="6"/>
      <c r="E53" s="6"/>
      <c r="F53" s="6"/>
      <c r="G53" s="6"/>
      <c r="H53" s="6"/>
      <c r="I53" s="6"/>
      <c r="J53" s="6"/>
      <c r="K53" s="6"/>
    </row>
    <row r="54" spans="1:11" ht="12.75">
      <c r="A54" t="s">
        <v>56</v>
      </c>
      <c r="B54" s="6">
        <f aca="true" t="shared" si="4" ref="B54:K54">B44-B49</f>
        <v>0</v>
      </c>
      <c r="C54" s="6">
        <f t="shared" si="4"/>
        <v>0</v>
      </c>
      <c r="D54" s="6">
        <f t="shared" si="4"/>
        <v>0</v>
      </c>
      <c r="E54" s="6">
        <f t="shared" si="4"/>
        <v>0</v>
      </c>
      <c r="F54" s="6">
        <f t="shared" si="4"/>
        <v>0</v>
      </c>
      <c r="G54" s="6">
        <f t="shared" si="4"/>
        <v>0</v>
      </c>
      <c r="H54" s="6">
        <f t="shared" si="4"/>
        <v>0</v>
      </c>
      <c r="I54" s="6">
        <f t="shared" si="4"/>
        <v>0</v>
      </c>
      <c r="J54" s="6">
        <f t="shared" si="4"/>
        <v>0</v>
      </c>
      <c r="K54" s="6">
        <f t="shared" si="4"/>
        <v>0</v>
      </c>
    </row>
    <row r="55" spans="1:11" ht="12.75">
      <c r="A55" t="s">
        <v>49</v>
      </c>
      <c r="B55" s="6">
        <f aca="true" t="shared" si="5" ref="B55:K55">B45-B50</f>
        <v>0</v>
      </c>
      <c r="C55" s="6">
        <f t="shared" si="5"/>
        <v>0</v>
      </c>
      <c r="D55" s="6">
        <f t="shared" si="5"/>
        <v>0</v>
      </c>
      <c r="E55" s="6">
        <f t="shared" si="5"/>
        <v>0</v>
      </c>
      <c r="F55" s="6">
        <f t="shared" si="5"/>
        <v>0</v>
      </c>
      <c r="G55" s="6">
        <f t="shared" si="5"/>
        <v>0</v>
      </c>
      <c r="H55" s="6">
        <f t="shared" si="5"/>
        <v>0</v>
      </c>
      <c r="I55" s="6">
        <f t="shared" si="5"/>
        <v>0</v>
      </c>
      <c r="J55" s="6">
        <f t="shared" si="5"/>
        <v>0</v>
      </c>
      <c r="K55" s="6">
        <f t="shared" si="5"/>
        <v>0</v>
      </c>
    </row>
    <row r="56" spans="1:11" ht="12.75">
      <c r="A56" t="s">
        <v>55</v>
      </c>
      <c r="B56" s="6">
        <f aca="true" t="shared" si="6" ref="B56:K56">B46-B51</f>
        <v>0</v>
      </c>
      <c r="C56" s="6">
        <f t="shared" si="6"/>
        <v>0</v>
      </c>
      <c r="D56" s="6">
        <f t="shared" si="6"/>
        <v>0</v>
      </c>
      <c r="E56" s="6">
        <f t="shared" si="6"/>
        <v>0</v>
      </c>
      <c r="F56" s="6">
        <f t="shared" si="6"/>
        <v>0</v>
      </c>
      <c r="G56" s="6">
        <f t="shared" si="6"/>
        <v>0</v>
      </c>
      <c r="H56" s="6">
        <f t="shared" si="6"/>
        <v>0</v>
      </c>
      <c r="I56" s="6">
        <f t="shared" si="6"/>
        <v>0</v>
      </c>
      <c r="J56" s="6">
        <f t="shared" si="6"/>
        <v>0</v>
      </c>
      <c r="K56" s="6">
        <f t="shared" si="6"/>
        <v>0</v>
      </c>
    </row>
    <row r="58" spans="2:11" s="119" customFormat="1" ht="12.75">
      <c r="B58" s="268">
        <v>2004</v>
      </c>
      <c r="C58" s="268">
        <v>2005</v>
      </c>
      <c r="D58" s="268">
        <v>2006</v>
      </c>
      <c r="E58" s="268">
        <v>2007</v>
      </c>
      <c r="F58" s="268">
        <v>2008</v>
      </c>
      <c r="G58" s="268">
        <v>2009</v>
      </c>
      <c r="H58" s="268">
        <v>2010</v>
      </c>
      <c r="I58" s="268">
        <v>2011</v>
      </c>
      <c r="J58" s="269"/>
      <c r="K58" s="268"/>
    </row>
    <row r="59" spans="1:11" s="119" customFormat="1" ht="12.75">
      <c r="A59" s="119" t="s">
        <v>212</v>
      </c>
      <c r="B59" s="270">
        <f>B4/1000000</f>
        <v>818.498048</v>
      </c>
      <c r="C59" s="270">
        <f aca="true" t="shared" si="7" ref="C59:I59">C4/1000000</f>
        <v>860.938404</v>
      </c>
      <c r="D59" s="270">
        <f t="shared" si="7"/>
        <v>835.9963282</v>
      </c>
      <c r="E59" s="270">
        <f t="shared" si="7"/>
        <v>857.670889</v>
      </c>
      <c r="F59" s="270">
        <f t="shared" si="7"/>
        <v>852.04144581</v>
      </c>
      <c r="G59" s="270">
        <f t="shared" si="7"/>
        <v>834.0493831</v>
      </c>
      <c r="H59" s="270">
        <f t="shared" si="7"/>
        <v>838.046263</v>
      </c>
      <c r="I59" s="270">
        <f t="shared" si="7"/>
        <v>848.819242</v>
      </c>
      <c r="J59" s="270"/>
      <c r="K59" s="270"/>
    </row>
    <row r="60" spans="1:11" s="119" customFormat="1" ht="12.75">
      <c r="A60" s="119" t="s">
        <v>157</v>
      </c>
      <c r="B60" s="270">
        <f>B5/1000000</f>
        <v>825.3134943734067</v>
      </c>
      <c r="C60" s="270">
        <f aca="true" t="shared" si="8" ref="C60:I60">C5/1000000</f>
        <v>850.0012897891199</v>
      </c>
      <c r="D60" s="270">
        <f t="shared" si="8"/>
        <v>837.4521530790619</v>
      </c>
      <c r="E60" s="270">
        <f t="shared" si="8"/>
        <v>845.5406319974012</v>
      </c>
      <c r="F60" s="270">
        <f t="shared" si="8"/>
        <v>853.9374987130793</v>
      </c>
      <c r="G60" s="270">
        <f t="shared" si="8"/>
        <v>838.345000849142</v>
      </c>
      <c r="H60" s="270">
        <f t="shared" si="8"/>
        <v>842.9183144571482</v>
      </c>
      <c r="I60" s="270">
        <f t="shared" si="8"/>
        <v>852.5516198516409</v>
      </c>
      <c r="J60" s="270"/>
      <c r="K60" s="270"/>
    </row>
  </sheetData>
  <sheetProtection/>
  <printOptions/>
  <pageMargins left="0.38" right="0.75" top="0.73" bottom="0.74" header="0.5" footer="0.5"/>
  <pageSetup fitToHeight="1" fitToWidth="1" horizontalDpi="600" verticalDpi="600" orientation="landscape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7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28" customWidth="1"/>
    <col min="2" max="2" width="18.00390625" style="23" customWidth="1"/>
    <col min="3" max="3" width="11.7109375" style="19" customWidth="1"/>
    <col min="4" max="4" width="13.421875" style="19" customWidth="1"/>
    <col min="5" max="5" width="14.421875" style="255" customWidth="1"/>
    <col min="6" max="6" width="10.140625" style="19" customWidth="1"/>
    <col min="7" max="10" width="12.421875" style="19" customWidth="1"/>
    <col min="11" max="11" width="15.421875" style="19" bestFit="1" customWidth="1"/>
    <col min="12" max="12" width="17.00390625" style="19" customWidth="1"/>
    <col min="13" max="13" width="12.421875" style="19" customWidth="1"/>
    <col min="14" max="14" width="25.8515625" style="28" bestFit="1" customWidth="1"/>
    <col min="15" max="17" width="18.00390625" style="28" customWidth="1"/>
    <col min="18" max="18" width="17.140625" style="28" customWidth="1"/>
    <col min="19" max="20" width="15.7109375" style="28" customWidth="1"/>
    <col min="21" max="21" width="19.28125" style="28" bestFit="1" customWidth="1"/>
    <col min="22" max="22" width="19.140625" style="28" bestFit="1" customWidth="1"/>
    <col min="23" max="23" width="26.140625" style="28" bestFit="1" customWidth="1"/>
    <col min="24" max="24" width="23.00390625" style="28" bestFit="1" customWidth="1"/>
    <col min="25" max="25" width="14.7109375" style="28" bestFit="1" customWidth="1"/>
    <col min="26" max="26" width="20.140625" style="28" bestFit="1" customWidth="1"/>
    <col min="27" max="27" width="12.140625" style="28" bestFit="1" customWidth="1"/>
    <col min="28" max="28" width="21.00390625" style="28" bestFit="1" customWidth="1"/>
    <col min="29" max="29" width="13.140625" style="28" bestFit="1" customWidth="1"/>
    <col min="30" max="16384" width="9.140625" style="28" customWidth="1"/>
  </cols>
  <sheetData>
    <row r="1" spans="8:10" ht="12.75">
      <c r="H1" s="28"/>
      <c r="I1" s="321" t="s">
        <v>124</v>
      </c>
      <c r="J1" s="321"/>
    </row>
    <row r="2" spans="2:14" ht="42" customHeight="1">
      <c r="B2" s="256" t="s">
        <v>0</v>
      </c>
      <c r="C2" s="115" t="s">
        <v>3</v>
      </c>
      <c r="D2" s="115" t="s">
        <v>4</v>
      </c>
      <c r="E2" s="257" t="s">
        <v>6</v>
      </c>
      <c r="F2" s="115" t="s">
        <v>5</v>
      </c>
      <c r="G2" s="115" t="s">
        <v>19</v>
      </c>
      <c r="H2" s="115" t="s">
        <v>80</v>
      </c>
      <c r="I2" s="115" t="s">
        <v>76</v>
      </c>
      <c r="J2" s="115" t="s">
        <v>65</v>
      </c>
      <c r="K2" s="115" t="s">
        <v>11</v>
      </c>
      <c r="L2" s="115" t="s">
        <v>12</v>
      </c>
      <c r="M2" s="115" t="s">
        <v>13</v>
      </c>
      <c r="N2" s="28" t="s">
        <v>20</v>
      </c>
    </row>
    <row r="3" spans="1:13" ht="13.5" thickBot="1">
      <c r="A3" s="258">
        <v>37987</v>
      </c>
      <c r="B3" s="259">
        <f>'[6]Data Input'!B32</f>
        <v>88017601</v>
      </c>
      <c r="C3" s="260">
        <f>'Weather Analysis'!N8</f>
        <v>970.9</v>
      </c>
      <c r="D3" s="260">
        <f>'Weather Analysis'!N28</f>
        <v>0</v>
      </c>
      <c r="E3" s="255">
        <v>127.53411264087498</v>
      </c>
      <c r="F3" s="13">
        <v>31</v>
      </c>
      <c r="G3" s="13">
        <v>0</v>
      </c>
      <c r="H3" s="13">
        <v>336.288</v>
      </c>
      <c r="I3" s="13">
        <v>0</v>
      </c>
      <c r="J3" s="13">
        <f>'[6]Data Input'!AK32</f>
        <v>32883</v>
      </c>
      <c r="K3" s="13">
        <f>$O$18+C3*$O$19+D3*$O$20+E3*$O$21+F3*$O$22+G3*$O$23+H3*$O$24</f>
        <v>84580191.0492835</v>
      </c>
      <c r="L3" s="13"/>
      <c r="M3" s="261"/>
    </row>
    <row r="4" spans="1:15" ht="12.75">
      <c r="A4" s="258">
        <v>38018</v>
      </c>
      <c r="B4" s="259">
        <f>'[6]Data Input'!B33</f>
        <v>74856709</v>
      </c>
      <c r="C4" s="260">
        <f>'Weather Analysis'!N9</f>
        <v>717.0000000000001</v>
      </c>
      <c r="D4" s="260">
        <f>'Weather Analysis'!N29</f>
        <v>0</v>
      </c>
      <c r="E4" s="255">
        <v>127.79681203173486</v>
      </c>
      <c r="F4" s="13">
        <v>29</v>
      </c>
      <c r="G4" s="13">
        <v>0</v>
      </c>
      <c r="H4" s="13">
        <v>320.16</v>
      </c>
      <c r="I4" s="13">
        <v>0</v>
      </c>
      <c r="J4" s="13">
        <f>'[6]Data Input'!AK33</f>
        <v>32920</v>
      </c>
      <c r="K4" s="13">
        <f aca="true" t="shared" si="0" ref="K4:K68">$O$18+C4*$O$19+D4*$O$20+E4*$O$21+F4*$O$22+G4*$O$23+H4*$O$24</f>
        <v>74995605.9349035</v>
      </c>
      <c r="L4" s="13"/>
      <c r="M4" s="261"/>
      <c r="N4" s="49" t="s">
        <v>21</v>
      </c>
      <c r="O4" s="49"/>
    </row>
    <row r="5" spans="1:15" ht="12.75">
      <c r="A5" s="258">
        <v>38047</v>
      </c>
      <c r="B5" s="259">
        <f>'[6]Data Input'!B34</f>
        <v>73324078</v>
      </c>
      <c r="C5" s="260">
        <f>'Weather Analysis'!N10</f>
        <v>536.5000000000001</v>
      </c>
      <c r="D5" s="260">
        <f>'Weather Analysis'!N30</f>
        <v>0</v>
      </c>
      <c r="E5" s="255">
        <v>128.06005254032812</v>
      </c>
      <c r="F5" s="13">
        <v>31</v>
      </c>
      <c r="G5" s="13">
        <v>1</v>
      </c>
      <c r="H5" s="13">
        <v>368.28</v>
      </c>
      <c r="I5" s="13">
        <v>0</v>
      </c>
      <c r="J5" s="13">
        <f>'[6]Data Input'!AK34</f>
        <v>32956</v>
      </c>
      <c r="K5" s="13">
        <f t="shared" si="0"/>
        <v>71646461.1503784</v>
      </c>
      <c r="L5" s="13"/>
      <c r="M5" s="261"/>
      <c r="N5" s="30" t="s">
        <v>22</v>
      </c>
      <c r="O5" s="56">
        <v>0.9612359137518618</v>
      </c>
    </row>
    <row r="6" spans="1:15" ht="12.75">
      <c r="A6" s="258">
        <v>38078</v>
      </c>
      <c r="B6" s="259">
        <f>'[6]Data Input'!B35</f>
        <v>63898220</v>
      </c>
      <c r="C6" s="260">
        <f>'Weather Analysis'!N11</f>
        <v>367.3999999999999</v>
      </c>
      <c r="D6" s="260">
        <f>'Weather Analysis'!N31</f>
        <v>0.5</v>
      </c>
      <c r="E6" s="255">
        <v>128.32383528126866</v>
      </c>
      <c r="F6" s="13">
        <v>30</v>
      </c>
      <c r="G6" s="13">
        <v>1</v>
      </c>
      <c r="H6" s="13">
        <v>336.24</v>
      </c>
      <c r="I6" s="13">
        <v>0</v>
      </c>
      <c r="J6" s="13">
        <f>'[6]Data Input'!AK35</f>
        <v>32993</v>
      </c>
      <c r="K6" s="13">
        <f t="shared" si="0"/>
        <v>64981561.279258914</v>
      </c>
      <c r="L6" s="13"/>
      <c r="M6" s="261"/>
      <c r="N6" s="30" t="s">
        <v>23</v>
      </c>
      <c r="O6" s="56">
        <v>0.9239744818863767</v>
      </c>
    </row>
    <row r="7" spans="1:15" ht="12.75">
      <c r="A7" s="258">
        <v>38108</v>
      </c>
      <c r="B7" s="259">
        <f>'[6]Data Input'!B36</f>
        <v>60883254</v>
      </c>
      <c r="C7" s="260">
        <f>'Weather Analysis'!N12</f>
        <v>187.60000000000014</v>
      </c>
      <c r="D7" s="260">
        <f>'Weather Analysis'!N32</f>
        <v>5.2</v>
      </c>
      <c r="E7" s="255">
        <v>128.58816137146633</v>
      </c>
      <c r="F7" s="13">
        <v>31</v>
      </c>
      <c r="G7" s="13">
        <v>1</v>
      </c>
      <c r="H7" s="13">
        <v>319.92</v>
      </c>
      <c r="I7" s="13">
        <v>0</v>
      </c>
      <c r="J7" s="13">
        <f>'[6]Data Input'!AK36</f>
        <v>33029</v>
      </c>
      <c r="K7" s="13">
        <f t="shared" si="0"/>
        <v>61880056.30608377</v>
      </c>
      <c r="L7" s="13"/>
      <c r="M7" s="261"/>
      <c r="N7" s="30" t="s">
        <v>24</v>
      </c>
      <c r="O7" s="56">
        <v>0.9188491660584919</v>
      </c>
    </row>
    <row r="8" spans="1:15" ht="12.75">
      <c r="A8" s="258">
        <v>38139</v>
      </c>
      <c r="B8" s="259">
        <f>'[6]Data Input'!B37</f>
        <v>61226768</v>
      </c>
      <c r="C8" s="260">
        <f>'Weather Analysis'!N13</f>
        <v>96.4</v>
      </c>
      <c r="D8" s="260">
        <f>'Weather Analysis'!N33</f>
        <v>13.3</v>
      </c>
      <c r="E8" s="255">
        <v>128.85303193013166</v>
      </c>
      <c r="F8" s="13">
        <v>30</v>
      </c>
      <c r="G8" s="13">
        <v>0</v>
      </c>
      <c r="H8" s="13">
        <v>352.08</v>
      </c>
      <c r="I8" s="13">
        <v>0</v>
      </c>
      <c r="J8" s="13">
        <f>'[6]Data Input'!AK37</f>
        <v>33066</v>
      </c>
      <c r="K8" s="13">
        <f t="shared" si="0"/>
        <v>63982382.76254922</v>
      </c>
      <c r="L8" s="13"/>
      <c r="M8" s="261"/>
      <c r="N8" s="30" t="s">
        <v>25</v>
      </c>
      <c r="O8" s="113">
        <v>1958074.2093874037</v>
      </c>
    </row>
    <row r="9" spans="1:15" ht="13.5" thickBot="1">
      <c r="A9" s="258">
        <v>38169</v>
      </c>
      <c r="B9" s="259">
        <f>'[6]Data Input'!B38</f>
        <v>65537326</v>
      </c>
      <c r="C9" s="260">
        <f>'Weather Analysis'!N14</f>
        <v>11.7</v>
      </c>
      <c r="D9" s="260">
        <f>'Weather Analysis'!N34</f>
        <v>47.7</v>
      </c>
      <c r="E9" s="255">
        <v>129.11844807878055</v>
      </c>
      <c r="F9" s="13">
        <v>31</v>
      </c>
      <c r="G9" s="13">
        <v>0</v>
      </c>
      <c r="H9" s="13">
        <v>336.288</v>
      </c>
      <c r="I9" s="13">
        <v>0</v>
      </c>
      <c r="J9" s="13">
        <f>'[6]Data Input'!AK38</f>
        <v>33102</v>
      </c>
      <c r="K9" s="13">
        <f t="shared" si="0"/>
        <v>66321373.54377641</v>
      </c>
      <c r="L9" s="13"/>
      <c r="M9" s="261"/>
      <c r="N9" s="47" t="s">
        <v>26</v>
      </c>
      <c r="O9" s="47">
        <v>96</v>
      </c>
    </row>
    <row r="10" spans="1:13" ht="12.75">
      <c r="A10" s="258">
        <v>38200</v>
      </c>
      <c r="B10" s="259">
        <f>'[6]Data Input'!B39</f>
        <v>60297252</v>
      </c>
      <c r="C10" s="260">
        <f>'Weather Analysis'!N15</f>
        <v>52.300000000000004</v>
      </c>
      <c r="D10" s="260">
        <f>'Weather Analysis'!N35</f>
        <v>31.1</v>
      </c>
      <c r="E10" s="255">
        <v>129.38441094123903</v>
      </c>
      <c r="F10" s="13">
        <v>31</v>
      </c>
      <c r="G10" s="13">
        <v>0</v>
      </c>
      <c r="H10" s="13">
        <v>336.288</v>
      </c>
      <c r="I10" s="13">
        <v>0</v>
      </c>
      <c r="J10" s="13">
        <f>'[6]Data Input'!AK39</f>
        <v>33139</v>
      </c>
      <c r="K10" s="13">
        <f t="shared" si="0"/>
        <v>65654244.71669388</v>
      </c>
      <c r="L10" s="13"/>
      <c r="M10" s="261"/>
    </row>
    <row r="11" spans="1:14" ht="13.5" thickBot="1">
      <c r="A11" s="258">
        <v>38231</v>
      </c>
      <c r="B11" s="259">
        <f>'[6]Data Input'!B40</f>
        <v>56071601</v>
      </c>
      <c r="C11" s="260">
        <f>'Weather Analysis'!N16</f>
        <v>75.3</v>
      </c>
      <c r="D11" s="260">
        <f>'Weather Analysis'!N36</f>
        <v>9.299999999999999</v>
      </c>
      <c r="E11" s="255">
        <v>129.65092164364802</v>
      </c>
      <c r="F11" s="13">
        <v>30</v>
      </c>
      <c r="G11" s="13">
        <v>1</v>
      </c>
      <c r="H11" s="13">
        <v>336.24</v>
      </c>
      <c r="I11" s="13">
        <v>0</v>
      </c>
      <c r="J11" s="13">
        <f>'[6]Data Input'!AK40</f>
        <v>33175</v>
      </c>
      <c r="K11" s="13">
        <f t="shared" si="0"/>
        <v>59014467.687319286</v>
      </c>
      <c r="L11" s="13"/>
      <c r="M11" s="261"/>
      <c r="N11" s="28" t="s">
        <v>27</v>
      </c>
    </row>
    <row r="12" spans="1:19" ht="12.75">
      <c r="A12" s="258">
        <v>38261</v>
      </c>
      <c r="B12" s="259">
        <f>'[6]Data Input'!B41</f>
        <v>64452899</v>
      </c>
      <c r="C12" s="260">
        <f>'Weather Analysis'!N17</f>
        <v>315.29999999999995</v>
      </c>
      <c r="D12" s="260">
        <f>'Weather Analysis'!N37</f>
        <v>0</v>
      </c>
      <c r="E12" s="255">
        <v>129.91798131446814</v>
      </c>
      <c r="F12" s="13">
        <v>31</v>
      </c>
      <c r="G12" s="13">
        <v>1</v>
      </c>
      <c r="H12" s="13">
        <v>319.92</v>
      </c>
      <c r="I12" s="13">
        <v>0</v>
      </c>
      <c r="J12" s="13">
        <f>'[6]Data Input'!AK41</f>
        <v>33212</v>
      </c>
      <c r="K12" s="13">
        <f t="shared" si="0"/>
        <v>64772711.230354354</v>
      </c>
      <c r="L12" s="13"/>
      <c r="M12" s="261"/>
      <c r="N12" s="48"/>
      <c r="O12" s="48" t="s">
        <v>31</v>
      </c>
      <c r="P12" s="48" t="s">
        <v>32</v>
      </c>
      <c r="Q12" s="48" t="s">
        <v>33</v>
      </c>
      <c r="R12" s="48" t="s">
        <v>34</v>
      </c>
      <c r="S12" s="48" t="s">
        <v>35</v>
      </c>
    </row>
    <row r="13" spans="1:19" ht="12.75">
      <c r="A13" s="258">
        <v>38292</v>
      </c>
      <c r="B13" s="259">
        <f>'[6]Data Input'!B42</f>
        <v>69356277</v>
      </c>
      <c r="C13" s="260">
        <f>'Weather Analysis'!N18</f>
        <v>458.09999999999997</v>
      </c>
      <c r="D13" s="260">
        <f>'Weather Analysis'!N38</f>
        <v>0</v>
      </c>
      <c r="E13" s="255">
        <v>130.18559108448443</v>
      </c>
      <c r="F13" s="13">
        <v>30</v>
      </c>
      <c r="G13" s="13">
        <v>1</v>
      </c>
      <c r="H13" s="13">
        <v>352.08</v>
      </c>
      <c r="I13" s="13">
        <v>0</v>
      </c>
      <c r="J13" s="13">
        <f>'[6]Data Input'!AK42</f>
        <v>33249</v>
      </c>
      <c r="K13" s="13">
        <f t="shared" si="0"/>
        <v>68178305.53368874</v>
      </c>
      <c r="L13" s="13"/>
      <c r="M13" s="261"/>
      <c r="N13" s="30" t="s">
        <v>28</v>
      </c>
      <c r="O13" s="30">
        <v>6</v>
      </c>
      <c r="P13" s="30">
        <v>4147141842889428.5</v>
      </c>
      <c r="Q13" s="30">
        <v>691190307148238.1</v>
      </c>
      <c r="R13" s="30">
        <v>180.27659424603922</v>
      </c>
      <c r="S13" s="30">
        <v>1.4454989043265962E-47</v>
      </c>
    </row>
    <row r="14" spans="1:19" ht="12.75">
      <c r="A14" s="258">
        <v>38322</v>
      </c>
      <c r="B14" s="259">
        <f>'[6]Data Input'!B43</f>
        <v>80576063</v>
      </c>
      <c r="C14" s="260">
        <f>'Weather Analysis'!N19</f>
        <v>729.8</v>
      </c>
      <c r="D14" s="260">
        <f>'Weather Analysis'!N39</f>
        <v>0</v>
      </c>
      <c r="E14" s="255">
        <v>130.45375208681136</v>
      </c>
      <c r="F14" s="13">
        <v>31</v>
      </c>
      <c r="G14" s="13">
        <v>0</v>
      </c>
      <c r="H14" s="13">
        <v>336.288</v>
      </c>
      <c r="I14" s="13">
        <v>0</v>
      </c>
      <c r="J14" s="13">
        <f>'[6]Data Input'!AK43</f>
        <v>33282</v>
      </c>
      <c r="K14" s="13">
        <f t="shared" si="0"/>
        <v>79306133.1791167</v>
      </c>
      <c r="L14" s="13"/>
      <c r="M14" s="261"/>
      <c r="N14" s="30" t="s">
        <v>29</v>
      </c>
      <c r="O14" s="30">
        <v>89</v>
      </c>
      <c r="P14" s="30">
        <v>341230860242661.44</v>
      </c>
      <c r="Q14" s="30">
        <v>3834054609468.106</v>
      </c>
      <c r="R14" s="30"/>
      <c r="S14" s="30"/>
    </row>
    <row r="15" spans="1:19" ht="13.5" thickBot="1">
      <c r="A15" s="258">
        <v>38353</v>
      </c>
      <c r="B15" s="259">
        <f>'[6]Data Input'!B44</f>
        <v>86332339</v>
      </c>
      <c r="C15" s="260">
        <f>'Weather Analysis'!O8</f>
        <v>851.4999999999999</v>
      </c>
      <c r="D15" s="260">
        <f>'Weather Analysis'!O28</f>
        <v>0</v>
      </c>
      <c r="E15" s="255">
        <v>130.7437021568508</v>
      </c>
      <c r="F15" s="13">
        <v>31</v>
      </c>
      <c r="G15" s="13">
        <v>0</v>
      </c>
      <c r="H15" s="13">
        <v>319.92</v>
      </c>
      <c r="I15" s="13">
        <v>0</v>
      </c>
      <c r="J15" s="13">
        <f>'[6]Data Input'!AK44</f>
        <v>33293</v>
      </c>
      <c r="K15" s="13">
        <f t="shared" si="0"/>
        <v>81733199.04790418</v>
      </c>
      <c r="L15" s="13"/>
      <c r="M15" s="261"/>
      <c r="N15" s="47" t="s">
        <v>10</v>
      </c>
      <c r="O15" s="47">
        <v>95</v>
      </c>
      <c r="P15" s="47">
        <v>4488372703132090</v>
      </c>
      <c r="Q15" s="47"/>
      <c r="R15" s="47"/>
      <c r="S15" s="47"/>
    </row>
    <row r="16" spans="1:13" ht="13.5" thickBot="1">
      <c r="A16" s="258">
        <v>38384</v>
      </c>
      <c r="B16" s="259">
        <f>'[6]Data Input'!B45</f>
        <v>73605133</v>
      </c>
      <c r="C16" s="260">
        <f>'Weather Analysis'!O9</f>
        <v>673</v>
      </c>
      <c r="D16" s="260">
        <f>'Weather Analysis'!O29</f>
        <v>0</v>
      </c>
      <c r="E16" s="255">
        <v>131.0342966778299</v>
      </c>
      <c r="F16" s="13">
        <v>28</v>
      </c>
      <c r="G16" s="13">
        <v>0</v>
      </c>
      <c r="H16" s="13">
        <v>319.872</v>
      </c>
      <c r="I16" s="13">
        <v>0</v>
      </c>
      <c r="J16" s="13">
        <f>'[6]Data Input'!AK45</f>
        <v>33303</v>
      </c>
      <c r="K16" s="13">
        <f t="shared" si="0"/>
        <v>73229185.36796813</v>
      </c>
      <c r="L16" s="13"/>
      <c r="M16" s="261"/>
    </row>
    <row r="17" spans="1:20" ht="15" customHeight="1">
      <c r="A17" s="258">
        <v>38412</v>
      </c>
      <c r="B17" s="259">
        <f>'[6]Data Input'!B46</f>
        <v>76572507</v>
      </c>
      <c r="C17" s="260">
        <f>'Weather Analysis'!O10</f>
        <v>648.7000000000002</v>
      </c>
      <c r="D17" s="260">
        <f>'Weather Analysis'!O30</f>
        <v>0</v>
      </c>
      <c r="E17" s="255">
        <v>131.32553708212293</v>
      </c>
      <c r="F17" s="13">
        <v>31</v>
      </c>
      <c r="G17" s="13">
        <v>1</v>
      </c>
      <c r="H17" s="13">
        <v>351.912</v>
      </c>
      <c r="I17" s="13">
        <v>0</v>
      </c>
      <c r="J17" s="13">
        <f>'[6]Data Input'!AK46</f>
        <v>33314</v>
      </c>
      <c r="K17" s="13">
        <f t="shared" si="0"/>
        <v>74501364.22393052</v>
      </c>
      <c r="L17" s="13"/>
      <c r="M17" s="261"/>
      <c r="N17" s="48"/>
      <c r="O17" s="48" t="s">
        <v>36</v>
      </c>
      <c r="P17" s="48" t="s">
        <v>25</v>
      </c>
      <c r="Q17" s="48" t="s">
        <v>37</v>
      </c>
      <c r="R17" s="48" t="s">
        <v>38</v>
      </c>
      <c r="S17" s="48" t="s">
        <v>39</v>
      </c>
      <c r="T17" s="48" t="s">
        <v>40</v>
      </c>
    </row>
    <row r="18" spans="1:20" ht="12.75">
      <c r="A18" s="258">
        <v>38443</v>
      </c>
      <c r="B18" s="259">
        <f>'[6]Data Input'!B47</f>
        <v>64546323</v>
      </c>
      <c r="C18" s="260">
        <f>'Weather Analysis'!O11</f>
        <v>344.3999999999999</v>
      </c>
      <c r="D18" s="260">
        <f>'Weather Analysis'!O31</f>
        <v>0</v>
      </c>
      <c r="E18" s="255">
        <v>131.61742480528775</v>
      </c>
      <c r="F18" s="13">
        <v>30</v>
      </c>
      <c r="G18" s="13">
        <v>1</v>
      </c>
      <c r="H18" s="13">
        <v>336.24</v>
      </c>
      <c r="I18" s="13">
        <v>0</v>
      </c>
      <c r="J18" s="13">
        <f>'[6]Data Input'!AK47</f>
        <v>33324</v>
      </c>
      <c r="K18" s="13">
        <f t="shared" si="0"/>
        <v>65096519.4206979</v>
      </c>
      <c r="L18" s="13"/>
      <c r="M18" s="261"/>
      <c r="N18" s="30" t="s">
        <v>30</v>
      </c>
      <c r="O18" s="113">
        <v>-23705163.68707461</v>
      </c>
      <c r="P18" s="113">
        <v>10981934.05857908</v>
      </c>
      <c r="Q18" s="111">
        <v>-2.1585600096147135</v>
      </c>
      <c r="R18" s="30">
        <v>0.03357574252299546</v>
      </c>
      <c r="S18" s="113">
        <v>-45526032.740853846</v>
      </c>
      <c r="T18" s="113">
        <v>-1884294.6332953721</v>
      </c>
    </row>
    <row r="19" spans="1:20" ht="12.75">
      <c r="A19" s="258">
        <v>38473</v>
      </c>
      <c r="B19" s="259">
        <f>'[6]Data Input'!B48</f>
        <v>61750575</v>
      </c>
      <c r="C19" s="260">
        <f>'Weather Analysis'!O12</f>
        <v>230.99999999999991</v>
      </c>
      <c r="D19" s="260">
        <f>'Weather Analysis'!O32</f>
        <v>0</v>
      </c>
      <c r="E19" s="255">
        <v>131.90996128607298</v>
      </c>
      <c r="F19" s="13">
        <v>31</v>
      </c>
      <c r="G19" s="13">
        <v>1</v>
      </c>
      <c r="H19" s="13">
        <v>336.288</v>
      </c>
      <c r="I19" s="13">
        <v>0</v>
      </c>
      <c r="J19" s="13">
        <f>'[6]Data Input'!AK48</f>
        <v>33334</v>
      </c>
      <c r="K19" s="13">
        <f t="shared" si="0"/>
        <v>63771495.11535978</v>
      </c>
      <c r="L19" s="13"/>
      <c r="M19" s="261"/>
      <c r="N19" s="30" t="s">
        <v>3</v>
      </c>
      <c r="O19" s="113">
        <v>24565.951041994616</v>
      </c>
      <c r="P19" s="113">
        <v>986.6576701048559</v>
      </c>
      <c r="Q19" s="111">
        <v>24.898150378118377</v>
      </c>
      <c r="R19" s="30">
        <v>7.092666753452394E-42</v>
      </c>
      <c r="S19" s="113">
        <v>22605.48326779177</v>
      </c>
      <c r="T19" s="113">
        <v>26526.418816197463</v>
      </c>
    </row>
    <row r="20" spans="1:20" ht="12.75">
      <c r="A20" s="258">
        <v>38504</v>
      </c>
      <c r="B20" s="259">
        <f>'[6]Data Input'!B49</f>
        <v>71956114</v>
      </c>
      <c r="C20" s="260">
        <f>'Weather Analysis'!O13</f>
        <v>20.5</v>
      </c>
      <c r="D20" s="260">
        <f>'Weather Analysis'!O33</f>
        <v>92.6</v>
      </c>
      <c r="E20" s="255">
        <v>132.203147966425</v>
      </c>
      <c r="F20" s="13">
        <v>30</v>
      </c>
      <c r="G20" s="13">
        <v>0</v>
      </c>
      <c r="H20" s="13">
        <v>352.08</v>
      </c>
      <c r="I20" s="13">
        <v>0</v>
      </c>
      <c r="J20" s="13">
        <f>'[6]Data Input'!AK49</f>
        <v>33345</v>
      </c>
      <c r="K20" s="13">
        <f t="shared" si="0"/>
        <v>71096140.75324105</v>
      </c>
      <c r="L20" s="13"/>
      <c r="M20" s="261"/>
      <c r="N20" s="30" t="s">
        <v>4</v>
      </c>
      <c r="O20" s="113">
        <v>103831.79848209827</v>
      </c>
      <c r="P20" s="113">
        <v>10619.945764875638</v>
      </c>
      <c r="Q20" s="111">
        <v>9.777055437091883</v>
      </c>
      <c r="R20" s="30">
        <v>9.248920629246108E-16</v>
      </c>
      <c r="S20" s="113">
        <v>82730.19245737839</v>
      </c>
      <c r="T20" s="113">
        <v>124933.40450681814</v>
      </c>
    </row>
    <row r="21" spans="1:20" ht="12.75">
      <c r="A21" s="258">
        <v>38534</v>
      </c>
      <c r="B21" s="259">
        <f>'[6]Data Input'!B50</f>
        <v>73387032</v>
      </c>
      <c r="C21" s="260">
        <f>'Weather Analysis'!O14</f>
        <v>3.9</v>
      </c>
      <c r="D21" s="260">
        <f>'Weather Analysis'!O34</f>
        <v>134.40000000000003</v>
      </c>
      <c r="E21" s="255">
        <v>132.49698629149512</v>
      </c>
      <c r="F21" s="13">
        <v>31</v>
      </c>
      <c r="G21" s="13">
        <v>0</v>
      </c>
      <c r="H21" s="13">
        <v>319.92</v>
      </c>
      <c r="I21" s="13">
        <v>0</v>
      </c>
      <c r="J21" s="13">
        <f>'[6]Data Input'!AK50</f>
        <v>33355</v>
      </c>
      <c r="K21" s="13">
        <f t="shared" si="0"/>
        <v>75255701.84532748</v>
      </c>
      <c r="L21" s="13"/>
      <c r="M21" s="261"/>
      <c r="N21" s="30" t="s">
        <v>6</v>
      </c>
      <c r="O21" s="113">
        <v>222216.79699563805</v>
      </c>
      <c r="P21" s="113">
        <v>57050.28499873877</v>
      </c>
      <c r="Q21" s="111">
        <v>3.895104064783387</v>
      </c>
      <c r="R21" s="30">
        <v>0.00018958075264666646</v>
      </c>
      <c r="S21" s="113">
        <v>108859.09590238117</v>
      </c>
      <c r="T21" s="113">
        <v>335574.49808889494</v>
      </c>
    </row>
    <row r="22" spans="1:20" ht="12.75">
      <c r="A22" s="258">
        <v>38565</v>
      </c>
      <c r="B22" s="259">
        <f>'[6]Data Input'!B51</f>
        <v>72098075</v>
      </c>
      <c r="C22" s="260">
        <f>'Weather Analysis'!O15</f>
        <v>4.4</v>
      </c>
      <c r="D22" s="260">
        <f>'Weather Analysis'!O35</f>
        <v>91.59999999999997</v>
      </c>
      <c r="E22" s="255">
        <v>132.79147770964664</v>
      </c>
      <c r="F22" s="13">
        <v>31</v>
      </c>
      <c r="G22" s="13">
        <v>0</v>
      </c>
      <c r="H22" s="13">
        <v>351.912</v>
      </c>
      <c r="I22" s="13">
        <v>0</v>
      </c>
      <c r="J22" s="13">
        <f>'[6]Data Input'!AK51</f>
        <v>33366</v>
      </c>
      <c r="K22" s="13">
        <f t="shared" si="0"/>
        <v>72115007.16739318</v>
      </c>
      <c r="L22" s="13"/>
      <c r="M22" s="261"/>
      <c r="N22" s="30" t="s">
        <v>5</v>
      </c>
      <c r="O22" s="113">
        <v>1393909.1897784353</v>
      </c>
      <c r="P22" s="113">
        <v>268989.3240655676</v>
      </c>
      <c r="Q22" s="111">
        <v>5.182024210888989</v>
      </c>
      <c r="R22" s="30">
        <v>1.3576541904210766E-06</v>
      </c>
      <c r="S22" s="113">
        <v>859433.1324655592</v>
      </c>
      <c r="T22" s="113">
        <v>1928385.2470913115</v>
      </c>
    </row>
    <row r="23" spans="1:20" ht="12.75">
      <c r="A23" s="258">
        <v>38596</v>
      </c>
      <c r="B23" s="259">
        <f>'[6]Data Input'!B52</f>
        <v>64972689</v>
      </c>
      <c r="C23" s="260">
        <f>'Weather Analysis'!O16</f>
        <v>55.3</v>
      </c>
      <c r="D23" s="260">
        <f>'Weather Analysis'!O36</f>
        <v>22.300000000000004</v>
      </c>
      <c r="E23" s="255">
        <v>133.0866236724621</v>
      </c>
      <c r="F23" s="13">
        <v>30</v>
      </c>
      <c r="G23" s="13">
        <v>1</v>
      </c>
      <c r="H23" s="13">
        <v>336.24</v>
      </c>
      <c r="I23" s="13">
        <v>0</v>
      </c>
      <c r="J23" s="13">
        <f>'[6]Data Input'!AK52</f>
        <v>33376</v>
      </c>
      <c r="K23" s="13">
        <f t="shared" si="0"/>
        <v>60636432.74702115</v>
      </c>
      <c r="L23" s="13"/>
      <c r="M23" s="261"/>
      <c r="N23" s="30" t="s">
        <v>19</v>
      </c>
      <c r="O23" s="113">
        <v>-3604735.828025504</v>
      </c>
      <c r="P23" s="113">
        <v>502660.6482395602</v>
      </c>
      <c r="Q23" s="111">
        <v>-7.171310984160319</v>
      </c>
      <c r="R23" s="30">
        <v>2.1011265064238842E-10</v>
      </c>
      <c r="S23" s="113">
        <v>-4603511.829157531</v>
      </c>
      <c r="T23" s="113">
        <v>-2605959.826893477</v>
      </c>
    </row>
    <row r="24" spans="1:20" ht="13.5" thickBot="1">
      <c r="A24" s="258">
        <v>38626</v>
      </c>
      <c r="B24" s="259">
        <f>'[6]Data Input'!B53</f>
        <v>65688638</v>
      </c>
      <c r="C24" s="260">
        <f>'Weather Analysis'!O17</f>
        <v>262.49999999999994</v>
      </c>
      <c r="D24" s="260">
        <f>'Weather Analysis'!O37</f>
        <v>1.8</v>
      </c>
      <c r="E24" s="255">
        <v>133.38242563475035</v>
      </c>
      <c r="F24" s="13">
        <v>31</v>
      </c>
      <c r="G24" s="13">
        <v>1</v>
      </c>
      <c r="H24" s="13">
        <v>319.92</v>
      </c>
      <c r="I24" s="13">
        <v>0</v>
      </c>
      <c r="J24" s="13">
        <f>'[6]Data Input'!AK53</f>
        <v>33386</v>
      </c>
      <c r="K24" s="13">
        <f t="shared" si="0"/>
        <v>64432383.97282766</v>
      </c>
      <c r="L24" s="13"/>
      <c r="M24" s="261"/>
      <c r="N24" s="47" t="s">
        <v>80</v>
      </c>
      <c r="O24" s="114">
        <v>38309.02669086584</v>
      </c>
      <c r="P24" s="114">
        <v>12466.063839151702</v>
      </c>
      <c r="Q24" s="112">
        <v>3.0730651780035094</v>
      </c>
      <c r="R24" s="47">
        <v>0.0028118868142769024</v>
      </c>
      <c r="S24" s="114">
        <v>13539.223375785863</v>
      </c>
      <c r="T24" s="114">
        <v>63078.83000594581</v>
      </c>
    </row>
    <row r="25" spans="1:13" ht="12.75">
      <c r="A25" s="258">
        <v>38657</v>
      </c>
      <c r="B25" s="259">
        <f>'[6]Data Input'!B54</f>
        <v>70111288</v>
      </c>
      <c r="C25" s="260">
        <f>'Weather Analysis'!O18</f>
        <v>446.8</v>
      </c>
      <c r="D25" s="260">
        <f>'Weather Analysis'!O38</f>
        <v>0</v>
      </c>
      <c r="E25" s="255">
        <v>133.6788850545537</v>
      </c>
      <c r="F25" s="13">
        <v>30</v>
      </c>
      <c r="G25" s="13">
        <v>1</v>
      </c>
      <c r="H25" s="13">
        <v>352.08</v>
      </c>
      <c r="I25" s="13">
        <v>0</v>
      </c>
      <c r="J25" s="13">
        <f>'[6]Data Input'!AK54</f>
        <v>33397</v>
      </c>
      <c r="K25" s="13">
        <f t="shared" si="0"/>
        <v>68676978.88390717</v>
      </c>
      <c r="L25" s="13"/>
      <c r="M25" s="261"/>
    </row>
    <row r="26" spans="1:13" ht="12.75">
      <c r="A26" s="258">
        <v>38687</v>
      </c>
      <c r="B26" s="259">
        <f>'[6]Data Input'!B55</f>
        <v>79917691</v>
      </c>
      <c r="C26" s="260">
        <f>'Weather Analysis'!O19</f>
        <v>729.6</v>
      </c>
      <c r="D26" s="260">
        <f>'Weather Analysis'!O39</f>
        <v>0</v>
      </c>
      <c r="E26" s="255">
        <v>133.97600339315525</v>
      </c>
      <c r="F26" s="13">
        <v>31</v>
      </c>
      <c r="G26" s="13">
        <v>0</v>
      </c>
      <c r="H26" s="13">
        <v>319.92</v>
      </c>
      <c r="I26" s="13">
        <v>0</v>
      </c>
      <c r="J26" s="13">
        <f>'[6]Data Input'!AK55</f>
        <v>33414</v>
      </c>
      <c r="K26" s="13">
        <f t="shared" si="0"/>
        <v>79456881.24354166</v>
      </c>
      <c r="L26" s="13"/>
      <c r="M26" s="261"/>
    </row>
    <row r="27" spans="1:13" ht="12.75">
      <c r="A27" s="258">
        <v>38718</v>
      </c>
      <c r="B27" s="259">
        <f>'[6]Data Input'!B56</f>
        <v>79703735</v>
      </c>
      <c r="C27" s="260">
        <f>'Weather Analysis'!P8</f>
        <v>665.1999999999999</v>
      </c>
      <c r="D27" s="260">
        <f>'Weather Analysis'!P28</f>
        <v>0</v>
      </c>
      <c r="E27" s="255">
        <v>134.25197202423305</v>
      </c>
      <c r="F27" s="13">
        <v>31</v>
      </c>
      <c r="G27" s="13">
        <v>0</v>
      </c>
      <c r="H27" s="13">
        <v>336.288</v>
      </c>
      <c r="I27" s="13">
        <f>'CDM Activity '!F16</f>
        <v>34919.020372968385</v>
      </c>
      <c r="J27" s="13">
        <f>'[6]Data Input'!AK56</f>
        <v>33438</v>
      </c>
      <c r="K27" s="13">
        <f t="shared" si="0"/>
        <v>78563201.01058267</v>
      </c>
      <c r="L27" s="13"/>
      <c r="M27" s="261"/>
    </row>
    <row r="28" spans="1:13" ht="12.75">
      <c r="A28" s="258">
        <v>38749</v>
      </c>
      <c r="B28" s="259">
        <f>'[6]Data Input'!B57</f>
        <v>74315353</v>
      </c>
      <c r="C28" s="260">
        <f>'Weather Analysis'!P9</f>
        <v>701.0000000000001</v>
      </c>
      <c r="D28" s="260">
        <f>'Weather Analysis'!P29</f>
        <v>0</v>
      </c>
      <c r="E28" s="255">
        <v>134.5285091055065</v>
      </c>
      <c r="F28" s="13">
        <v>28</v>
      </c>
      <c r="G28" s="13">
        <v>0</v>
      </c>
      <c r="H28" s="13">
        <v>319.872</v>
      </c>
      <c r="I28" s="13">
        <f>'CDM Activity '!F17</f>
        <v>69838.04074593677</v>
      </c>
      <c r="J28" s="13">
        <f>'[6]Data Input'!AK57</f>
        <v>33461</v>
      </c>
      <c r="K28" s="13">
        <f t="shared" si="0"/>
        <v>74693504.69084463</v>
      </c>
      <c r="L28" s="13"/>
      <c r="M28" s="261"/>
    </row>
    <row r="29" spans="1:13" ht="12.75">
      <c r="A29" s="258">
        <v>38777</v>
      </c>
      <c r="B29" s="259">
        <f>'[6]Data Input'!B58</f>
        <v>75996451</v>
      </c>
      <c r="C29" s="260">
        <f>'Weather Analysis'!P10</f>
        <v>592.3000000000002</v>
      </c>
      <c r="D29" s="260">
        <f>'Weather Analysis'!P30</f>
        <v>0</v>
      </c>
      <c r="E29" s="255">
        <v>134.80561580788986</v>
      </c>
      <c r="F29" s="13">
        <v>31</v>
      </c>
      <c r="G29" s="13">
        <v>1</v>
      </c>
      <c r="H29" s="13">
        <v>368.28</v>
      </c>
      <c r="I29" s="13">
        <f>'CDM Activity '!F18</f>
        <v>104757.06111890516</v>
      </c>
      <c r="J29" s="13">
        <f>'[6]Data Input'!AK58</f>
        <v>33484</v>
      </c>
      <c r="K29" s="13">
        <f t="shared" si="0"/>
        <v>74516218.68177071</v>
      </c>
      <c r="L29" s="13"/>
      <c r="M29" s="261"/>
    </row>
    <row r="30" spans="1:13" ht="12.75">
      <c r="A30" s="258">
        <v>38808</v>
      </c>
      <c r="B30" s="259">
        <f>'[6]Data Input'!B59</f>
        <v>63231564</v>
      </c>
      <c r="C30" s="260">
        <f>'Weather Analysis'!P11</f>
        <v>329.79999999999995</v>
      </c>
      <c r="D30" s="260">
        <f>'Weather Analysis'!P31</f>
        <v>0</v>
      </c>
      <c r="E30" s="255">
        <v>135.08329330470943</v>
      </c>
      <c r="F30" s="13">
        <v>30</v>
      </c>
      <c r="G30" s="13">
        <v>1</v>
      </c>
      <c r="H30" s="13">
        <v>303.84</v>
      </c>
      <c r="I30" s="13">
        <f>'CDM Activity '!F19</f>
        <v>139676.08149187354</v>
      </c>
      <c r="J30" s="13">
        <f>'[6]Data Input'!AK59</f>
        <v>33508</v>
      </c>
      <c r="K30" s="13">
        <f t="shared" si="0"/>
        <v>64266818.26745029</v>
      </c>
      <c r="L30" s="13"/>
      <c r="M30" s="261"/>
    </row>
    <row r="31" spans="1:13" ht="12.75">
      <c r="A31" s="258">
        <v>38838</v>
      </c>
      <c r="B31" s="259">
        <f>'[6]Data Input'!B60</f>
        <v>63212361</v>
      </c>
      <c r="C31" s="260">
        <f>'Weather Analysis'!P12</f>
        <v>165.8</v>
      </c>
      <c r="D31" s="260">
        <f>'Weather Analysis'!P32</f>
        <v>14.599999999999998</v>
      </c>
      <c r="E31" s="255">
        <v>135.3615427717083</v>
      </c>
      <c r="F31" s="13">
        <v>31</v>
      </c>
      <c r="G31" s="13">
        <v>1</v>
      </c>
      <c r="H31" s="13">
        <v>351.912</v>
      </c>
      <c r="I31" s="13">
        <f>'CDM Activity '!F20</f>
        <v>174595.10186484194</v>
      </c>
      <c r="J31" s="13">
        <f>'[6]Data Input'!AK60</f>
        <v>33531</v>
      </c>
      <c r="K31" s="13">
        <f t="shared" si="0"/>
        <v>65051278.98058578</v>
      </c>
      <c r="L31" s="13"/>
      <c r="M31" s="261"/>
    </row>
    <row r="32" spans="1:13" ht="12.75">
      <c r="A32" s="258">
        <v>38869</v>
      </c>
      <c r="B32" s="259">
        <f>'[6]Data Input'!B61</f>
        <v>66176947</v>
      </c>
      <c r="C32" s="260">
        <f>'Weather Analysis'!P13</f>
        <v>34.89999999999999</v>
      </c>
      <c r="D32" s="260">
        <f>'Weather Analysis'!P33</f>
        <v>28.299999999999997</v>
      </c>
      <c r="E32" s="255">
        <v>135.64036538705133</v>
      </c>
      <c r="F32" s="13">
        <v>30</v>
      </c>
      <c r="G32" s="13">
        <v>0</v>
      </c>
      <c r="H32" s="13">
        <v>352.08</v>
      </c>
      <c r="I32" s="13">
        <f>'CDM Activity '!F21</f>
        <v>209514.12223781034</v>
      </c>
      <c r="J32" s="13">
        <f>'[6]Data Input'!AK61</f>
        <v>33555</v>
      </c>
      <c r="K32" s="13">
        <f t="shared" si="0"/>
        <v>65537313.25163604</v>
      </c>
      <c r="L32" s="13"/>
      <c r="M32" s="261"/>
    </row>
    <row r="33" spans="1:13" ht="12.75">
      <c r="A33" s="258">
        <v>38899</v>
      </c>
      <c r="B33" s="259">
        <f>'[6]Data Input'!B62</f>
        <v>71462724</v>
      </c>
      <c r="C33" s="260">
        <f>'Weather Analysis'!P14</f>
        <v>3.6000000000000005</v>
      </c>
      <c r="D33" s="260">
        <f>'Weather Analysis'!P34</f>
        <v>95.59999999999998</v>
      </c>
      <c r="E33" s="255">
        <v>135.9197623313303</v>
      </c>
      <c r="F33" s="13">
        <v>31</v>
      </c>
      <c r="G33" s="13">
        <v>0</v>
      </c>
      <c r="H33" s="13">
        <v>319.92</v>
      </c>
      <c r="I33" s="13">
        <f>'CDM Activity '!F22</f>
        <v>244433.14261077874</v>
      </c>
      <c r="J33" s="13">
        <f>'[6]Data Input'!AK62</f>
        <v>33578</v>
      </c>
      <c r="K33" s="13">
        <f t="shared" si="0"/>
        <v>71980256.60731505</v>
      </c>
      <c r="L33" s="13"/>
      <c r="M33" s="261"/>
    </row>
    <row r="34" spans="1:13" ht="12.75">
      <c r="A34" s="258">
        <v>38930</v>
      </c>
      <c r="B34" s="259">
        <f>'[6]Data Input'!B63</f>
        <v>70161206</v>
      </c>
      <c r="C34" s="260">
        <f>'Weather Analysis'!P15</f>
        <v>27.299999999999997</v>
      </c>
      <c r="D34" s="260">
        <f>'Weather Analysis'!P35</f>
        <v>61.4</v>
      </c>
      <c r="E34" s="255">
        <v>136.1997347875688</v>
      </c>
      <c r="F34" s="13">
        <v>31</v>
      </c>
      <c r="G34" s="13">
        <v>0</v>
      </c>
      <c r="H34" s="13">
        <v>351.912</v>
      </c>
      <c r="I34" s="13">
        <f>'CDM Activity '!F23</f>
        <v>279352.16298374714</v>
      </c>
      <c r="J34" s="13">
        <f>'[6]Data Input'!AK63</f>
        <v>33602</v>
      </c>
      <c r="K34" s="13">
        <f t="shared" si="0"/>
        <v>70299219.10328907</v>
      </c>
      <c r="L34" s="13"/>
      <c r="M34" s="261"/>
    </row>
    <row r="35" spans="1:13" ht="12.75">
      <c r="A35" s="258">
        <v>38961</v>
      </c>
      <c r="B35" s="259">
        <f>'[6]Data Input'!B64</f>
        <v>61162530.2</v>
      </c>
      <c r="C35" s="260">
        <f>'Weather Analysis'!P16</f>
        <v>138.2</v>
      </c>
      <c r="D35" s="260">
        <f>'Weather Analysis'!P36</f>
        <v>2.8</v>
      </c>
      <c r="E35" s="255">
        <v>136.48028394122719</v>
      </c>
      <c r="F35" s="13">
        <v>30</v>
      </c>
      <c r="G35" s="13">
        <v>1</v>
      </c>
      <c r="H35" s="13">
        <v>319.68</v>
      </c>
      <c r="I35" s="13">
        <f>'CDM Activity '!F24</f>
        <v>314271.18335671554</v>
      </c>
      <c r="J35" s="13">
        <f>'[6]Data Input'!AK64</f>
        <v>33625</v>
      </c>
      <c r="K35" s="13">
        <f t="shared" si="0"/>
        <v>60767960.851017185</v>
      </c>
      <c r="L35" s="13"/>
      <c r="M35" s="261"/>
    </row>
    <row r="36" spans="1:13" ht="12.75">
      <c r="A36" s="258">
        <v>38991</v>
      </c>
      <c r="B36" s="259">
        <f>'[6]Data Input'!B65</f>
        <v>66564497</v>
      </c>
      <c r="C36" s="260">
        <f>'Weather Analysis'!P17</f>
        <v>333.30000000000007</v>
      </c>
      <c r="D36" s="260">
        <f>'Weather Analysis'!P37</f>
        <v>0</v>
      </c>
      <c r="E36" s="255">
        <v>136.76141098020776</v>
      </c>
      <c r="F36" s="13">
        <v>31</v>
      </c>
      <c r="G36" s="13">
        <v>1</v>
      </c>
      <c r="H36" s="13">
        <v>336.288</v>
      </c>
      <c r="I36" s="13">
        <f>'CDM Activity '!F25</f>
        <v>349190.20372968394</v>
      </c>
      <c r="J36" s="13">
        <f>'[6]Data Input'!AK65</f>
        <v>33648</v>
      </c>
      <c r="K36" s="13">
        <f t="shared" si="0"/>
        <v>67362665.51877193</v>
      </c>
      <c r="L36" s="13"/>
      <c r="M36" s="261"/>
    </row>
    <row r="37" spans="1:13" ht="12.75">
      <c r="A37" s="258">
        <v>39022</v>
      </c>
      <c r="B37" s="259">
        <f>'[6]Data Input'!B66</f>
        <v>69340297</v>
      </c>
      <c r="C37" s="260">
        <f>'Weather Analysis'!P18</f>
        <v>416.6</v>
      </c>
      <c r="D37" s="260">
        <f>'Weather Analysis'!P38</f>
        <v>0</v>
      </c>
      <c r="E37" s="255">
        <v>137.04311709485967</v>
      </c>
      <c r="F37" s="13">
        <v>30</v>
      </c>
      <c r="G37" s="13">
        <v>1</v>
      </c>
      <c r="H37" s="13">
        <v>352.08</v>
      </c>
      <c r="I37" s="13">
        <f>'CDM Activity '!F26</f>
        <v>384109.22410265234</v>
      </c>
      <c r="J37" s="13">
        <f>'[6]Data Input'!AK66</f>
        <v>33672</v>
      </c>
      <c r="K37" s="13">
        <f t="shared" si="0"/>
        <v>68682676.03078583</v>
      </c>
      <c r="L37" s="13"/>
      <c r="M37" s="261"/>
    </row>
    <row r="38" spans="1:13" ht="12.75">
      <c r="A38" s="258">
        <v>39052</v>
      </c>
      <c r="B38" s="259">
        <f>'[6]Data Input'!B67</f>
        <v>74668663</v>
      </c>
      <c r="C38" s="260">
        <f>'Weather Analysis'!P19</f>
        <v>572</v>
      </c>
      <c r="D38" s="260">
        <f>'Weather Analysis'!P39</f>
        <v>0</v>
      </c>
      <c r="E38" s="255">
        <v>137.3254034779841</v>
      </c>
      <c r="F38" s="13">
        <v>31</v>
      </c>
      <c r="G38" s="13">
        <v>0</v>
      </c>
      <c r="H38" s="13">
        <v>304.296</v>
      </c>
      <c r="I38" s="13">
        <f>'CDM Activity '!F27</f>
        <v>419028.24447562074</v>
      </c>
      <c r="J38" s="13">
        <f>'[6]Data Input'!AK67</f>
        <v>33700</v>
      </c>
      <c r="K38" s="13">
        <f t="shared" si="0"/>
        <v>75731040.08501281</v>
      </c>
      <c r="L38" s="13"/>
      <c r="M38" s="261"/>
    </row>
    <row r="39" spans="1:13" ht="12.75">
      <c r="A39" s="258">
        <v>39083</v>
      </c>
      <c r="B39" s="259">
        <f>'[6]Data Input'!B68</f>
        <v>81968591</v>
      </c>
      <c r="C39" s="260">
        <f>'Weather Analysis'!Q8</f>
        <v>761.2000000000002</v>
      </c>
      <c r="D39" s="260">
        <f>'Weather Analysis'!Q28</f>
        <v>0</v>
      </c>
      <c r="E39" s="255">
        <v>137.552207546647</v>
      </c>
      <c r="F39" s="13">
        <v>31</v>
      </c>
      <c r="G39" s="13">
        <v>0</v>
      </c>
      <c r="H39" s="13">
        <v>351.912</v>
      </c>
      <c r="I39" s="13">
        <f>'CDM Activity '!F28</f>
        <v>417599.72043281415</v>
      </c>
      <c r="J39" s="13">
        <f>'[6]Data Input'!AK68</f>
        <v>33737</v>
      </c>
      <c r="K39" s="13">
        <f t="shared" si="0"/>
        <v>82253440.3107543</v>
      </c>
      <c r="L39" s="13"/>
      <c r="M39" s="261"/>
    </row>
    <row r="40" spans="1:13" ht="12.75">
      <c r="A40" s="258">
        <v>39114</v>
      </c>
      <c r="B40" s="259">
        <f>'[6]Data Input'!B69</f>
        <v>78582100</v>
      </c>
      <c r="C40" s="260">
        <f>'Weather Analysis'!Q9</f>
        <v>800.8</v>
      </c>
      <c r="D40" s="260">
        <f>'Weather Analysis'!Q29</f>
        <v>0</v>
      </c>
      <c r="E40" s="255">
        <v>137.77938620066888</v>
      </c>
      <c r="F40" s="13">
        <v>28</v>
      </c>
      <c r="G40" s="13">
        <v>0</v>
      </c>
      <c r="H40" s="13">
        <v>319.872</v>
      </c>
      <c r="I40" s="13">
        <f>'CDM Activity '!F29</f>
        <v>416171.19639000756</v>
      </c>
      <c r="J40" s="13">
        <f>'[6]Data Input'!AK69</f>
        <v>33774</v>
      </c>
      <c r="K40" s="13">
        <f t="shared" si="0"/>
        <v>77867586.10034916</v>
      </c>
      <c r="L40" s="13"/>
      <c r="M40" s="261"/>
    </row>
    <row r="41" spans="1:13" ht="12.75">
      <c r="A41" s="258">
        <v>39142</v>
      </c>
      <c r="B41" s="259">
        <f>'[6]Data Input'!B70</f>
        <v>77387451</v>
      </c>
      <c r="C41" s="260">
        <f>'Weather Analysis'!Q10</f>
        <v>626.4</v>
      </c>
      <c r="D41" s="260">
        <f>'Weather Analysis'!Q30</f>
        <v>0</v>
      </c>
      <c r="E41" s="255">
        <v>138.00694005870795</v>
      </c>
      <c r="F41" s="13">
        <v>31</v>
      </c>
      <c r="G41" s="13">
        <v>1</v>
      </c>
      <c r="H41" s="13">
        <v>351.912</v>
      </c>
      <c r="I41" s="13">
        <f>'CDM Activity '!F30</f>
        <v>414742.672347201</v>
      </c>
      <c r="J41" s="13">
        <f>'[6]Data Input'!AK70</f>
        <v>33811</v>
      </c>
      <c r="K41" s="13">
        <f t="shared" si="0"/>
        <v>75438263.48458788</v>
      </c>
      <c r="L41" s="13"/>
      <c r="M41" s="261"/>
    </row>
    <row r="42" spans="1:13" ht="12.75">
      <c r="A42" s="258">
        <v>39173</v>
      </c>
      <c r="B42" s="259">
        <f>'[6]Data Input'!B71</f>
        <v>66825873</v>
      </c>
      <c r="C42" s="260">
        <f>'Weather Analysis'!Q11</f>
        <v>389.5</v>
      </c>
      <c r="D42" s="260">
        <f>'Weather Analysis'!Q31</f>
        <v>0</v>
      </c>
      <c r="E42" s="255">
        <v>138.23486974044414</v>
      </c>
      <c r="F42" s="13">
        <v>30</v>
      </c>
      <c r="G42" s="13">
        <v>1</v>
      </c>
      <c r="H42" s="13">
        <v>319.68</v>
      </c>
      <c r="I42" s="13">
        <f>'CDM Activity '!F31</f>
        <v>413314.1483043944</v>
      </c>
      <c r="J42" s="13">
        <f>'[6]Data Input'!AK71</f>
        <v>33849</v>
      </c>
      <c r="K42" s="13">
        <f t="shared" si="0"/>
        <v>67040553.74847658</v>
      </c>
      <c r="L42" s="13"/>
      <c r="M42" s="261"/>
    </row>
    <row r="43" spans="1:13" ht="12.75">
      <c r="A43" s="258">
        <v>39203</v>
      </c>
      <c r="B43" s="259">
        <f>'[6]Data Input'!B72</f>
        <v>63985051</v>
      </c>
      <c r="C43" s="260">
        <f>'Weather Analysis'!Q12</f>
        <v>175.50000000000003</v>
      </c>
      <c r="D43" s="260">
        <f>'Weather Analysis'!Q32</f>
        <v>8.7</v>
      </c>
      <c r="E43" s="255">
        <v>138.46317586658083</v>
      </c>
      <c r="F43" s="13">
        <v>31</v>
      </c>
      <c r="G43" s="13">
        <v>1</v>
      </c>
      <c r="H43" s="13">
        <v>351.912</v>
      </c>
      <c r="I43" s="13">
        <f>'CDM Activity '!F32</f>
        <v>411885.6242615878</v>
      </c>
      <c r="J43" s="13">
        <f>'[6]Data Input'!AK72</f>
        <v>33886</v>
      </c>
      <c r="K43" s="13">
        <f t="shared" si="0"/>
        <v>65366196.066447</v>
      </c>
      <c r="L43" s="13"/>
      <c r="M43" s="261"/>
    </row>
    <row r="44" spans="1:13" ht="12.75">
      <c r="A44" s="258">
        <v>39234</v>
      </c>
      <c r="B44" s="259">
        <f>'[6]Data Input'!B73</f>
        <v>69238506</v>
      </c>
      <c r="C44" s="260">
        <f>'Weather Analysis'!Q13</f>
        <v>37.4</v>
      </c>
      <c r="D44" s="260">
        <f>'Weather Analysis'!Q33</f>
        <v>53.8</v>
      </c>
      <c r="E44" s="255">
        <v>138.69185905884657</v>
      </c>
      <c r="F44" s="13">
        <v>30</v>
      </c>
      <c r="G44" s="13">
        <v>0</v>
      </c>
      <c r="H44" s="13">
        <v>336.24</v>
      </c>
      <c r="I44" s="13">
        <f>'CDM Activity '!F33</f>
        <v>410457.1002187812</v>
      </c>
      <c r="J44" s="13">
        <f>'[6]Data Input'!AK73</f>
        <v>33923</v>
      </c>
      <c r="K44" s="13">
        <f t="shared" si="0"/>
        <v>68317717.15755002</v>
      </c>
      <c r="L44" s="13"/>
      <c r="M44" s="261"/>
    </row>
    <row r="45" spans="1:13" ht="12.75">
      <c r="A45" s="258">
        <v>39264</v>
      </c>
      <c r="B45" s="259">
        <f>'[6]Data Input'!B74</f>
        <v>68874470</v>
      </c>
      <c r="C45" s="260">
        <f>'Weather Analysis'!Q14</f>
        <v>24.6</v>
      </c>
      <c r="D45" s="260">
        <f>'Weather Analysis'!Q34</f>
        <v>51.60000000000001</v>
      </c>
      <c r="E45" s="255">
        <v>138.9209199399967</v>
      </c>
      <c r="F45" s="13">
        <v>31</v>
      </c>
      <c r="G45" s="13">
        <v>0</v>
      </c>
      <c r="H45" s="13">
        <v>336.288</v>
      </c>
      <c r="I45" s="13">
        <f>'CDM Activity '!F34</f>
        <v>409028.5761759746</v>
      </c>
      <c r="J45" s="13">
        <f>'[6]Data Input'!AK74</f>
        <v>33960</v>
      </c>
      <c r="K45" s="13">
        <f t="shared" si="0"/>
        <v>69221492.22593765</v>
      </c>
      <c r="L45" s="13"/>
      <c r="M45" s="261"/>
    </row>
    <row r="46" spans="1:13" ht="12.75">
      <c r="A46" s="258">
        <v>39295</v>
      </c>
      <c r="B46" s="259">
        <f>'[6]Data Input'!B75</f>
        <v>71255747</v>
      </c>
      <c r="C46" s="260">
        <f>'Weather Analysis'!Q15</f>
        <v>0</v>
      </c>
      <c r="D46" s="260">
        <f>'Weather Analysis'!Q35</f>
        <v>0</v>
      </c>
      <c r="E46" s="255">
        <v>139.15035913381516</v>
      </c>
      <c r="F46" s="13">
        <v>31</v>
      </c>
      <c r="G46" s="13">
        <v>0</v>
      </c>
      <c r="H46" s="13">
        <v>351.912</v>
      </c>
      <c r="I46" s="13">
        <f>'CDM Activity '!F35</f>
        <v>407600.05213316804</v>
      </c>
      <c r="J46" s="13">
        <f>'[6]Data Input'!AK75</f>
        <v>33998</v>
      </c>
      <c r="K46" s="13">
        <f t="shared" si="0"/>
        <v>63908974.504402004</v>
      </c>
      <c r="L46" s="13"/>
      <c r="M46" s="261"/>
    </row>
    <row r="47" spans="1:13" ht="12.75">
      <c r="A47" s="258">
        <v>39326</v>
      </c>
      <c r="B47" s="259">
        <f>'[6]Data Input'!B76</f>
        <v>63640572</v>
      </c>
      <c r="C47" s="260">
        <f>'Weather Analysis'!Q16</f>
        <v>0</v>
      </c>
      <c r="D47" s="260">
        <f>'Weather Analysis'!Q36</f>
        <v>0</v>
      </c>
      <c r="E47" s="255">
        <v>139.38017726511606</v>
      </c>
      <c r="F47" s="13">
        <v>30</v>
      </c>
      <c r="G47" s="13">
        <v>1</v>
      </c>
      <c r="H47" s="13">
        <v>303.84</v>
      </c>
      <c r="I47" s="13">
        <f>'CDM Activity '!F36</f>
        <v>406171.52809036145</v>
      </c>
      <c r="J47" s="13">
        <f>'[6]Data Input'!AK76</f>
        <v>34035</v>
      </c>
      <c r="K47" s="13">
        <f t="shared" si="0"/>
        <v>57119807.404543966</v>
      </c>
      <c r="L47" s="13"/>
      <c r="M47" s="261"/>
    </row>
    <row r="48" spans="1:13" ht="12.75">
      <c r="A48" s="258">
        <v>39356</v>
      </c>
      <c r="B48" s="259">
        <f>'[6]Data Input'!B77</f>
        <v>64642499</v>
      </c>
      <c r="C48" s="260">
        <f>'Weather Analysis'!Q17</f>
        <v>196.70000000000002</v>
      </c>
      <c r="D48" s="260">
        <f>'Weather Analysis'!Q37</f>
        <v>9.4</v>
      </c>
      <c r="E48" s="255">
        <v>139.61037495974546</v>
      </c>
      <c r="F48" s="13">
        <v>31</v>
      </c>
      <c r="G48" s="13">
        <v>1</v>
      </c>
      <c r="H48" s="13">
        <v>351.912</v>
      </c>
      <c r="I48" s="13">
        <f>'CDM Activity '!F37</f>
        <v>404743.00404755486</v>
      </c>
      <c r="J48" s="13">
        <f>'[6]Data Input'!AK77</f>
        <v>34072</v>
      </c>
      <c r="K48" s="13">
        <f t="shared" si="0"/>
        <v>66214603.3954741</v>
      </c>
      <c r="L48" s="13"/>
      <c r="M48" s="261"/>
    </row>
    <row r="49" spans="1:13" ht="12.75">
      <c r="A49" s="258">
        <v>39387</v>
      </c>
      <c r="B49" s="259">
        <f>'[6]Data Input'!B78</f>
        <v>71823632</v>
      </c>
      <c r="C49" s="260">
        <f>'Weather Analysis'!Q18</f>
        <v>528.1000000000001</v>
      </c>
      <c r="D49" s="260">
        <f>'Weather Analysis'!Q38</f>
        <v>0</v>
      </c>
      <c r="E49" s="255">
        <v>139.84095284458306</v>
      </c>
      <c r="F49" s="13">
        <v>30</v>
      </c>
      <c r="G49" s="13">
        <v>1</v>
      </c>
      <c r="H49" s="13">
        <v>352.08</v>
      </c>
      <c r="I49" s="13">
        <f>'CDM Activity '!F38</f>
        <v>403314.4800047483</v>
      </c>
      <c r="J49" s="13">
        <f>'[6]Data Input'!AK78</f>
        <v>34109</v>
      </c>
      <c r="K49" s="13">
        <f t="shared" si="0"/>
        <v>72043505.67079166</v>
      </c>
      <c r="L49" s="13"/>
      <c r="M49" s="261"/>
    </row>
    <row r="50" spans="1:13" ht="12.75">
      <c r="A50" s="258">
        <v>39417</v>
      </c>
      <c r="B50" s="259">
        <f>'[6]Data Input'!B79</f>
        <v>79446397</v>
      </c>
      <c r="C50" s="260">
        <f>'Weather Analysis'!Q19</f>
        <v>751.4000000000001</v>
      </c>
      <c r="D50" s="260">
        <f>'Weather Analysis'!Q39</f>
        <v>0</v>
      </c>
      <c r="E50" s="255">
        <v>140.0719115475438</v>
      </c>
      <c r="F50" s="13">
        <v>31</v>
      </c>
      <c r="G50" s="13">
        <v>0</v>
      </c>
      <c r="H50" s="13">
        <v>304.296</v>
      </c>
      <c r="I50" s="13">
        <f>'CDM Activity '!F39</f>
        <v>401885.9559619417</v>
      </c>
      <c r="J50" s="13">
        <f>'[6]Data Input'!AK79</f>
        <v>34151</v>
      </c>
      <c r="K50" s="13">
        <f t="shared" si="0"/>
        <v>80748491.92808688</v>
      </c>
      <c r="L50" s="13"/>
      <c r="M50" s="261"/>
    </row>
    <row r="51" spans="1:13" ht="12.75">
      <c r="A51" s="258"/>
      <c r="B51" s="259"/>
      <c r="C51" s="260"/>
      <c r="D51" s="260"/>
      <c r="F51" s="13"/>
      <c r="G51" s="13"/>
      <c r="H51" s="13"/>
      <c r="I51" s="13"/>
      <c r="J51" s="13"/>
      <c r="K51" s="13"/>
      <c r="L51" s="13"/>
      <c r="M51" s="261"/>
    </row>
    <row r="52" spans="1:12" ht="12.75">
      <c r="A52" s="258">
        <v>39448</v>
      </c>
      <c r="B52" s="259">
        <f>'[6]Data Input'!B80</f>
        <v>81373762</v>
      </c>
      <c r="C52" s="64">
        <f>'Weather Analysis'!R8</f>
        <v>711</v>
      </c>
      <c r="D52" s="64">
        <f>'Weather Analysis'!R28</f>
        <v>0</v>
      </c>
      <c r="E52" s="29">
        <v>139.96642175819056</v>
      </c>
      <c r="F52" s="13">
        <v>31</v>
      </c>
      <c r="G52" s="13">
        <v>0</v>
      </c>
      <c r="H52" s="19">
        <v>352</v>
      </c>
      <c r="I52" s="13">
        <f>'CDM Activity '!F40</f>
        <v>426151.1021396165</v>
      </c>
      <c r="J52" s="13">
        <f>'[6]Data Input'!AK80</f>
        <v>34167</v>
      </c>
      <c r="K52" s="13">
        <f t="shared" si="0"/>
        <v>81560079.71214552</v>
      </c>
      <c r="L52" s="13"/>
    </row>
    <row r="53" spans="1:12" ht="12.75">
      <c r="A53" s="258">
        <v>39479</v>
      </c>
      <c r="B53" s="259">
        <f>'[6]Data Input'!B81</f>
        <v>77356887</v>
      </c>
      <c r="C53" s="64">
        <f>'Weather Analysis'!R9</f>
        <v>763.1999999999999</v>
      </c>
      <c r="D53" s="64">
        <f>'Weather Analysis'!R29</f>
        <v>0</v>
      </c>
      <c r="E53" s="29">
        <v>139.86101141442734</v>
      </c>
      <c r="F53" s="13">
        <v>29</v>
      </c>
      <c r="G53" s="13">
        <v>0</v>
      </c>
      <c r="H53" s="19">
        <v>320</v>
      </c>
      <c r="I53" s="13">
        <f>'CDM Activity '!F41</f>
        <v>450416.2483172913</v>
      </c>
      <c r="J53" s="13">
        <f>'[6]Data Input'!AK81</f>
        <v>34183</v>
      </c>
      <c r="K53" s="13">
        <f t="shared" si="0"/>
        <v>78805291.17391178</v>
      </c>
      <c r="L53" s="13"/>
    </row>
    <row r="54" spans="1:12" ht="12.75">
      <c r="A54" s="258">
        <v>39508</v>
      </c>
      <c r="B54" s="259">
        <f>'[6]Data Input'!B82</f>
        <v>77132501</v>
      </c>
      <c r="C54" s="64">
        <f>'Weather Analysis'!R10</f>
        <v>720.2000000000002</v>
      </c>
      <c r="D54" s="64">
        <f>'Weather Analysis'!R30</f>
        <v>0</v>
      </c>
      <c r="E54" s="29">
        <v>139.75568045642274</v>
      </c>
      <c r="F54" s="13">
        <v>31</v>
      </c>
      <c r="G54" s="13">
        <v>1</v>
      </c>
      <c r="H54" s="19">
        <v>304</v>
      </c>
      <c r="I54" s="13">
        <f>'CDM Activity '!F42</f>
        <v>474681.39449496614</v>
      </c>
      <c r="J54" s="13">
        <f>'[6]Data Input'!AK82</f>
        <v>34198</v>
      </c>
      <c r="K54" s="13">
        <f t="shared" si="0"/>
        <v>76295687.09547128</v>
      </c>
      <c r="L54" s="13"/>
    </row>
    <row r="55" spans="1:12" ht="12.75">
      <c r="A55" s="258">
        <v>39539</v>
      </c>
      <c r="B55" s="259">
        <f>'[6]Data Input'!B83</f>
        <v>65644265.8</v>
      </c>
      <c r="C55" s="64">
        <f>'Weather Analysis'!R11</f>
        <v>311.80000000000007</v>
      </c>
      <c r="D55" s="64">
        <f>'Weather Analysis'!R31</f>
        <v>0</v>
      </c>
      <c r="E55" s="29">
        <v>139.65042882439042</v>
      </c>
      <c r="F55" s="13">
        <v>30</v>
      </c>
      <c r="G55" s="13">
        <v>1</v>
      </c>
      <c r="H55" s="19">
        <v>352</v>
      </c>
      <c r="I55" s="13">
        <f>'CDM Activity '!F43</f>
        <v>498946.54067264096</v>
      </c>
      <c r="J55" s="13">
        <f>'[6]Data Input'!AK83</f>
        <v>34214</v>
      </c>
      <c r="K55" s="13">
        <f t="shared" si="0"/>
        <v>66684488.100755006</v>
      </c>
      <c r="L55" s="13"/>
    </row>
    <row r="56" spans="1:12" ht="12.75">
      <c r="A56" s="258">
        <v>39569</v>
      </c>
      <c r="B56" s="259">
        <f>'[6]Data Input'!B84</f>
        <v>63027512.099999994</v>
      </c>
      <c r="C56" s="64">
        <f>'Weather Analysis'!R12</f>
        <v>230.99999999999997</v>
      </c>
      <c r="D56" s="64">
        <f>'Weather Analysis'!R32</f>
        <v>0</v>
      </c>
      <c r="E56" s="29">
        <v>139.54525645858905</v>
      </c>
      <c r="F56" s="13">
        <v>31</v>
      </c>
      <c r="G56" s="13">
        <v>1</v>
      </c>
      <c r="H56" s="19">
        <v>336</v>
      </c>
      <c r="I56" s="13">
        <f>'CDM Activity '!F44</f>
        <v>523211.6868503158</v>
      </c>
      <c r="J56" s="13">
        <f>'[6]Data Input'!AK84</f>
        <v>34230</v>
      </c>
      <c r="K56" s="13">
        <f t="shared" si="0"/>
        <v>65457152.953025594</v>
      </c>
      <c r="L56" s="13"/>
    </row>
    <row r="57" spans="1:12" ht="12.75">
      <c r="A57" s="258">
        <v>39600</v>
      </c>
      <c r="B57" s="259">
        <f>'[6]Data Input'!B85</f>
        <v>67031106</v>
      </c>
      <c r="C57" s="64">
        <f>'Weather Analysis'!R13</f>
        <v>35.800000000000004</v>
      </c>
      <c r="D57" s="64">
        <f>'Weather Analysis'!R33</f>
        <v>39.2</v>
      </c>
      <c r="E57" s="29">
        <v>139.44016329932234</v>
      </c>
      <c r="F57" s="13">
        <v>30</v>
      </c>
      <c r="G57" s="13">
        <v>0</v>
      </c>
      <c r="H57" s="19">
        <v>336</v>
      </c>
      <c r="I57" s="13">
        <f>'CDM Activity '!F45</f>
        <v>547476.8330279907</v>
      </c>
      <c r="J57" s="13">
        <f>'[6]Data Input'!AK85</f>
        <v>34245</v>
      </c>
      <c r="K57" s="13">
        <f t="shared" si="0"/>
        <v>66919558.983135164</v>
      </c>
      <c r="L57" s="13"/>
    </row>
    <row r="58" spans="1:12" ht="12.75">
      <c r="A58" s="258">
        <v>39630</v>
      </c>
      <c r="B58" s="259">
        <f>'[6]Data Input'!B86</f>
        <v>70797854</v>
      </c>
      <c r="C58" s="64">
        <f>'Weather Analysis'!R14</f>
        <v>7.100000000000001</v>
      </c>
      <c r="D58" s="64">
        <f>'Weather Analysis'!R34</f>
        <v>49.10000000000001</v>
      </c>
      <c r="E58" s="29">
        <v>139.3351492869389</v>
      </c>
      <c r="F58" s="13">
        <v>31</v>
      </c>
      <c r="G58" s="13">
        <v>0</v>
      </c>
      <c r="H58" s="19">
        <v>352</v>
      </c>
      <c r="I58" s="13">
        <f>'CDM Activity '!F46</f>
        <v>571741.9792056655</v>
      </c>
      <c r="J58" s="13">
        <f>'[6]Data Input'!AK86</f>
        <v>34261</v>
      </c>
      <c r="K58" s="13">
        <f t="shared" si="0"/>
        <v>69225968.73256347</v>
      </c>
      <c r="L58" s="13"/>
    </row>
    <row r="59" spans="1:12" ht="12.75">
      <c r="A59" s="258">
        <v>39661</v>
      </c>
      <c r="B59" s="259">
        <f>'[6]Data Input'!B87</f>
        <v>66845262.56</v>
      </c>
      <c r="C59" s="64">
        <f>'Weather Analysis'!R15</f>
        <v>27.3</v>
      </c>
      <c r="D59" s="64">
        <f>'Weather Analysis'!R35</f>
        <v>33.7</v>
      </c>
      <c r="E59" s="29">
        <v>139.23021436183228</v>
      </c>
      <c r="F59" s="13">
        <v>31</v>
      </c>
      <c r="G59" s="13">
        <v>0</v>
      </c>
      <c r="H59" s="19">
        <v>320</v>
      </c>
      <c r="I59" s="13">
        <f>'CDM Activity '!F47</f>
        <v>596007.1253833404</v>
      </c>
      <c r="J59" s="13">
        <f>'[6]Data Input'!AK87</f>
        <v>34277</v>
      </c>
      <c r="K59" s="13">
        <f t="shared" si="0"/>
        <v>66873984.08992957</v>
      </c>
      <c r="L59" s="13"/>
    </row>
    <row r="60" spans="1:12" ht="12.75">
      <c r="A60" s="258">
        <v>39692</v>
      </c>
      <c r="B60" s="259">
        <f>'[6]Data Input'!B88</f>
        <v>64588581.01</v>
      </c>
      <c r="C60" s="64">
        <f>'Weather Analysis'!R16</f>
        <v>122</v>
      </c>
      <c r="D60" s="64">
        <f>'Weather Analysis'!R36</f>
        <v>12.7</v>
      </c>
      <c r="E60" s="29">
        <v>139.12535846444095</v>
      </c>
      <c r="F60" s="13">
        <v>30</v>
      </c>
      <c r="G60" s="13">
        <v>1</v>
      </c>
      <c r="H60" s="19">
        <v>336</v>
      </c>
      <c r="I60" s="13">
        <f>'CDM Activity '!F48</f>
        <v>620272.2715610153</v>
      </c>
      <c r="J60" s="13">
        <f>'[6]Data Input'!AK88</f>
        <v>34292</v>
      </c>
      <c r="K60" s="13">
        <f t="shared" si="0"/>
        <v>62610910.5530679</v>
      </c>
      <c r="L60" s="13"/>
    </row>
    <row r="61" spans="1:12" ht="12.75">
      <c r="A61" s="258">
        <v>39722</v>
      </c>
      <c r="B61" s="259">
        <f>'[6]Data Input'!B89</f>
        <v>66495027.160000004</v>
      </c>
      <c r="C61" s="64">
        <f>'Weather Analysis'!R17</f>
        <v>342.20000000000005</v>
      </c>
      <c r="D61" s="64">
        <f>'Weather Analysis'!R37</f>
        <v>0</v>
      </c>
      <c r="E61" s="29">
        <v>139.02058153524823</v>
      </c>
      <c r="F61" s="13">
        <v>31</v>
      </c>
      <c r="G61" s="13">
        <v>1</v>
      </c>
      <c r="H61" s="19">
        <v>352</v>
      </c>
      <c r="I61" s="13">
        <f>'CDM Activity '!F49</f>
        <v>644537.4177386902</v>
      </c>
      <c r="J61" s="13">
        <f>'[6]Data Input'!AK89</f>
        <v>34308</v>
      </c>
      <c r="K61" s="13">
        <f t="shared" si="0"/>
        <v>68685239.55502051</v>
      </c>
      <c r="L61" s="13"/>
    </row>
    <row r="62" spans="1:12" ht="12.75">
      <c r="A62" s="258">
        <v>39753</v>
      </c>
      <c r="B62" s="259">
        <f>'[6]Data Input'!B90</f>
        <v>71142534.06</v>
      </c>
      <c r="C62" s="64">
        <f>'Weather Analysis'!R18</f>
        <v>507.70000000000005</v>
      </c>
      <c r="D62" s="64">
        <f>'Weather Analysis'!R38</f>
        <v>0</v>
      </c>
      <c r="E62" s="29">
        <v>138.91588351478222</v>
      </c>
      <c r="F62" s="13">
        <v>30</v>
      </c>
      <c r="G62" s="13">
        <v>1</v>
      </c>
      <c r="H62" s="19">
        <v>304</v>
      </c>
      <c r="I62" s="13">
        <f>'CDM Activity '!F50</f>
        <v>668802.563916365</v>
      </c>
      <c r="J62" s="13">
        <f>'[6]Data Input'!AK90</f>
        <v>34324</v>
      </c>
      <c r="K62" s="13">
        <f t="shared" si="0"/>
        <v>69494896.32277088</v>
      </c>
      <c r="L62" s="13"/>
    </row>
    <row r="63" spans="1:12" ht="12.75">
      <c r="A63" s="258">
        <v>39783</v>
      </c>
      <c r="B63" s="259">
        <f>'[6]Data Input'!B91</f>
        <v>80606153.12</v>
      </c>
      <c r="C63" s="64">
        <f>'Weather Analysis'!R19</f>
        <v>736.8</v>
      </c>
      <c r="D63" s="64">
        <f>'Weather Analysis'!R39</f>
        <v>0</v>
      </c>
      <c r="E63" s="29">
        <v>138.8112643436159</v>
      </c>
      <c r="F63" s="13">
        <v>31</v>
      </c>
      <c r="G63" s="13">
        <v>0</v>
      </c>
      <c r="H63" s="19">
        <v>336</v>
      </c>
      <c r="I63" s="13">
        <f>'CDM Activity '!F51</f>
        <v>693067.7100940399</v>
      </c>
      <c r="J63" s="13">
        <f>'[6]Data Input'!AK91</f>
        <v>34339</v>
      </c>
      <c r="K63" s="13">
        <f t="shared" si="0"/>
        <v>81324241.44128259</v>
      </c>
      <c r="L63" s="13"/>
    </row>
    <row r="64" spans="1:12" ht="12.75">
      <c r="A64" s="258">
        <v>39814</v>
      </c>
      <c r="B64" s="259">
        <f>'[6]Data Input'!B92</f>
        <v>86796095.48</v>
      </c>
      <c r="C64" s="64">
        <f>'Weather Analysis'!S8</f>
        <v>925.2000000000002</v>
      </c>
      <c r="D64" s="64">
        <f>'Weather Analysis'!S28</f>
        <v>0</v>
      </c>
      <c r="E64" s="29">
        <v>138.38779708736809</v>
      </c>
      <c r="F64" s="13">
        <v>31</v>
      </c>
      <c r="G64" s="13">
        <v>0</v>
      </c>
      <c r="H64" s="19">
        <v>336</v>
      </c>
      <c r="I64" s="13">
        <f>'CDM Activity '!F52</f>
        <v>750303.0019705673</v>
      </c>
      <c r="J64" s="13">
        <f>'[6]Data Input'!AK92</f>
        <v>34365</v>
      </c>
      <c r="K64" s="13">
        <f t="shared" si="0"/>
        <v>85858365.08027846</v>
      </c>
      <c r="L64" s="13"/>
    </row>
    <row r="65" spans="1:12" ht="12.75">
      <c r="A65" s="258">
        <v>39845</v>
      </c>
      <c r="B65" s="259">
        <f>'[6]Data Input'!B93</f>
        <v>72894145.9</v>
      </c>
      <c r="C65" s="64">
        <f>'Weather Analysis'!S9</f>
        <v>670.6000000000001</v>
      </c>
      <c r="D65" s="64">
        <f>'Weather Analysis'!S29</f>
        <v>0</v>
      </c>
      <c r="E65" s="29">
        <v>137.965621689659</v>
      </c>
      <c r="F65" s="13">
        <v>28</v>
      </c>
      <c r="G65" s="13">
        <v>0</v>
      </c>
      <c r="H65" s="19">
        <v>304</v>
      </c>
      <c r="I65" s="13">
        <f>'CDM Activity '!F53</f>
        <v>807538.2938470946</v>
      </c>
      <c r="J65" s="13">
        <f>'[6]Data Input'!AK93</f>
        <v>34391</v>
      </c>
      <c r="K65" s="13">
        <f t="shared" si="0"/>
        <v>74102443.05689433</v>
      </c>
      <c r="L65" s="13"/>
    </row>
    <row r="66" spans="1:12" ht="12.75">
      <c r="A66" s="258">
        <v>39873</v>
      </c>
      <c r="B66" s="259">
        <f>'[6]Data Input'!B94</f>
        <v>74293097.30000001</v>
      </c>
      <c r="C66" s="64">
        <f>'Weather Analysis'!S10</f>
        <v>585.8000000000001</v>
      </c>
      <c r="D66" s="64">
        <f>'Weather Analysis'!S30</f>
        <v>0</v>
      </c>
      <c r="E66" s="29">
        <v>137.54473420945553</v>
      </c>
      <c r="F66" s="13">
        <v>31</v>
      </c>
      <c r="G66" s="13">
        <v>1</v>
      </c>
      <c r="H66" s="19">
        <v>352</v>
      </c>
      <c r="I66" s="13">
        <f>'CDM Activity '!F54</f>
        <v>864773.585723622</v>
      </c>
      <c r="J66" s="13">
        <f>'[6]Data Input'!AK94</f>
        <v>34417</v>
      </c>
      <c r="K66" s="13">
        <f t="shared" si="0"/>
        <v>74341547.16325818</v>
      </c>
      <c r="L66" s="13"/>
    </row>
    <row r="67" spans="1:13" ht="12.75">
      <c r="A67" s="258">
        <v>39904</v>
      </c>
      <c r="B67" s="259">
        <f>'[6]Data Input'!B95</f>
        <v>64952144</v>
      </c>
      <c r="C67" s="64">
        <f>'Weather Analysis'!S11</f>
        <v>348.69999999999993</v>
      </c>
      <c r="D67" s="64">
        <f>'Weather Analysis'!S31</f>
        <v>0</v>
      </c>
      <c r="E67" s="29">
        <v>137.1251307177473</v>
      </c>
      <c r="F67" s="13">
        <v>30</v>
      </c>
      <c r="G67" s="13">
        <v>1</v>
      </c>
      <c r="H67" s="19">
        <v>320</v>
      </c>
      <c r="I67" s="13">
        <f>'CDM Activity '!F55</f>
        <v>922008.8776001494</v>
      </c>
      <c r="J67" s="13">
        <f>'[6]Data Input'!AK95</f>
        <v>34443</v>
      </c>
      <c r="K67" s="13">
        <f t="shared" si="0"/>
        <v>65803919.183379516</v>
      </c>
      <c r="L67" s="13"/>
      <c r="M67" s="262"/>
    </row>
    <row r="68" spans="1:12" ht="12.75">
      <c r="A68" s="258">
        <v>39934</v>
      </c>
      <c r="B68" s="259">
        <f>'[6]Data Input'!B96</f>
        <v>60781513</v>
      </c>
      <c r="C68" s="64">
        <f>'Weather Analysis'!S12</f>
        <v>201.00000000000003</v>
      </c>
      <c r="D68" s="64">
        <f>'Weather Analysis'!S32</f>
        <v>0</v>
      </c>
      <c r="E68" s="29">
        <v>136.70680729751015</v>
      </c>
      <c r="F68" s="13">
        <v>31</v>
      </c>
      <c r="G68" s="13">
        <v>1</v>
      </c>
      <c r="H68" s="19">
        <v>320</v>
      </c>
      <c r="I68" s="13">
        <f>'CDM Activity '!F56</f>
        <v>979244.1694766767</v>
      </c>
      <c r="J68" s="13">
        <f>'[6]Data Input'!AK96</f>
        <v>34469</v>
      </c>
      <c r="K68" s="13">
        <f t="shared" si="0"/>
        <v>63476478.913701996</v>
      </c>
      <c r="L68" s="13"/>
    </row>
    <row r="69" spans="1:12" ht="12.75">
      <c r="A69" s="258">
        <v>39965</v>
      </c>
      <c r="B69" s="259">
        <f>'[6]Data Input'!B97</f>
        <v>64160462</v>
      </c>
      <c r="C69" s="64">
        <f>'Weather Analysis'!S13</f>
        <v>79.59999999999998</v>
      </c>
      <c r="D69" s="64">
        <f>'Weather Analysis'!S33</f>
        <v>20.000000000000004</v>
      </c>
      <c r="E69" s="29">
        <v>136.28976004366936</v>
      </c>
      <c r="F69" s="13">
        <v>30</v>
      </c>
      <c r="G69" s="13">
        <v>0</v>
      </c>
      <c r="H69" s="19">
        <v>352</v>
      </c>
      <c r="I69" s="13">
        <f>'CDM Activity '!F57</f>
        <v>1036479.4613532041</v>
      </c>
      <c r="J69" s="13">
        <f>'[6]Data Input'!AK97</f>
        <v>34495</v>
      </c>
      <c r="K69" s="13">
        <f aca="true" t="shared" si="1" ref="K69:K123">$O$18+C69*$O$19+D69*$O$20+E69*$O$21+F69*$O$22+G69*$O$23+H69*$O$24</f>
        <v>65914849.014256254</v>
      </c>
      <c r="L69" s="13"/>
    </row>
    <row r="70" spans="1:12" ht="12.75">
      <c r="A70" s="258">
        <v>39995</v>
      </c>
      <c r="B70" s="259">
        <f>'[6]Data Input'!B98</f>
        <v>65102418</v>
      </c>
      <c r="C70" s="64">
        <f>'Weather Analysis'!S14</f>
        <v>30.200000000000003</v>
      </c>
      <c r="D70" s="64">
        <f>'Weather Analysis'!S34</f>
        <v>16.9</v>
      </c>
      <c r="E70" s="29">
        <v>135.87398506306334</v>
      </c>
      <c r="F70" s="13">
        <v>31</v>
      </c>
      <c r="G70" s="13">
        <v>0</v>
      </c>
      <c r="H70" s="19">
        <v>352</v>
      </c>
      <c r="I70" s="13">
        <f>'CDM Activity '!F58</f>
        <v>1093714.7532297315</v>
      </c>
      <c r="J70" s="13">
        <f>'[6]Data Input'!AK98</f>
        <v>34521</v>
      </c>
      <c r="K70" s="13">
        <f t="shared" si="1"/>
        <v>65680929.46280447</v>
      </c>
      <c r="L70" s="13"/>
    </row>
    <row r="71" spans="1:12" ht="12.75">
      <c r="A71" s="258">
        <v>40026</v>
      </c>
      <c r="B71" s="259">
        <f>'[6]Data Input'!B99</f>
        <v>69576190</v>
      </c>
      <c r="C71" s="64">
        <f>'Weather Analysis'!S15</f>
        <v>36.6</v>
      </c>
      <c r="D71" s="64">
        <f>'Weather Analysis'!S35</f>
        <v>52.900000000000006</v>
      </c>
      <c r="E71" s="29">
        <v>135.45947847440726</v>
      </c>
      <c r="F71" s="13">
        <v>31</v>
      </c>
      <c r="G71" s="13">
        <v>0</v>
      </c>
      <c r="H71" s="19">
        <v>320</v>
      </c>
      <c r="I71" s="13">
        <f>'CDM Activity '!F59</f>
        <v>1150950.0451062587</v>
      </c>
      <c r="J71" s="13">
        <f>'[6]Data Input'!AK99</f>
        <v>34547</v>
      </c>
      <c r="K71" s="13">
        <f t="shared" si="1"/>
        <v>68258097.11425631</v>
      </c>
      <c r="L71" s="13"/>
    </row>
    <row r="72" spans="1:12" ht="12.75">
      <c r="A72" s="258">
        <v>40057</v>
      </c>
      <c r="B72" s="259">
        <f>'[6]Data Input'!B100</f>
        <v>62658162.88</v>
      </c>
      <c r="C72" s="64">
        <f>'Weather Analysis'!S16</f>
        <v>109.2</v>
      </c>
      <c r="D72" s="64">
        <f>'Weather Analysis'!S36</f>
        <v>6.1</v>
      </c>
      <c r="E72" s="29">
        <v>135.0462364082568</v>
      </c>
      <c r="F72" s="13">
        <v>30</v>
      </c>
      <c r="G72" s="13">
        <v>1</v>
      </c>
      <c r="H72" s="19">
        <v>336</v>
      </c>
      <c r="I72" s="13">
        <f>'CDM Activity '!F60</f>
        <v>1208185.336982786</v>
      </c>
      <c r="J72" s="13">
        <f>'[6]Data Input'!AK100</f>
        <v>34573</v>
      </c>
      <c r="K72" s="13">
        <f t="shared" si="1"/>
        <v>60704727.07186902</v>
      </c>
      <c r="L72" s="13"/>
    </row>
    <row r="73" spans="1:12" ht="12.75">
      <c r="A73" s="258">
        <v>40087</v>
      </c>
      <c r="B73" s="259">
        <f>'[6]Data Input'!B101</f>
        <v>66216102</v>
      </c>
      <c r="C73" s="64">
        <f>'Weather Analysis'!S17</f>
        <v>343.79999999999995</v>
      </c>
      <c r="D73" s="64">
        <f>'Weather Analysis'!S37</f>
        <v>0</v>
      </c>
      <c r="E73" s="29">
        <v>134.63425500697198</v>
      </c>
      <c r="F73" s="13">
        <v>31</v>
      </c>
      <c r="G73" s="13">
        <v>1</v>
      </c>
      <c r="H73" s="19">
        <v>336</v>
      </c>
      <c r="I73" s="13">
        <f>'CDM Activity '!F61</f>
        <v>1265420.6288593132</v>
      </c>
      <c r="J73" s="13">
        <f>'[6]Data Input'!AK101</f>
        <v>34599</v>
      </c>
      <c r="K73" s="13">
        <f t="shared" si="1"/>
        <v>67136885.21794331</v>
      </c>
      <c r="L73" s="13"/>
    </row>
    <row r="74" spans="1:12" ht="12.75">
      <c r="A74" s="258">
        <v>40118</v>
      </c>
      <c r="B74" s="259">
        <f>'[6]Data Input'!B102</f>
        <v>67775538</v>
      </c>
      <c r="C74" s="64">
        <f>'Weather Analysis'!S18</f>
        <v>413</v>
      </c>
      <c r="D74" s="64">
        <f>'Weather Analysis'!S38</f>
        <v>0</v>
      </c>
      <c r="E74" s="29">
        <v>134.22353042468131</v>
      </c>
      <c r="F74" s="13">
        <v>30</v>
      </c>
      <c r="G74" s="13">
        <v>1</v>
      </c>
      <c r="H74" s="19">
        <v>320</v>
      </c>
      <c r="I74" s="13">
        <f>'CDM Activity '!F62</f>
        <v>1322655.9207358405</v>
      </c>
      <c r="J74" s="13">
        <f>'[6]Data Input'!AK102</f>
        <v>34625</v>
      </c>
      <c r="K74" s="13">
        <f t="shared" si="1"/>
        <v>66738725.512093045</v>
      </c>
      <c r="L74" s="13"/>
    </row>
    <row r="75" spans="1:12" ht="12.75">
      <c r="A75" s="258">
        <v>40148</v>
      </c>
      <c r="B75" s="259">
        <f>'[6]Data Input'!B103</f>
        <v>78843514.54</v>
      </c>
      <c r="C75" s="64">
        <f>'Weather Analysis'!S19</f>
        <v>716.5</v>
      </c>
      <c r="D75" s="64">
        <f>'Weather Analysis'!S39</f>
        <v>0</v>
      </c>
      <c r="E75" s="29">
        <v>133.81405882724573</v>
      </c>
      <c r="F75" s="13">
        <v>31</v>
      </c>
      <c r="G75" s="13">
        <v>0</v>
      </c>
      <c r="H75" s="19">
        <v>352</v>
      </c>
      <c r="I75" s="13">
        <f>'CDM Activity '!F63</f>
        <v>1379891.2126123677</v>
      </c>
      <c r="J75" s="13">
        <f>'[6]Data Input'!AK103</f>
        <v>34654</v>
      </c>
      <c r="K75" s="13">
        <f t="shared" si="1"/>
        <v>80328034.05840723</v>
      </c>
      <c r="L75" s="13"/>
    </row>
    <row r="76" spans="1:39" s="263" customFormat="1" ht="12.75">
      <c r="A76" s="258">
        <v>40179</v>
      </c>
      <c r="B76" s="259">
        <f>'[6]Data Input'!B104</f>
        <v>82338464</v>
      </c>
      <c r="C76" s="64">
        <f>'Weather Analysis'!T8</f>
        <v>793.7999999999997</v>
      </c>
      <c r="D76" s="64">
        <f>'Weather Analysis'!T28</f>
        <v>0</v>
      </c>
      <c r="E76" s="29">
        <v>134.14408039564063</v>
      </c>
      <c r="F76" s="13">
        <v>31</v>
      </c>
      <c r="G76" s="13">
        <v>0</v>
      </c>
      <c r="H76" s="13">
        <v>320</v>
      </c>
      <c r="I76" s="13">
        <f>'CDM Activity '!F64</f>
        <v>1361946.959362276</v>
      </c>
      <c r="J76" s="13">
        <f>'[6]Data Input'!AK104</f>
        <v>34693</v>
      </c>
      <c r="K76" s="13">
        <f t="shared" si="1"/>
        <v>81074429.55571389</v>
      </c>
      <c r="L76" s="13"/>
      <c r="M76" s="19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</row>
    <row r="77" spans="1:12" ht="12.75">
      <c r="A77" s="258">
        <v>40210</v>
      </c>
      <c r="B77" s="259">
        <f>'[6]Data Input'!B105</f>
        <v>72436556</v>
      </c>
      <c r="C77" s="64">
        <f>'Weather Analysis'!T9</f>
        <v>650</v>
      </c>
      <c r="D77" s="64">
        <f>'Weather Analysis'!T29</f>
        <v>0</v>
      </c>
      <c r="E77" s="29">
        <v>134.47491588625388</v>
      </c>
      <c r="F77" s="13">
        <v>28</v>
      </c>
      <c r="G77" s="13">
        <v>0</v>
      </c>
      <c r="H77" s="13">
        <v>304</v>
      </c>
      <c r="I77" s="13">
        <f>'CDM Activity '!F65</f>
        <v>1344002.706112184</v>
      </c>
      <c r="J77" s="13">
        <f>'[6]Data Input'!AK105</f>
        <v>34696</v>
      </c>
      <c r="K77" s="13">
        <f t="shared" si="1"/>
        <v>72820691.00254247</v>
      </c>
      <c r="L77" s="13"/>
    </row>
    <row r="78" spans="1:12" ht="12.75">
      <c r="A78" s="258">
        <v>40238</v>
      </c>
      <c r="B78" s="259">
        <f>'[6]Data Input'!B106</f>
        <v>70342533</v>
      </c>
      <c r="C78" s="64">
        <f>'Weather Analysis'!T10</f>
        <v>469.7</v>
      </c>
      <c r="D78" s="64">
        <f>'Weather Analysis'!T30</f>
        <v>0</v>
      </c>
      <c r="E78" s="29">
        <v>134.80656730643724</v>
      </c>
      <c r="F78" s="13">
        <v>31</v>
      </c>
      <c r="G78" s="13">
        <v>1</v>
      </c>
      <c r="H78" s="13">
        <v>368</v>
      </c>
      <c r="I78" s="13">
        <f>'CDM Activity '!F66</f>
        <v>1326058.4528620923</v>
      </c>
      <c r="J78" s="13">
        <f>'[6]Data Input'!AK106</f>
        <v>34697</v>
      </c>
      <c r="K78" s="13">
        <f t="shared" si="1"/>
        <v>71493917.99550827</v>
      </c>
      <c r="L78" s="13"/>
    </row>
    <row r="79" spans="1:12" ht="12.75">
      <c r="A79" s="258">
        <v>40269</v>
      </c>
      <c r="B79" s="259">
        <f>'[6]Data Input'!B107</f>
        <v>60688722</v>
      </c>
      <c r="C79" s="64">
        <f>'Weather Analysis'!T11</f>
        <v>244.3</v>
      </c>
      <c r="D79" s="64">
        <f>'Weather Analysis'!T31</f>
        <v>0</v>
      </c>
      <c r="E79" s="29">
        <v>135.13903666849313</v>
      </c>
      <c r="F79" s="13">
        <v>30</v>
      </c>
      <c r="G79" s="13">
        <v>1</v>
      </c>
      <c r="H79" s="13">
        <v>320</v>
      </c>
      <c r="I79" s="13">
        <f>'CDM Activity '!F67</f>
        <v>1308114.1996120005</v>
      </c>
      <c r="J79" s="13">
        <f>'[6]Data Input'!AK107</f>
        <v>34663</v>
      </c>
      <c r="K79" s="13">
        <f t="shared" si="1"/>
        <v>62797890.43643793</v>
      </c>
      <c r="L79" s="13"/>
    </row>
    <row r="80" spans="1:12" ht="12.75">
      <c r="A80" s="258">
        <v>40299</v>
      </c>
      <c r="B80" s="259">
        <f>'[6]Data Input'!B108</f>
        <v>65376291</v>
      </c>
      <c r="C80" s="64">
        <f>'Weather Analysis'!T12</f>
        <v>132.70000000000005</v>
      </c>
      <c r="D80" s="64">
        <f>'Weather Analysis'!T32</f>
        <v>22.8</v>
      </c>
      <c r="E80" s="29">
        <v>135.47232598968688</v>
      </c>
      <c r="F80" s="13">
        <v>31</v>
      </c>
      <c r="G80" s="13">
        <v>1</v>
      </c>
      <c r="H80" s="13">
        <v>320</v>
      </c>
      <c r="I80" s="13">
        <f>'CDM Activity '!F68</f>
        <v>1290169.9463619087</v>
      </c>
      <c r="J80" s="13">
        <f>'[6]Data Input'!AK108</f>
        <v>34683</v>
      </c>
      <c r="K80" s="13">
        <f t="shared" si="1"/>
        <v>63891666.98075013</v>
      </c>
      <c r="L80" s="13"/>
    </row>
    <row r="81" spans="1:12" ht="12.75">
      <c r="A81" s="258">
        <v>40330</v>
      </c>
      <c r="B81" s="259">
        <f>'[6]Data Input'!B109</f>
        <v>65409585</v>
      </c>
      <c r="C81" s="64">
        <f>'Weather Analysis'!T13</f>
        <v>31.700000000000006</v>
      </c>
      <c r="D81" s="64">
        <f>'Weather Analysis'!T33</f>
        <v>24.199999999999996</v>
      </c>
      <c r="E81" s="29">
        <v>135.80643729225892</v>
      </c>
      <c r="F81" s="13">
        <v>30</v>
      </c>
      <c r="G81" s="13">
        <v>0</v>
      </c>
      <c r="H81" s="13">
        <v>352</v>
      </c>
      <c r="I81" s="13">
        <f>'CDM Activity '!F69</f>
        <v>1272225.693111817</v>
      </c>
      <c r="J81" s="13">
        <f>'[6]Data Input'!AK109</f>
        <v>34639</v>
      </c>
      <c r="K81" s="13">
        <f t="shared" si="1"/>
        <v>65066831.07923597</v>
      </c>
      <c r="L81" s="13"/>
    </row>
    <row r="82" spans="1:12" ht="12.75">
      <c r="A82" s="258">
        <v>40360</v>
      </c>
      <c r="B82" s="259">
        <f>'[6]Data Input'!B110</f>
        <v>75030142</v>
      </c>
      <c r="C82" s="64">
        <f>'Weather Analysis'!T14</f>
        <v>5.700000000000001</v>
      </c>
      <c r="D82" s="64">
        <f>'Weather Analysis'!T34</f>
        <v>124.79999999999998</v>
      </c>
      <c r="E82" s="29">
        <v>136.14137260343708</v>
      </c>
      <c r="F82" s="13">
        <v>31</v>
      </c>
      <c r="G82" s="13">
        <v>0</v>
      </c>
      <c r="H82" s="13">
        <v>336</v>
      </c>
      <c r="I82" s="13">
        <f>'CDM Activity '!F70</f>
        <v>1254281.439861725</v>
      </c>
      <c r="J82" s="13">
        <f>'[6]Data Input'!AK110</f>
        <v>34672</v>
      </c>
      <c r="K82" s="13">
        <f t="shared" si="1"/>
        <v>75728988.29421854</v>
      </c>
      <c r="L82" s="13"/>
    </row>
    <row r="83" spans="1:12" ht="12.75">
      <c r="A83" s="258">
        <v>40391</v>
      </c>
      <c r="B83" s="259">
        <f>'[6]Data Input'!B111</f>
        <v>71658733</v>
      </c>
      <c r="C83" s="64">
        <f>'Weather Analysis'!T15</f>
        <v>15</v>
      </c>
      <c r="D83" s="64">
        <f>'Weather Analysis'!T35</f>
        <v>65.9</v>
      </c>
      <c r="E83" s="29">
        <v>136.47713395544886</v>
      </c>
      <c r="F83" s="13">
        <v>31</v>
      </c>
      <c r="G83" s="13">
        <v>0</v>
      </c>
      <c r="H83" s="13">
        <v>336</v>
      </c>
      <c r="I83" s="13">
        <f>'CDM Activity '!F71</f>
        <v>1236337.1866116333</v>
      </c>
      <c r="J83" s="13">
        <f>'[6]Data Input'!AK111</f>
        <v>34735</v>
      </c>
      <c r="K83" s="13">
        <f t="shared" si="1"/>
        <v>69916370.52051248</v>
      </c>
      <c r="L83" s="13"/>
    </row>
    <row r="84" spans="1:12" ht="12.75">
      <c r="A84" s="258">
        <v>40422</v>
      </c>
      <c r="B84" s="259">
        <f>'[6]Data Input'!B112</f>
        <v>62552017</v>
      </c>
      <c r="C84" s="64">
        <f>'Weather Analysis'!T16</f>
        <v>125.1</v>
      </c>
      <c r="D84" s="64">
        <f>'Weather Analysis'!T36</f>
        <v>17.1</v>
      </c>
      <c r="E84" s="29">
        <v>136.81372338553382</v>
      </c>
      <c r="F84" s="13">
        <v>30</v>
      </c>
      <c r="G84" s="13">
        <v>1</v>
      </c>
      <c r="H84" s="13">
        <v>336</v>
      </c>
      <c r="I84" s="13">
        <f>'CDM Activity '!F72</f>
        <v>1218392.9333615415</v>
      </c>
      <c r="J84" s="13">
        <f>'[6]Data Input'!AK112</f>
        <v>34830</v>
      </c>
      <c r="K84" s="13">
        <f t="shared" si="1"/>
        <v>62630240.771561824</v>
      </c>
      <c r="L84" s="13"/>
    </row>
    <row r="85" spans="1:12" ht="12.75">
      <c r="A85" s="258">
        <v>40452</v>
      </c>
      <c r="B85" s="259">
        <f>'[6]Data Input'!B113</f>
        <v>63558469</v>
      </c>
      <c r="C85" s="64">
        <f>'Weather Analysis'!T17</f>
        <v>288.2</v>
      </c>
      <c r="D85" s="64">
        <f>'Weather Analysis'!T37</f>
        <v>0</v>
      </c>
      <c r="E85" s="29">
        <v>137.15114293595587</v>
      </c>
      <c r="F85" s="13">
        <v>31</v>
      </c>
      <c r="G85" s="13">
        <v>1</v>
      </c>
      <c r="H85" s="13">
        <v>320</v>
      </c>
      <c r="I85" s="13">
        <f>'CDM Activity '!F73</f>
        <v>1200448.6801114497</v>
      </c>
      <c r="J85" s="13">
        <f>'[6]Data Input'!AK113</f>
        <v>34899</v>
      </c>
      <c r="K85" s="13">
        <f t="shared" si="1"/>
        <v>65717368.68693034</v>
      </c>
      <c r="L85" s="13"/>
    </row>
    <row r="86" spans="1:12" ht="12.75">
      <c r="A86" s="258">
        <v>40483</v>
      </c>
      <c r="B86" s="259">
        <f>'[6]Data Input'!B114</f>
        <v>68996385</v>
      </c>
      <c r="C86" s="64">
        <f>'Weather Analysis'!T18</f>
        <v>472.00000000000006</v>
      </c>
      <c r="D86" s="64">
        <f>'Weather Analysis'!T38</f>
        <v>0</v>
      </c>
      <c r="E86" s="29">
        <v>137.4893946540157</v>
      </c>
      <c r="F86" s="13">
        <v>30</v>
      </c>
      <c r="G86" s="13">
        <v>1</v>
      </c>
      <c r="H86" s="13">
        <v>336</v>
      </c>
      <c r="I86" s="13">
        <f>'CDM Activity '!F74</f>
        <v>1182504.4268613579</v>
      </c>
      <c r="J86" s="13">
        <f>'[6]Data Input'!AK114</f>
        <v>34950</v>
      </c>
      <c r="K86" s="13">
        <f t="shared" si="1"/>
        <v>69526790.9390899</v>
      </c>
      <c r="L86" s="13"/>
    </row>
    <row r="87" spans="1:12" ht="12.75">
      <c r="A87" s="258">
        <v>40513</v>
      </c>
      <c r="B87" s="259">
        <f>'[6]Data Input'!B115</f>
        <v>79658366</v>
      </c>
      <c r="C87" s="64">
        <f>'Weather Analysis'!T19</f>
        <v>733.6000000000001</v>
      </c>
      <c r="D87" s="64">
        <f>'Weather Analysis'!T39</f>
        <v>0</v>
      </c>
      <c r="E87" s="29">
        <v>137.8284805920631</v>
      </c>
      <c r="F87" s="13">
        <v>31</v>
      </c>
      <c r="G87" s="13">
        <v>0</v>
      </c>
      <c r="H87" s="13">
        <v>368</v>
      </c>
      <c r="I87" s="13">
        <f>'CDM Activity '!F75</f>
        <v>1164560.173611266</v>
      </c>
      <c r="J87" s="13">
        <f>'[6]Data Input'!AK115</f>
        <v>35012</v>
      </c>
      <c r="K87" s="13">
        <f t="shared" si="1"/>
        <v>82253128.1946465</v>
      </c>
      <c r="L87" s="13"/>
    </row>
    <row r="88" spans="1:12" ht="12.75">
      <c r="A88" s="258">
        <v>40544</v>
      </c>
      <c r="B88" s="259">
        <f>'[6]Data Input'!B116</f>
        <v>83591644</v>
      </c>
      <c r="C88" s="64">
        <f>'Weather Analysis'!U8</f>
        <v>877.6</v>
      </c>
      <c r="D88" s="64">
        <f>'Weather Analysis'!U28</f>
        <v>0</v>
      </c>
      <c r="E88" s="29">
        <v>138.0335370463536</v>
      </c>
      <c r="F88" s="262">
        <v>31</v>
      </c>
      <c r="G88" s="13">
        <v>0</v>
      </c>
      <c r="H88" s="13">
        <v>336</v>
      </c>
      <c r="I88" s="13">
        <f>'CDM Activity '!F76</f>
        <v>1200437.0262414906</v>
      </c>
      <c r="J88" s="13">
        <f>'[6]Data Input'!AK116</f>
        <v>35049</v>
      </c>
      <c r="K88" s="13">
        <f t="shared" si="1"/>
        <v>84610303.27906172</v>
      </c>
      <c r="L88" s="13"/>
    </row>
    <row r="89" spans="1:12" ht="12.75">
      <c r="A89" s="258">
        <v>40575</v>
      </c>
      <c r="B89" s="259">
        <f>'[6]Data Input'!B117</f>
        <v>74181456</v>
      </c>
      <c r="C89" s="64">
        <f>'Weather Analysis'!U9</f>
        <v>717.7</v>
      </c>
      <c r="D89" s="64">
        <f>'Weather Analysis'!U29</f>
        <v>0</v>
      </c>
      <c r="E89" s="29">
        <v>138.23889857655627</v>
      </c>
      <c r="F89" s="262">
        <v>28</v>
      </c>
      <c r="G89" s="13">
        <v>0</v>
      </c>
      <c r="H89" s="13">
        <v>304</v>
      </c>
      <c r="I89" s="13">
        <f>'CDM Activity '!F77</f>
        <v>1236313.8788717152</v>
      </c>
      <c r="J89" s="13">
        <f>'[6]Data Input'!AK117</f>
        <v>35067</v>
      </c>
      <c r="K89" s="13">
        <f t="shared" si="1"/>
        <v>75320226.06547153</v>
      </c>
      <c r="L89" s="13"/>
    </row>
    <row r="90" spans="1:12" ht="12.75">
      <c r="A90" s="258">
        <v>40603</v>
      </c>
      <c r="B90" s="259">
        <f>'[6]Data Input'!B118</f>
        <v>76852077</v>
      </c>
      <c r="C90" s="64">
        <f>'Weather Analysis'!U10</f>
        <v>623.3999999999997</v>
      </c>
      <c r="D90" s="64">
        <f>'Weather Analysis'!U30</f>
        <v>0</v>
      </c>
      <c r="E90" s="29">
        <v>138.4445656365526</v>
      </c>
      <c r="F90" s="262">
        <v>31</v>
      </c>
      <c r="G90" s="13">
        <v>1</v>
      </c>
      <c r="H90" s="13">
        <v>368</v>
      </c>
      <c r="I90" s="13">
        <f>'CDM Activity '!F78</f>
        <v>1272190.7315019397</v>
      </c>
      <c r="J90" s="13">
        <f>'[6]Data Input'!AK118</f>
        <v>35057</v>
      </c>
      <c r="K90" s="13">
        <f t="shared" si="1"/>
        <v>76078129.00705655</v>
      </c>
      <c r="L90" s="13"/>
    </row>
    <row r="91" spans="1:12" ht="12.75">
      <c r="A91" s="258">
        <v>40634</v>
      </c>
      <c r="B91" s="259">
        <f>'[6]Data Input'!B119</f>
        <v>65680577</v>
      </c>
      <c r="C91" s="64">
        <f>'Weather Analysis'!U11</f>
        <v>350.69999999999993</v>
      </c>
      <c r="D91" s="64">
        <f>'Weather Analysis'!U31</f>
        <v>0</v>
      </c>
      <c r="E91" s="29">
        <v>138.65053868089922</v>
      </c>
      <c r="F91" s="262">
        <v>30</v>
      </c>
      <c r="G91" s="13">
        <v>1</v>
      </c>
      <c r="H91" s="13">
        <v>320</v>
      </c>
      <c r="I91" s="13">
        <f>'CDM Activity '!F79</f>
        <v>1308067.5841321643</v>
      </c>
      <c r="J91" s="13">
        <f>'[6]Data Input'!AK119</f>
        <v>35023</v>
      </c>
      <c r="K91" s="13">
        <f t="shared" si="1"/>
        <v>66192022.35714676</v>
      </c>
      <c r="L91" s="13"/>
    </row>
    <row r="92" spans="1:12" ht="12.75">
      <c r="A92" s="258">
        <v>40664</v>
      </c>
      <c r="B92" s="259">
        <f>'[6]Data Input'!B120</f>
        <v>64269545</v>
      </c>
      <c r="C92" s="64">
        <f>'Weather Analysis'!U12</f>
        <v>143.3</v>
      </c>
      <c r="D92" s="64">
        <f>'Weather Analysis'!U32</f>
        <v>9.7</v>
      </c>
      <c r="E92" s="29">
        <v>138.8568181648291</v>
      </c>
      <c r="F92" s="262">
        <v>31</v>
      </c>
      <c r="G92" s="13">
        <v>1</v>
      </c>
      <c r="H92" s="13">
        <v>336</v>
      </c>
      <c r="I92" s="13">
        <f>'CDM Activity '!F80</f>
        <v>1343944.4367623888</v>
      </c>
      <c r="J92" s="13">
        <f>'[6]Data Input'!AK120</f>
        <v>34983</v>
      </c>
      <c r="K92" s="13">
        <f t="shared" si="1"/>
        <v>64156904.93935054</v>
      </c>
      <c r="L92" s="13"/>
    </row>
    <row r="93" spans="1:12" ht="12.75">
      <c r="A93" s="258">
        <v>40695</v>
      </c>
      <c r="B93" s="259">
        <f>'[6]Data Input'!B121</f>
        <v>66475177</v>
      </c>
      <c r="C93" s="64">
        <f>'Weather Analysis'!U13</f>
        <v>31.500000000000004</v>
      </c>
      <c r="D93" s="64">
        <f>'Weather Analysis'!U33</f>
        <v>24.799999999999997</v>
      </c>
      <c r="E93" s="29">
        <v>139.06340454425245</v>
      </c>
      <c r="F93" s="262">
        <v>30</v>
      </c>
      <c r="G93" s="13">
        <v>0</v>
      </c>
      <c r="H93" s="13">
        <v>352</v>
      </c>
      <c r="I93" s="13">
        <f>'CDM Activity '!F81</f>
        <v>1379821.2893926133</v>
      </c>
      <c r="J93" s="13">
        <f>'[6]Data Input'!AK121</f>
        <v>35003</v>
      </c>
      <c r="K93" s="13">
        <f t="shared" si="1"/>
        <v>65847969.798774526</v>
      </c>
      <c r="L93" s="13"/>
    </row>
    <row r="94" spans="1:12" ht="12.75">
      <c r="A94" s="258">
        <v>40725</v>
      </c>
      <c r="B94" s="259">
        <f>'[6]Data Input'!B122</f>
        <v>75911509</v>
      </c>
      <c r="C94" s="64">
        <f>'Weather Analysis'!U14</f>
        <v>0</v>
      </c>
      <c r="D94" s="64">
        <f>'Weather Analysis'!U34</f>
        <v>120.80000000000003</v>
      </c>
      <c r="E94" s="29">
        <v>139.27029827575782</v>
      </c>
      <c r="F94" s="262">
        <v>31</v>
      </c>
      <c r="G94" s="13">
        <v>0</v>
      </c>
      <c r="H94" s="13">
        <v>320</v>
      </c>
      <c r="I94" s="13">
        <f>'CDM Activity '!F82</f>
        <v>1415698.142022838</v>
      </c>
      <c r="J94" s="13">
        <f>'[6]Data Input'!AK122</f>
        <v>35028</v>
      </c>
      <c r="K94" s="13">
        <f t="shared" si="1"/>
        <v>75255990.59323746</v>
      </c>
      <c r="L94" s="13"/>
    </row>
    <row r="95" spans="1:12" ht="12.75">
      <c r="A95" s="258">
        <v>40756</v>
      </c>
      <c r="B95" s="259">
        <f>'[6]Data Input'!B123</f>
        <v>70746256</v>
      </c>
      <c r="C95" s="64">
        <f>'Weather Analysis'!U15</f>
        <v>10.9</v>
      </c>
      <c r="D95" s="64">
        <f>'Weather Analysis'!U35</f>
        <v>46.9</v>
      </c>
      <c r="E95" s="29">
        <v>139.477499816613</v>
      </c>
      <c r="F95" s="262">
        <v>31</v>
      </c>
      <c r="G95" s="13">
        <v>0</v>
      </c>
      <c r="H95" s="13">
        <v>352</v>
      </c>
      <c r="I95" s="13">
        <f>'CDM Activity '!F83</f>
        <v>1451574.9946530624</v>
      </c>
      <c r="J95" s="13">
        <f>'[6]Data Input'!AK123</f>
        <v>35083</v>
      </c>
      <c r="K95" s="13">
        <f t="shared" si="1"/>
        <v>69122522.06861724</v>
      </c>
      <c r="L95" s="13"/>
    </row>
    <row r="96" spans="1:12" ht="12.75">
      <c r="A96" s="258">
        <v>40787</v>
      </c>
      <c r="B96" s="259">
        <f>'[6]Data Input'!B124</f>
        <v>64010688</v>
      </c>
      <c r="C96" s="64">
        <f>'Weather Analysis'!U16</f>
        <v>94.49999999999997</v>
      </c>
      <c r="D96" s="64">
        <f>'Weather Analysis'!U36</f>
        <v>16.1</v>
      </c>
      <c r="E96" s="29">
        <v>139.68500962476614</v>
      </c>
      <c r="F96" s="262">
        <v>30</v>
      </c>
      <c r="G96" s="13">
        <v>1</v>
      </c>
      <c r="H96" s="13">
        <v>336</v>
      </c>
      <c r="I96" s="13">
        <f>'CDM Activity '!F84</f>
        <v>1487451.847283287</v>
      </c>
      <c r="J96" s="13">
        <f>'[6]Data Input'!AK124</f>
        <v>35149</v>
      </c>
      <c r="K96" s="13">
        <f t="shared" si="1"/>
        <v>62412738.90253455</v>
      </c>
      <c r="L96" s="13"/>
    </row>
    <row r="97" spans="1:12" ht="12.75">
      <c r="A97" s="258">
        <v>40817</v>
      </c>
      <c r="B97" s="259">
        <f>'[6]Data Input'!B125</f>
        <v>64615695</v>
      </c>
      <c r="C97" s="64">
        <f>'Weather Analysis'!U17</f>
        <v>273.90000000000003</v>
      </c>
      <c r="D97" s="64">
        <f>'Weather Analysis'!U37</f>
        <v>0</v>
      </c>
      <c r="E97" s="29">
        <v>139.89282815884664</v>
      </c>
      <c r="F97" s="262">
        <v>31</v>
      </c>
      <c r="G97" s="13">
        <v>1</v>
      </c>
      <c r="H97" s="13">
        <v>320</v>
      </c>
      <c r="I97" s="13">
        <f>'CDM Activity '!F85</f>
        <v>1523328.6999135115</v>
      </c>
      <c r="J97" s="13">
        <f>'[6]Data Input'!AK125</f>
        <v>35198</v>
      </c>
      <c r="K97" s="13">
        <f t="shared" si="1"/>
        <v>65975324.09563088</v>
      </c>
      <c r="L97" s="13"/>
    </row>
    <row r="98" spans="1:12" ht="12.75">
      <c r="A98" s="258">
        <v>40848</v>
      </c>
      <c r="B98" s="259">
        <f>'[6]Data Input'!B126</f>
        <v>67802485</v>
      </c>
      <c r="C98" s="64">
        <f>'Weather Analysis'!U18</f>
        <v>407.29999999999995</v>
      </c>
      <c r="D98" s="64">
        <f>'Weather Analysis'!U38</f>
        <v>0</v>
      </c>
      <c r="E98" s="29">
        <v>140.1009558781663</v>
      </c>
      <c r="F98" s="262">
        <v>30</v>
      </c>
      <c r="G98" s="13">
        <v>1</v>
      </c>
      <c r="H98" s="13">
        <v>352</v>
      </c>
      <c r="I98" s="13">
        <f>'CDM Activity '!F86</f>
        <v>1559205.552543736</v>
      </c>
      <c r="J98" s="13">
        <f>'[6]Data Input'!AK126</f>
        <v>35233</v>
      </c>
      <c r="K98" s="13">
        <f t="shared" si="1"/>
        <v>69130651.10411544</v>
      </c>
      <c r="L98" s="13"/>
    </row>
    <row r="99" spans="1:12" ht="12.75">
      <c r="A99" s="258">
        <v>40878</v>
      </c>
      <c r="B99" s="259">
        <f>'[6]Data Input'!B127</f>
        <v>74682133</v>
      </c>
      <c r="C99" s="64">
        <f>'Weather Analysis'!U19</f>
        <v>606.2</v>
      </c>
      <c r="D99" s="64">
        <f>'Weather Analysis'!U39</f>
        <v>0</v>
      </c>
      <c r="E99" s="29">
        <v>140.30939324272023</v>
      </c>
      <c r="F99" s="262">
        <v>31</v>
      </c>
      <c r="G99" s="13">
        <v>0</v>
      </c>
      <c r="H99" s="13">
        <v>336</v>
      </c>
      <c r="I99" s="13">
        <f>'CDM Activity '!F87</f>
        <v>1595082.4051739606</v>
      </c>
      <c r="J99" s="13">
        <f>'[6]Data Input'!AK127</f>
        <v>35270</v>
      </c>
      <c r="K99" s="13">
        <f t="shared" si="1"/>
        <v>78448837.64064366</v>
      </c>
      <c r="L99" s="13"/>
    </row>
    <row r="100" spans="1:12" ht="12.75">
      <c r="A100" s="258">
        <v>40909</v>
      </c>
      <c r="C100" s="64">
        <f aca="true" t="shared" si="2" ref="C100:D111">(C3+C15+C27+C39+C52+C64+C76+C88)/8</f>
        <v>819.55</v>
      </c>
      <c r="D100" s="64">
        <f t="shared" si="2"/>
        <v>0</v>
      </c>
      <c r="E100" s="29">
        <v>140.51814071318793</v>
      </c>
      <c r="F100" s="13">
        <v>31</v>
      </c>
      <c r="G100" s="13">
        <v>0</v>
      </c>
      <c r="H100" s="13">
        <v>336</v>
      </c>
      <c r="I100" s="13">
        <f>'CDM Activity '!F88</f>
        <v>1622207.0360350315</v>
      </c>
      <c r="J100" s="13">
        <f>($J$105-$J$99)/6+J99</f>
        <v>35290.79195593473</v>
      </c>
      <c r="K100" s="13">
        <f t="shared" si="1"/>
        <v>83736370.48972148</v>
      </c>
      <c r="L100" s="13"/>
    </row>
    <row r="101" spans="1:12" ht="12.75">
      <c r="A101" s="258">
        <v>40940</v>
      </c>
      <c r="C101" s="64">
        <f t="shared" si="2"/>
        <v>711.6625</v>
      </c>
      <c r="D101" s="64">
        <f t="shared" si="2"/>
        <v>0</v>
      </c>
      <c r="E101" s="29">
        <v>140.72719875093426</v>
      </c>
      <c r="F101" s="13">
        <v>29</v>
      </c>
      <c r="G101" s="13">
        <v>0</v>
      </c>
      <c r="H101" s="13">
        <v>320</v>
      </c>
      <c r="I101" s="13">
        <f>'CDM Activity '!F89</f>
        <v>1649331.6668961025</v>
      </c>
      <c r="J101" s="13">
        <f>($J$105-$J$99)/6+J100</f>
        <v>35311.58391186946</v>
      </c>
      <c r="K101" s="13">
        <f t="shared" si="1"/>
        <v>77731704.84760174</v>
      </c>
      <c r="L101" s="13"/>
    </row>
    <row r="102" spans="1:12" ht="12.75">
      <c r="A102" s="258">
        <v>40969</v>
      </c>
      <c r="C102" s="64">
        <f t="shared" si="2"/>
        <v>600.3750000000001</v>
      </c>
      <c r="D102" s="64">
        <f t="shared" si="2"/>
        <v>0</v>
      </c>
      <c r="E102" s="29">
        <v>140.9365678180105</v>
      </c>
      <c r="F102" s="13">
        <v>31</v>
      </c>
      <c r="G102" s="13">
        <v>1</v>
      </c>
      <c r="H102" s="13">
        <v>352</v>
      </c>
      <c r="I102" s="13">
        <f>'CDM Activity '!F90</f>
        <v>1676456.2977571734</v>
      </c>
      <c r="J102" s="13">
        <f>($J$105-$J$99)/6+J101</f>
        <v>35332.375867804185</v>
      </c>
      <c r="K102" s="13">
        <f t="shared" si="1"/>
        <v>75453318.30013049</v>
      </c>
      <c r="L102" s="13"/>
    </row>
    <row r="103" spans="1:12" ht="12.75">
      <c r="A103" s="258">
        <v>41000</v>
      </c>
      <c r="C103" s="64">
        <f t="shared" si="2"/>
        <v>335.825</v>
      </c>
      <c r="D103" s="64">
        <f t="shared" si="2"/>
        <v>0.0625</v>
      </c>
      <c r="E103" s="29">
        <v>141.14624837715536</v>
      </c>
      <c r="F103" s="13">
        <v>30</v>
      </c>
      <c r="G103" s="13">
        <v>1</v>
      </c>
      <c r="H103" s="13">
        <v>320</v>
      </c>
      <c r="I103" s="13">
        <f>'CDM Activity '!F91</f>
        <v>1703580.9286182444</v>
      </c>
      <c r="J103" s="13">
        <f>($J$105-$J$99)/6+J102</f>
        <v>35353.16782373891</v>
      </c>
      <c r="K103" s="13">
        <f t="shared" si="1"/>
        <v>66387681.93773522</v>
      </c>
      <c r="L103" s="13"/>
    </row>
    <row r="104" spans="1:12" ht="12.75">
      <c r="A104" s="258">
        <v>41030</v>
      </c>
      <c r="C104" s="64">
        <f t="shared" si="2"/>
        <v>183.4875</v>
      </c>
      <c r="D104" s="64">
        <f t="shared" si="2"/>
        <v>7.625</v>
      </c>
      <c r="E104" s="29">
        <v>141.35624089179598</v>
      </c>
      <c r="F104" s="13">
        <v>31</v>
      </c>
      <c r="G104" s="13">
        <v>1</v>
      </c>
      <c r="H104" s="13">
        <v>352</v>
      </c>
      <c r="I104" s="13">
        <f>'CDM Activity '!F92</f>
        <v>1730705.5594793153</v>
      </c>
      <c r="J104" s="13">
        <f>($J$105-$J$99)/6+J103</f>
        <v>35373.95977967364</v>
      </c>
      <c r="K104" s="13">
        <f t="shared" si="1"/>
        <v>66097056.25477888</v>
      </c>
      <c r="L104" s="13"/>
    </row>
    <row r="105" spans="1:12" ht="12.75">
      <c r="A105" s="258">
        <v>41061</v>
      </c>
      <c r="C105" s="64">
        <f t="shared" si="2"/>
        <v>45.975</v>
      </c>
      <c r="D105" s="64">
        <f t="shared" si="2"/>
        <v>37.025</v>
      </c>
      <c r="E105" s="29">
        <v>141.56654582604895</v>
      </c>
      <c r="F105" s="13">
        <v>30</v>
      </c>
      <c r="G105" s="13">
        <v>0</v>
      </c>
      <c r="H105" s="13">
        <v>336</v>
      </c>
      <c r="I105" s="13">
        <f>'CDM Activity '!F93</f>
        <v>1757830.1903403862</v>
      </c>
      <c r="J105" s="13">
        <f>'Rate Class Customer Model'!B11+'Rate Class Customer Model'!C11+'Rate Class Customer Model'!D11+'Rate Class Customer Model'!E11</f>
        <v>35394.75173560838</v>
      </c>
      <c r="K105" s="13">
        <f t="shared" si="1"/>
        <v>67416201.28756557</v>
      </c>
      <c r="L105" s="13"/>
    </row>
    <row r="106" spans="1:12" ht="12.75">
      <c r="A106" s="258">
        <v>41091</v>
      </c>
      <c r="C106" s="64">
        <f t="shared" si="2"/>
        <v>10.85</v>
      </c>
      <c r="D106" s="64">
        <f t="shared" si="2"/>
        <v>80.11250000000001</v>
      </c>
      <c r="E106" s="29">
        <v>141.7771636447214</v>
      </c>
      <c r="F106" s="13">
        <v>31</v>
      </c>
      <c r="G106" s="13">
        <v>0</v>
      </c>
      <c r="H106" s="13">
        <v>336</v>
      </c>
      <c r="I106" s="13">
        <f>'CDM Activity '!F94</f>
        <v>1784954.8212014572</v>
      </c>
      <c r="J106" s="13">
        <f>($J$117-$J$105)/12+J105</f>
        <v>35419.97095845454</v>
      </c>
      <c r="K106" s="13">
        <f t="shared" si="1"/>
        <v>72467886.88114697</v>
      </c>
      <c r="L106" s="13"/>
    </row>
    <row r="107" spans="1:12" ht="12.75">
      <c r="A107" s="258">
        <v>41122</v>
      </c>
      <c r="C107" s="64">
        <f t="shared" si="2"/>
        <v>21.725</v>
      </c>
      <c r="D107" s="64">
        <f t="shared" si="2"/>
        <v>47.937499999999986</v>
      </c>
      <c r="E107" s="29">
        <v>141.988094813312</v>
      </c>
      <c r="F107" s="13">
        <v>31</v>
      </c>
      <c r="G107" s="13">
        <v>0</v>
      </c>
      <c r="H107" s="13">
        <v>352</v>
      </c>
      <c r="I107" s="13">
        <f>'CDM Activity '!F95</f>
        <v>1812079.452062528</v>
      </c>
      <c r="J107" s="13">
        <f aca="true" t="shared" si="3" ref="J107:J123">($J$117-$J$105)/12+J106</f>
        <v>35445.190181300706</v>
      </c>
      <c r="K107" s="13">
        <f t="shared" si="1"/>
        <v>70054070.35829173</v>
      </c>
      <c r="L107" s="13"/>
    </row>
    <row r="108" spans="1:12" ht="12.75">
      <c r="A108" s="258">
        <v>41153</v>
      </c>
      <c r="C108" s="64">
        <f t="shared" si="2"/>
        <v>89.94999999999999</v>
      </c>
      <c r="D108" s="64">
        <f t="shared" si="2"/>
        <v>10.8</v>
      </c>
      <c r="E108" s="29">
        <v>142.19933979801186</v>
      </c>
      <c r="F108" s="13">
        <v>30</v>
      </c>
      <c r="G108" s="13">
        <v>1</v>
      </c>
      <c r="H108" s="13">
        <v>304</v>
      </c>
      <c r="I108" s="13">
        <f>'CDM Activity '!F96</f>
        <v>1839204.082923599</v>
      </c>
      <c r="J108" s="13">
        <f t="shared" si="3"/>
        <v>35470.40940414687</v>
      </c>
      <c r="K108" s="13">
        <f t="shared" si="1"/>
        <v>61083492.83691879</v>
      </c>
      <c r="L108" s="13"/>
    </row>
    <row r="109" spans="1:12" ht="12.75">
      <c r="A109" s="258">
        <v>41183</v>
      </c>
      <c r="C109" s="64">
        <f t="shared" si="2"/>
        <v>294.4875</v>
      </c>
      <c r="D109" s="64">
        <f t="shared" si="2"/>
        <v>1.4000000000000001</v>
      </c>
      <c r="E109" s="29">
        <v>142.41089906570582</v>
      </c>
      <c r="F109" s="13">
        <v>31</v>
      </c>
      <c r="G109" s="13">
        <v>1</v>
      </c>
      <c r="H109" s="13">
        <v>352</v>
      </c>
      <c r="I109" s="13">
        <f>'CDM Activity '!F97</f>
        <v>1866328.71378467</v>
      </c>
      <c r="J109" s="13">
        <f t="shared" si="3"/>
        <v>35495.628626993035</v>
      </c>
      <c r="K109" s="13">
        <f t="shared" si="1"/>
        <v>68411886.63622074</v>
      </c>
      <c r="L109" s="13"/>
    </row>
    <row r="110" spans="1:12" ht="12.75">
      <c r="A110" s="258">
        <v>41214</v>
      </c>
      <c r="C110" s="64">
        <f t="shared" si="2"/>
        <v>456.20000000000005</v>
      </c>
      <c r="D110" s="64">
        <f t="shared" si="2"/>
        <v>0</v>
      </c>
      <c r="E110" s="29">
        <v>142.62277308397324</v>
      </c>
      <c r="F110" s="13">
        <v>30</v>
      </c>
      <c r="G110" s="13">
        <v>1</v>
      </c>
      <c r="H110" s="13">
        <v>352</v>
      </c>
      <c r="I110" s="13">
        <f>'CDM Activity '!F98</f>
        <v>1893453.344645741</v>
      </c>
      <c r="J110" s="13">
        <f t="shared" si="3"/>
        <v>35520.8478498392</v>
      </c>
      <c r="K110" s="13">
        <f t="shared" si="1"/>
        <v>70892316.25215189</v>
      </c>
      <c r="L110" s="13"/>
    </row>
    <row r="111" spans="1:12" ht="12.75">
      <c r="A111" s="258">
        <v>41244</v>
      </c>
      <c r="C111" s="64">
        <f t="shared" si="2"/>
        <v>696.9875000000001</v>
      </c>
      <c r="D111" s="64">
        <f t="shared" si="2"/>
        <v>0</v>
      </c>
      <c r="E111" s="29">
        <v>142.8349623210892</v>
      </c>
      <c r="F111" s="13">
        <v>31</v>
      </c>
      <c r="G111" s="13">
        <v>0</v>
      </c>
      <c r="H111" s="13">
        <v>304</v>
      </c>
      <c r="I111" s="13">
        <f>'CDM Activity '!F99</f>
        <v>1920577.9755068119</v>
      </c>
      <c r="J111" s="13">
        <f t="shared" si="3"/>
        <v>35546.067072685364</v>
      </c>
      <c r="K111" s="13">
        <f t="shared" si="1"/>
        <v>80014453.9379474</v>
      </c>
      <c r="L111" s="13"/>
    </row>
    <row r="112" spans="1:12" ht="12.75">
      <c r="A112" s="258">
        <v>41275</v>
      </c>
      <c r="C112" s="64">
        <f>C100</f>
        <v>819.55</v>
      </c>
      <c r="D112" s="64">
        <f>D100</f>
        <v>0</v>
      </c>
      <c r="E112" s="29">
        <v>143.1291789570798</v>
      </c>
      <c r="F112" s="13">
        <v>31</v>
      </c>
      <c r="G112" s="13">
        <v>0</v>
      </c>
      <c r="H112" s="13">
        <v>352</v>
      </c>
      <c r="I112" s="13">
        <f>'CDM Activity '!F100</f>
        <v>1956930.713001594</v>
      </c>
      <c r="J112" s="13">
        <f t="shared" si="3"/>
        <v>35571.28629553153</v>
      </c>
      <c r="K112" s="13">
        <f t="shared" si="1"/>
        <v>84929531.4721661</v>
      </c>
      <c r="L112" s="13"/>
    </row>
    <row r="113" spans="1:12" ht="12.75">
      <c r="A113" s="258">
        <v>41306</v>
      </c>
      <c r="C113" s="64">
        <f aca="true" t="shared" si="4" ref="C113:D123">C101</f>
        <v>711.6625</v>
      </c>
      <c r="D113" s="64">
        <f t="shared" si="4"/>
        <v>0</v>
      </c>
      <c r="E113" s="29">
        <v>143.4240016311684</v>
      </c>
      <c r="F113" s="13">
        <v>28</v>
      </c>
      <c r="G113" s="13">
        <v>0</v>
      </c>
      <c r="H113" s="13">
        <v>304</v>
      </c>
      <c r="I113" s="13">
        <f>'CDM Activity '!F101</f>
        <v>1993283.450496376</v>
      </c>
      <c r="J113" s="13">
        <f t="shared" si="3"/>
        <v>35596.50551837769</v>
      </c>
      <c r="K113" s="13">
        <f t="shared" si="1"/>
        <v>76324126.1289437</v>
      </c>
      <c r="L113" s="13"/>
    </row>
    <row r="114" spans="1:12" ht="12.75">
      <c r="A114" s="258">
        <v>41334</v>
      </c>
      <c r="C114" s="64">
        <f t="shared" si="4"/>
        <v>600.3750000000001</v>
      </c>
      <c r="D114" s="64">
        <f t="shared" si="4"/>
        <v>0</v>
      </c>
      <c r="E114" s="29">
        <v>143.71943159169427</v>
      </c>
      <c r="F114" s="13">
        <v>31</v>
      </c>
      <c r="G114" s="13">
        <v>1</v>
      </c>
      <c r="H114" s="13">
        <v>320</v>
      </c>
      <c r="I114" s="13">
        <f>'CDM Activity '!F102</f>
        <v>2029636.187991158</v>
      </c>
      <c r="J114" s="13">
        <f t="shared" si="3"/>
        <v>35621.72474122386</v>
      </c>
      <c r="K114" s="13">
        <f t="shared" si="1"/>
        <v>74845828.52028598</v>
      </c>
      <c r="L114" s="13"/>
    </row>
    <row r="115" spans="1:12" ht="12.75">
      <c r="A115" s="258">
        <v>41365</v>
      </c>
      <c r="C115" s="64">
        <f t="shared" si="4"/>
        <v>335.825</v>
      </c>
      <c r="D115" s="64">
        <f t="shared" si="4"/>
        <v>0.0625</v>
      </c>
      <c r="E115" s="29">
        <v>144.01547008956803</v>
      </c>
      <c r="F115" s="13">
        <v>30</v>
      </c>
      <c r="G115" s="13">
        <v>1</v>
      </c>
      <c r="H115" s="13">
        <v>352</v>
      </c>
      <c r="I115" s="13">
        <f>'CDM Activity '!F103</f>
        <v>2065988.9254859402</v>
      </c>
      <c r="J115" s="13">
        <f t="shared" si="3"/>
        <v>35646.94396407002</v>
      </c>
      <c r="K115" s="13">
        <f t="shared" si="1"/>
        <v>68251160.0506456</v>
      </c>
      <c r="L115" s="13"/>
    </row>
    <row r="116" spans="1:12" ht="12.75">
      <c r="A116" s="258">
        <v>41395</v>
      </c>
      <c r="C116" s="64">
        <f t="shared" si="4"/>
        <v>183.4875</v>
      </c>
      <c r="D116" s="64">
        <f t="shared" si="4"/>
        <v>7.625</v>
      </c>
      <c r="E116" s="29">
        <v>144.31211837827698</v>
      </c>
      <c r="F116" s="13">
        <v>31</v>
      </c>
      <c r="G116" s="13">
        <v>1</v>
      </c>
      <c r="H116" s="13">
        <v>352</v>
      </c>
      <c r="I116" s="13">
        <f>'CDM Activity '!F104</f>
        <v>2102341.6629807223</v>
      </c>
      <c r="J116" s="13">
        <f t="shared" si="3"/>
        <v>35672.16318691619</v>
      </c>
      <c r="K116" s="13">
        <f t="shared" si="1"/>
        <v>66753901.882136196</v>
      </c>
      <c r="L116" s="13"/>
    </row>
    <row r="117" spans="1:12" ht="12.75">
      <c r="A117" s="258">
        <v>41426</v>
      </c>
      <c r="C117" s="64">
        <f t="shared" si="4"/>
        <v>45.975</v>
      </c>
      <c r="D117" s="64">
        <f t="shared" si="4"/>
        <v>37.025</v>
      </c>
      <c r="E117" s="29">
        <v>144.60937771389038</v>
      </c>
      <c r="F117" s="13">
        <v>30</v>
      </c>
      <c r="G117" s="13">
        <v>0</v>
      </c>
      <c r="H117" s="13">
        <v>320</v>
      </c>
      <c r="I117" s="13">
        <f>'CDM Activity '!F105</f>
        <v>2138694.4004755043</v>
      </c>
      <c r="J117" s="13">
        <f>'Rate Class Customer Model'!B12+'Rate Class Customer Model'!C12+'Rate Class Customer Model'!D12+'Rate Class Customer Model'!E12</f>
        <v>35697.38240976234</v>
      </c>
      <c r="K117" s="13">
        <f t="shared" si="1"/>
        <v>67479425.21642403</v>
      </c>
      <c r="L117" s="13"/>
    </row>
    <row r="118" spans="1:12" ht="12.75">
      <c r="A118" s="258">
        <v>41456</v>
      </c>
      <c r="C118" s="64">
        <f t="shared" si="4"/>
        <v>10.85</v>
      </c>
      <c r="D118" s="64">
        <f t="shared" si="4"/>
        <v>80.11250000000001</v>
      </c>
      <c r="E118" s="29">
        <v>144.90724935506483</v>
      </c>
      <c r="F118" s="13">
        <v>31</v>
      </c>
      <c r="G118" s="13">
        <v>0</v>
      </c>
      <c r="H118" s="13">
        <v>352</v>
      </c>
      <c r="I118" s="13">
        <f>'CDM Activity '!F106</f>
        <v>2175047.1379702864</v>
      </c>
      <c r="J118" s="13">
        <f t="shared" si="3"/>
        <v>35722.6016326085</v>
      </c>
      <c r="K118" s="13">
        <f t="shared" si="1"/>
        <v>73776388.92907515</v>
      </c>
      <c r="L118" s="13"/>
    </row>
    <row r="119" spans="1:12" ht="12.75">
      <c r="A119" s="258">
        <v>41487</v>
      </c>
      <c r="C119" s="64">
        <f t="shared" si="4"/>
        <v>21.725</v>
      </c>
      <c r="D119" s="64">
        <f t="shared" si="4"/>
        <v>47.937499999999986</v>
      </c>
      <c r="E119" s="29">
        <v>145.20573456304953</v>
      </c>
      <c r="F119" s="13">
        <v>31</v>
      </c>
      <c r="G119" s="13">
        <v>0</v>
      </c>
      <c r="H119" s="13">
        <v>336</v>
      </c>
      <c r="I119" s="13">
        <f>'CDM Activity '!F107</f>
        <v>2211399.8754650685</v>
      </c>
      <c r="J119" s="13">
        <f t="shared" si="3"/>
        <v>35747.820855454665</v>
      </c>
      <c r="K119" s="13">
        <f t="shared" si="1"/>
        <v>70156139.5303104</v>
      </c>
      <c r="L119" s="13"/>
    </row>
    <row r="120" spans="1:12" ht="12.75">
      <c r="A120" s="258">
        <v>41518</v>
      </c>
      <c r="C120" s="64">
        <f t="shared" si="4"/>
        <v>89.94999999999999</v>
      </c>
      <c r="D120" s="64">
        <f t="shared" si="4"/>
        <v>10.8</v>
      </c>
      <c r="E120" s="29">
        <v>145.50483460169167</v>
      </c>
      <c r="F120" s="13">
        <v>30</v>
      </c>
      <c r="G120" s="13">
        <v>1</v>
      </c>
      <c r="H120" s="13">
        <v>320</v>
      </c>
      <c r="I120" s="13">
        <f>'CDM Activity '!F108</f>
        <v>2247752.6129598506</v>
      </c>
      <c r="J120" s="13">
        <f t="shared" si="3"/>
        <v>35773.04007830083</v>
      </c>
      <c r="K120" s="13">
        <f t="shared" si="1"/>
        <v>62430973.73173209</v>
      </c>
      <c r="L120" s="13"/>
    </row>
    <row r="121" spans="1:12" ht="12.75">
      <c r="A121" s="258">
        <v>41548</v>
      </c>
      <c r="C121" s="64">
        <f t="shared" si="4"/>
        <v>294.4875</v>
      </c>
      <c r="D121" s="64">
        <f t="shared" si="4"/>
        <v>1.4000000000000001</v>
      </c>
      <c r="E121" s="29">
        <v>145.8045507374417</v>
      </c>
      <c r="F121" s="13">
        <v>31</v>
      </c>
      <c r="G121" s="13">
        <v>1</v>
      </c>
      <c r="H121" s="13">
        <v>352</v>
      </c>
      <c r="I121" s="13">
        <f>'CDM Activity '!F109</f>
        <v>2284105.3504546327</v>
      </c>
      <c r="J121" s="13">
        <f t="shared" si="3"/>
        <v>35798.259301146994</v>
      </c>
      <c r="K121" s="13">
        <f t="shared" si="1"/>
        <v>69166013.04083277</v>
      </c>
      <c r="L121" s="13"/>
    </row>
    <row r="122" spans="1:12" ht="12.75">
      <c r="A122" s="258">
        <v>41579</v>
      </c>
      <c r="C122" s="64">
        <f t="shared" si="4"/>
        <v>456.20000000000005</v>
      </c>
      <c r="D122" s="64">
        <f t="shared" si="4"/>
        <v>0</v>
      </c>
      <c r="E122" s="29">
        <v>146.1048842393588</v>
      </c>
      <c r="F122" s="13">
        <v>30</v>
      </c>
      <c r="G122" s="13">
        <v>1</v>
      </c>
      <c r="H122" s="13">
        <v>336</v>
      </c>
      <c r="I122" s="13">
        <f>'CDM Activity '!F110</f>
        <v>2320458.0879494147</v>
      </c>
      <c r="J122" s="13">
        <f t="shared" si="3"/>
        <v>35823.47852399316</v>
      </c>
      <c r="K122" s="13">
        <f t="shared" si="1"/>
        <v>71053155.4128306</v>
      </c>
      <c r="L122" s="13"/>
    </row>
    <row r="123" spans="1:12" ht="12.75">
      <c r="A123" s="258">
        <v>41609</v>
      </c>
      <c r="C123" s="64">
        <f t="shared" si="4"/>
        <v>696.9875000000001</v>
      </c>
      <c r="D123" s="64">
        <f t="shared" si="4"/>
        <v>0</v>
      </c>
      <c r="E123" s="29">
        <v>146.4058363791164</v>
      </c>
      <c r="F123" s="13">
        <v>31</v>
      </c>
      <c r="G123" s="13">
        <v>0</v>
      </c>
      <c r="H123" s="13">
        <v>320</v>
      </c>
      <c r="I123" s="13">
        <f>'CDM Activity '!F111</f>
        <v>2356810.825444197</v>
      </c>
      <c r="J123" s="13">
        <f t="shared" si="3"/>
        <v>35848.69774683932</v>
      </c>
      <c r="K123" s="13">
        <f t="shared" si="1"/>
        <v>81420906.56065089</v>
      </c>
      <c r="L123" s="13"/>
    </row>
    <row r="124" spans="1:9" ht="12.75">
      <c r="A124" s="258"/>
      <c r="I124" s="13"/>
    </row>
    <row r="125" spans="1:11" ht="12.75">
      <c r="A125" s="258"/>
      <c r="D125" s="19" t="s">
        <v>66</v>
      </c>
      <c r="K125" s="262">
        <f>SUM(K3:K123)</f>
        <v>8472393993.606243</v>
      </c>
    </row>
    <row r="126" ht="12.75">
      <c r="A126" s="258"/>
    </row>
    <row r="127" spans="1:13" ht="12.75">
      <c r="A127" s="28">
        <v>2004</v>
      </c>
      <c r="B127" s="23">
        <f>SUM(B3:B14)</f>
        <v>818498048</v>
      </c>
      <c r="K127" s="23">
        <f>SUM(K3:K14)</f>
        <v>825313494.3734066</v>
      </c>
      <c r="L127" s="264">
        <f aca="true" t="shared" si="5" ref="L127:L134">K127-B127</f>
        <v>6815446.373406649</v>
      </c>
      <c r="M127" s="265">
        <f aca="true" t="shared" si="6" ref="M127:M134">L127/B127</f>
        <v>0.008326771688778234</v>
      </c>
    </row>
    <row r="128" spans="1:13" ht="12.75">
      <c r="A128" s="266">
        <v>2005</v>
      </c>
      <c r="B128" s="23">
        <f>SUM(B15:B26)</f>
        <v>860938404</v>
      </c>
      <c r="K128" s="23">
        <f>SUM(K15:K26)</f>
        <v>850001289.78912</v>
      </c>
      <c r="L128" s="264">
        <f t="shared" si="5"/>
        <v>-10937114.210880041</v>
      </c>
      <c r="M128" s="265">
        <f t="shared" si="6"/>
        <v>-0.012703712786031138</v>
      </c>
    </row>
    <row r="129" spans="1:13" ht="12.75">
      <c r="A129" s="28">
        <v>2006</v>
      </c>
      <c r="B129" s="23">
        <f>SUM(B27:B38)</f>
        <v>835996328.2</v>
      </c>
      <c r="K129" s="23">
        <f>SUM(K27:K38)</f>
        <v>837452153.0790619</v>
      </c>
      <c r="L129" s="264">
        <f t="shared" si="5"/>
        <v>1455824.8790618181</v>
      </c>
      <c r="M129" s="265">
        <f t="shared" si="6"/>
        <v>0.0017414249679737026</v>
      </c>
    </row>
    <row r="130" spans="1:13" ht="12.75">
      <c r="A130" s="266">
        <v>2007</v>
      </c>
      <c r="B130" s="23">
        <f>SUM(B39:B50)</f>
        <v>857670889</v>
      </c>
      <c r="K130" s="23">
        <f>SUM(K39:K50)</f>
        <v>845540631.9974012</v>
      </c>
      <c r="L130" s="264">
        <f t="shared" si="5"/>
        <v>-12130257.002598763</v>
      </c>
      <c r="M130" s="265">
        <f t="shared" si="6"/>
        <v>-0.014143253733074719</v>
      </c>
    </row>
    <row r="131" spans="1:13" ht="12.75">
      <c r="A131" s="28">
        <v>2008</v>
      </c>
      <c r="B131" s="23">
        <f>SUM(B52:B63)</f>
        <v>852041445.8100001</v>
      </c>
      <c r="K131" s="23">
        <f>SUM(K52:K63)</f>
        <v>853937498.7130793</v>
      </c>
      <c r="L131" s="264">
        <f t="shared" si="5"/>
        <v>1896052.9030792713</v>
      </c>
      <c r="M131" s="265">
        <f t="shared" si="6"/>
        <v>0.0022253059547787295</v>
      </c>
    </row>
    <row r="132" spans="1:13" ht="12.75">
      <c r="A132" s="266">
        <v>2009</v>
      </c>
      <c r="B132" s="23">
        <f>SUM(B64:B75)</f>
        <v>834049383.1</v>
      </c>
      <c r="K132" s="23">
        <f>SUM(K64:K75)</f>
        <v>838345000.8491421</v>
      </c>
      <c r="L132" s="264">
        <f t="shared" si="5"/>
        <v>4295617.749142051</v>
      </c>
      <c r="M132" s="265">
        <f t="shared" si="6"/>
        <v>0.00515031584002385</v>
      </c>
    </row>
    <row r="133" spans="1:13" ht="12.75">
      <c r="A133" s="28">
        <v>2010</v>
      </c>
      <c r="B133" s="23">
        <f>SUM(B76:B87)</f>
        <v>838046263</v>
      </c>
      <c r="K133" s="23">
        <f>SUM(K76:K87)</f>
        <v>842918314.4571482</v>
      </c>
      <c r="L133" s="264">
        <f t="shared" si="5"/>
        <v>4872051.457148194</v>
      </c>
      <c r="M133" s="265">
        <f t="shared" si="6"/>
        <v>0.005813582939571195</v>
      </c>
    </row>
    <row r="134" spans="1:13" ht="12.75">
      <c r="A134" s="28">
        <v>2011</v>
      </c>
      <c r="B134" s="23">
        <f>SUM(B88:B99)</f>
        <v>848819242</v>
      </c>
      <c r="K134" s="23">
        <f>SUM(K88:K99)</f>
        <v>852551619.8516409</v>
      </c>
      <c r="L134" s="264">
        <f t="shared" si="5"/>
        <v>3732377.8516409397</v>
      </c>
      <c r="M134" s="265">
        <f t="shared" si="6"/>
        <v>0.004397140954117225</v>
      </c>
    </row>
    <row r="135" spans="1:11" ht="12.75">
      <c r="A135" s="28">
        <v>2012</v>
      </c>
      <c r="K135" s="23">
        <f>SUM(K100:K111)</f>
        <v>859746440.0202109</v>
      </c>
    </row>
    <row r="136" spans="1:11" ht="12.75">
      <c r="A136" s="28">
        <v>2013</v>
      </c>
      <c r="K136" s="23">
        <f>SUM(K112:K123)</f>
        <v>866587550.4760334</v>
      </c>
    </row>
    <row r="137" ht="12.75">
      <c r="K137" s="23"/>
    </row>
    <row r="138" spans="1:12" ht="12.75">
      <c r="A138" s="28" t="s">
        <v>77</v>
      </c>
      <c r="B138" s="23">
        <f>SUM(B127:B134)</f>
        <v>6746060003.11</v>
      </c>
      <c r="K138" s="23">
        <f>SUM(K127:K134)</f>
        <v>6746060003.110001</v>
      </c>
      <c r="L138" s="23">
        <f>K138-B138</f>
        <v>0</v>
      </c>
    </row>
    <row r="140" spans="11:12" ht="12.75">
      <c r="K140" s="23">
        <f>SUM(K127:K136)</f>
        <v>8472393993.606245</v>
      </c>
      <c r="L140" s="262">
        <f>K125-K140</f>
        <v>0</v>
      </c>
    </row>
    <row r="141" ht="12.75">
      <c r="L141" s="19" t="s">
        <v>63</v>
      </c>
    </row>
    <row r="143" spans="1:4" ht="12.75">
      <c r="A143" s="322" t="s">
        <v>205</v>
      </c>
      <c r="B143" s="321"/>
      <c r="C143" s="321"/>
      <c r="D143" s="321"/>
    </row>
    <row r="144" spans="1:12" ht="12.75">
      <c r="A144" s="258">
        <v>41275</v>
      </c>
      <c r="C144" s="64">
        <f>'Weather Analysis'!V8</f>
        <v>813.3199999999999</v>
      </c>
      <c r="D144" s="64">
        <f>'Weather Analysis'!V28</f>
        <v>0</v>
      </c>
      <c r="E144" s="29">
        <v>143.1291789570798</v>
      </c>
      <c r="F144" s="13">
        <v>31</v>
      </c>
      <c r="G144" s="13">
        <v>0</v>
      </c>
      <c r="H144" s="13">
        <v>352</v>
      </c>
      <c r="I144" s="13">
        <f>'CDM Activity '!F132</f>
        <v>0</v>
      </c>
      <c r="J144" s="13">
        <f aca="true" t="shared" si="7" ref="J144:J155">($J$117-$J$105)/12+J143</f>
        <v>25.219222846163273</v>
      </c>
      <c r="K144" s="13">
        <f aca="true" t="shared" si="8" ref="K144:K155">$O$18+C144*$O$19+D144*$O$20+E144*$O$21+F144*$O$22+G144*$O$23+H144*$O$24</f>
        <v>84776485.59717447</v>
      </c>
      <c r="L144" s="13"/>
    </row>
    <row r="145" spans="1:12" ht="12.75">
      <c r="A145" s="258">
        <v>41306</v>
      </c>
      <c r="C145" s="64">
        <f>'Weather Analysis'!V9</f>
        <v>712.2299999999999</v>
      </c>
      <c r="D145" s="64">
        <f>'Weather Analysis'!V29</f>
        <v>0</v>
      </c>
      <c r="E145" s="29">
        <v>143.4240016311684</v>
      </c>
      <c r="F145" s="13">
        <v>28</v>
      </c>
      <c r="G145" s="13">
        <v>0</v>
      </c>
      <c r="H145" s="13">
        <v>304</v>
      </c>
      <c r="I145" s="13">
        <f>'CDM Activity '!F133</f>
        <v>0</v>
      </c>
      <c r="J145" s="13">
        <f t="shared" si="7"/>
        <v>50.438445692326546</v>
      </c>
      <c r="K145" s="13">
        <f t="shared" si="8"/>
        <v>76338067.30616002</v>
      </c>
      <c r="L145" s="13"/>
    </row>
    <row r="146" spans="1:12" ht="12.75">
      <c r="A146" s="258">
        <v>41334</v>
      </c>
      <c r="C146" s="64">
        <f>'Weather Analysis'!V10</f>
        <v>606.69</v>
      </c>
      <c r="D146" s="64">
        <f>'Weather Analysis'!V30</f>
        <v>0</v>
      </c>
      <c r="E146" s="29">
        <v>143.71943159169427</v>
      </c>
      <c r="F146" s="13">
        <v>31</v>
      </c>
      <c r="G146" s="13">
        <v>1</v>
      </c>
      <c r="H146" s="13">
        <v>320</v>
      </c>
      <c r="I146" s="13">
        <f>'CDM Activity '!F134</f>
        <v>0</v>
      </c>
      <c r="J146" s="13">
        <f t="shared" si="7"/>
        <v>75.65766853848982</v>
      </c>
      <c r="K146" s="13">
        <f t="shared" si="8"/>
        <v>75000962.50111617</v>
      </c>
      <c r="L146" s="13"/>
    </row>
    <row r="147" spans="1:12" ht="12.75">
      <c r="A147" s="258">
        <v>41365</v>
      </c>
      <c r="C147" s="64">
        <f>'Weather Analysis'!V11</f>
        <v>346.96999999999997</v>
      </c>
      <c r="D147" s="64">
        <f>'Weather Analysis'!V31</f>
        <v>0.53</v>
      </c>
      <c r="E147" s="29">
        <v>144.01547008956803</v>
      </c>
      <c r="F147" s="13">
        <v>30</v>
      </c>
      <c r="G147" s="13">
        <v>1</v>
      </c>
      <c r="H147" s="13">
        <v>352</v>
      </c>
      <c r="I147" s="13">
        <f>'CDM Activity '!F135</f>
        <v>0</v>
      </c>
      <c r="J147" s="13">
        <f t="shared" si="7"/>
        <v>100.87689138465309</v>
      </c>
      <c r="K147" s="13">
        <f t="shared" si="8"/>
        <v>68573488.94079903</v>
      </c>
      <c r="L147" s="13"/>
    </row>
    <row r="148" spans="1:12" ht="12.75">
      <c r="A148" s="258">
        <v>41395</v>
      </c>
      <c r="C148" s="64">
        <f>'Weather Analysis'!V12</f>
        <v>192.42000000000002</v>
      </c>
      <c r="D148" s="64">
        <f>'Weather Analysis'!V32</f>
        <v>6.359999999999999</v>
      </c>
      <c r="E148" s="29">
        <v>144.31211837827698</v>
      </c>
      <c r="F148" s="13">
        <v>31</v>
      </c>
      <c r="G148" s="13">
        <v>1</v>
      </c>
      <c r="H148" s="13">
        <v>352</v>
      </c>
      <c r="I148" s="13">
        <f>'CDM Activity '!F136</f>
        <v>0</v>
      </c>
      <c r="J148" s="13">
        <f t="shared" si="7"/>
        <v>126.09611423081637</v>
      </c>
      <c r="K148" s="13">
        <f t="shared" si="8"/>
        <v>66841990.01473896</v>
      </c>
      <c r="L148" s="13"/>
    </row>
    <row r="149" spans="1:12" ht="12.75">
      <c r="A149" s="258">
        <v>41426</v>
      </c>
      <c r="C149" s="64">
        <f>'Weather Analysis'!V13</f>
        <v>48.519999999999996</v>
      </c>
      <c r="D149" s="64">
        <f>'Weather Analysis'!V33</f>
        <v>36.9</v>
      </c>
      <c r="E149" s="29">
        <v>144.60937771389038</v>
      </c>
      <c r="F149" s="13">
        <v>30</v>
      </c>
      <c r="G149" s="13">
        <v>0</v>
      </c>
      <c r="H149" s="13">
        <v>320</v>
      </c>
      <c r="I149" s="13">
        <f>'CDM Activity '!F137</f>
        <v>0</v>
      </c>
      <c r="J149" s="13">
        <f>'Rate Class Customer Model'!B44+'Rate Class Customer Model'!C44+'Rate Class Customer Model'!D44+'Rate Class Customer Model'!E44</f>
        <v>0</v>
      </c>
      <c r="K149" s="13">
        <f t="shared" si="8"/>
        <v>67528966.58701564</v>
      </c>
      <c r="L149" s="13"/>
    </row>
    <row r="150" spans="1:12" ht="12.75">
      <c r="A150" s="258">
        <v>41456</v>
      </c>
      <c r="C150" s="64">
        <f>'Weather Analysis'!V14</f>
        <v>10.66</v>
      </c>
      <c r="D150" s="64">
        <f>'Weather Analysis'!V34</f>
        <v>79.63000000000001</v>
      </c>
      <c r="E150" s="29">
        <v>144.90724935506483</v>
      </c>
      <c r="F150" s="13">
        <v>31</v>
      </c>
      <c r="G150" s="13">
        <v>0</v>
      </c>
      <c r="H150" s="13">
        <v>352</v>
      </c>
      <c r="I150" s="13">
        <f>'CDM Activity '!F138</f>
        <v>0</v>
      </c>
      <c r="J150" s="13">
        <f t="shared" si="7"/>
        <v>25.219222846163273</v>
      </c>
      <c r="K150" s="13">
        <f t="shared" si="8"/>
        <v>73721622.55560955</v>
      </c>
      <c r="L150" s="13"/>
    </row>
    <row r="151" spans="1:12" ht="12.75">
      <c r="A151" s="258">
        <v>41487</v>
      </c>
      <c r="C151" s="64">
        <f>'Weather Analysis'!V15</f>
        <v>20.94</v>
      </c>
      <c r="D151" s="64">
        <f>'Weather Analysis'!V35</f>
        <v>51.00999999999999</v>
      </c>
      <c r="E151" s="29">
        <v>145.20573456304953</v>
      </c>
      <c r="F151" s="13">
        <v>31</v>
      </c>
      <c r="G151" s="13">
        <v>0</v>
      </c>
      <c r="H151" s="13">
        <v>336</v>
      </c>
      <c r="I151" s="13">
        <f>'CDM Activity '!F139</f>
        <v>0</v>
      </c>
      <c r="J151" s="13">
        <f t="shared" si="7"/>
        <v>50.438445692326546</v>
      </c>
      <c r="K151" s="13">
        <f t="shared" si="8"/>
        <v>70455878.4595787</v>
      </c>
      <c r="L151" s="13"/>
    </row>
    <row r="152" spans="1:12" ht="12.75">
      <c r="A152" s="258">
        <v>41518</v>
      </c>
      <c r="C152" s="64">
        <f>'Weather Analysis'!V16</f>
        <v>90.23</v>
      </c>
      <c r="D152" s="64">
        <f>'Weather Analysis'!V36</f>
        <v>11.76</v>
      </c>
      <c r="E152" s="29">
        <v>145.50483460169167</v>
      </c>
      <c r="F152" s="13">
        <v>30</v>
      </c>
      <c r="G152" s="13">
        <v>1</v>
      </c>
      <c r="H152" s="13">
        <v>320</v>
      </c>
      <c r="I152" s="13">
        <f>'CDM Activity '!F140</f>
        <v>0</v>
      </c>
      <c r="J152" s="13">
        <f t="shared" si="7"/>
        <v>75.65766853848982</v>
      </c>
      <c r="K152" s="13">
        <f t="shared" si="8"/>
        <v>62537530.724566676</v>
      </c>
      <c r="L152" s="13"/>
    </row>
    <row r="153" spans="1:12" ht="12.75">
      <c r="A153" s="258">
        <v>41548</v>
      </c>
      <c r="C153" s="64">
        <f>'Weather Analysis'!V17</f>
        <v>306.19999999999993</v>
      </c>
      <c r="D153" s="64">
        <f>'Weather Analysis'!V37</f>
        <v>1.3800000000000001</v>
      </c>
      <c r="E153" s="29">
        <v>145.8045507374417</v>
      </c>
      <c r="F153" s="13">
        <v>31</v>
      </c>
      <c r="G153" s="13">
        <v>1</v>
      </c>
      <c r="H153" s="13">
        <v>352</v>
      </c>
      <c r="I153" s="13">
        <f>'CDM Activity '!F141</f>
        <v>0</v>
      </c>
      <c r="J153" s="13">
        <f t="shared" si="7"/>
        <v>100.87689138465309</v>
      </c>
      <c r="K153" s="13">
        <f t="shared" si="8"/>
        <v>69451665.1064425</v>
      </c>
      <c r="L153" s="13"/>
    </row>
    <row r="154" spans="1:12" ht="12.75">
      <c r="A154" s="258">
        <v>41579</v>
      </c>
      <c r="C154" s="64">
        <f>'Weather Analysis'!V18</f>
        <v>460.03000000000003</v>
      </c>
      <c r="D154" s="64">
        <f>'Weather Analysis'!V38</f>
        <v>0</v>
      </c>
      <c r="E154" s="29">
        <v>146.1048842393588</v>
      </c>
      <c r="F154" s="13">
        <v>30</v>
      </c>
      <c r="G154" s="13">
        <v>1</v>
      </c>
      <c r="H154" s="13">
        <v>336</v>
      </c>
      <c r="I154" s="13">
        <f>'CDM Activity '!F142</f>
        <v>0</v>
      </c>
      <c r="J154" s="13">
        <f t="shared" si="7"/>
        <v>126.09611423081637</v>
      </c>
      <c r="K154" s="13">
        <f t="shared" si="8"/>
        <v>71147243.00532144</v>
      </c>
      <c r="L154" s="13"/>
    </row>
    <row r="155" spans="1:12" ht="12.75">
      <c r="A155" s="258">
        <v>41609</v>
      </c>
      <c r="C155" s="64">
        <f>'Weather Analysis'!V19</f>
        <v>689</v>
      </c>
      <c r="D155" s="64">
        <f>'Weather Analysis'!V39</f>
        <v>0</v>
      </c>
      <c r="E155" s="29">
        <v>146.4058363791164</v>
      </c>
      <c r="F155" s="13">
        <v>31</v>
      </c>
      <c r="G155" s="13">
        <v>0</v>
      </c>
      <c r="H155" s="13">
        <v>320</v>
      </c>
      <c r="I155" s="13">
        <f>'CDM Activity '!F143</f>
        <v>0</v>
      </c>
      <c r="J155" s="13">
        <f t="shared" si="7"/>
        <v>151.31533707697963</v>
      </c>
      <c r="K155" s="13">
        <f t="shared" si="8"/>
        <v>81224686.02670296</v>
      </c>
      <c r="L155" s="13">
        <f>SUM(K144:K155)</f>
        <v>867598586.8252262</v>
      </c>
    </row>
    <row r="158" spans="1:4" ht="12.75">
      <c r="A158" s="322" t="s">
        <v>106</v>
      </c>
      <c r="B158" s="321"/>
      <c r="C158" s="321"/>
      <c r="D158" s="321"/>
    </row>
    <row r="159" spans="1:12" ht="12.75">
      <c r="A159" s="258">
        <v>41275</v>
      </c>
      <c r="C159" s="64">
        <f>'Weather Analysis'!W8</f>
        <v>810.6420300751882</v>
      </c>
      <c r="D159" s="64">
        <f>'Weather Analysis'!W28</f>
        <v>0</v>
      </c>
      <c r="E159" s="29">
        <v>143.1291789570798</v>
      </c>
      <c r="F159" s="13">
        <v>31</v>
      </c>
      <c r="G159" s="13">
        <v>0</v>
      </c>
      <c r="H159" s="13">
        <v>352</v>
      </c>
      <c r="I159" s="13">
        <f>'CDM Activity '!F147</f>
        <v>0</v>
      </c>
      <c r="J159" s="13">
        <f aca="true" t="shared" si="9" ref="J159:J170">($J$117-$J$105)/12+J158</f>
        <v>25.219222846163273</v>
      </c>
      <c r="K159" s="13">
        <f aca="true" t="shared" si="10" ref="K159:K170">$O$18+C159*$O$19+D159*$O$20+E159*$O$21+F159*$O$22+G159*$O$23+H159*$O$24</f>
        <v>84710698.71910961</v>
      </c>
      <c r="L159" s="13"/>
    </row>
    <row r="160" spans="1:12" ht="12.75">
      <c r="A160" s="258">
        <v>41306</v>
      </c>
      <c r="C160" s="64">
        <f>'Weather Analysis'!W9</f>
        <v>683.6641353383457</v>
      </c>
      <c r="D160" s="64">
        <f>'Weather Analysis'!W29</f>
        <v>0</v>
      </c>
      <c r="E160" s="29">
        <v>143.4240016311684</v>
      </c>
      <c r="F160" s="13">
        <v>28</v>
      </c>
      <c r="G160" s="13">
        <v>0</v>
      </c>
      <c r="H160" s="13">
        <v>304</v>
      </c>
      <c r="I160" s="13">
        <f>'CDM Activity '!F148</f>
        <v>0</v>
      </c>
      <c r="J160" s="13">
        <f t="shared" si="9"/>
        <v>50.438445692326546</v>
      </c>
      <c r="K160" s="13">
        <f t="shared" si="10"/>
        <v>75636319.67340958</v>
      </c>
      <c r="L160" s="13"/>
    </row>
    <row r="161" spans="1:12" ht="12.75">
      <c r="A161" s="258">
        <v>41334</v>
      </c>
      <c r="C161" s="64">
        <f>'Weather Analysis'!W10</f>
        <v>583.0125563909778</v>
      </c>
      <c r="D161" s="64">
        <f>'Weather Analysis'!W30</f>
        <v>0</v>
      </c>
      <c r="E161" s="29">
        <v>143.71943159169427</v>
      </c>
      <c r="F161" s="13">
        <v>31</v>
      </c>
      <c r="G161" s="13">
        <v>1</v>
      </c>
      <c r="H161" s="13">
        <v>320</v>
      </c>
      <c r="I161" s="13">
        <f>'CDM Activity '!F149</f>
        <v>0</v>
      </c>
      <c r="J161" s="13">
        <f t="shared" si="9"/>
        <v>75.65766853848982</v>
      </c>
      <c r="K161" s="13">
        <f t="shared" si="10"/>
        <v>74419303.58061735</v>
      </c>
      <c r="L161" s="13"/>
    </row>
    <row r="162" spans="1:12" ht="12.75">
      <c r="A162" s="258">
        <v>41365</v>
      </c>
      <c r="C162" s="64">
        <f>'Weather Analysis'!W11</f>
        <v>315.58977443609</v>
      </c>
      <c r="D162" s="64">
        <f>'Weather Analysis'!W31</f>
        <v>0.3281203007518805</v>
      </c>
      <c r="E162" s="29">
        <v>144.01547008956803</v>
      </c>
      <c r="F162" s="13">
        <v>30</v>
      </c>
      <c r="G162" s="13">
        <v>1</v>
      </c>
      <c r="H162" s="13">
        <v>352</v>
      </c>
      <c r="I162" s="13">
        <f>'CDM Activity '!F150</f>
        <v>0</v>
      </c>
      <c r="J162" s="13">
        <f t="shared" si="9"/>
        <v>100.87689138465309</v>
      </c>
      <c r="K162" s="13">
        <f t="shared" si="10"/>
        <v>67781642.3236593</v>
      </c>
      <c r="L162" s="13"/>
    </row>
    <row r="163" spans="1:12" ht="12.75">
      <c r="A163" s="258">
        <v>41395</v>
      </c>
      <c r="C163" s="64">
        <f>'Weather Analysis'!W12</f>
        <v>171.7865413533832</v>
      </c>
      <c r="D163" s="64">
        <f>'Weather Analysis'!W32</f>
        <v>9.985864661654091</v>
      </c>
      <c r="E163" s="29">
        <v>144.31211837827698</v>
      </c>
      <c r="F163" s="13">
        <v>31</v>
      </c>
      <c r="G163" s="13">
        <v>1</v>
      </c>
      <c r="H163" s="13">
        <v>352</v>
      </c>
      <c r="I163" s="13">
        <f>'CDM Activity '!F151</f>
        <v>0</v>
      </c>
      <c r="J163" s="13">
        <f t="shared" si="9"/>
        <v>126.09611423081637</v>
      </c>
      <c r="K163" s="13">
        <f t="shared" si="10"/>
        <v>66711589.528671384</v>
      </c>
      <c r="L163" s="13"/>
    </row>
    <row r="164" spans="1:12" ht="12.75">
      <c r="A164" s="258">
        <v>41426</v>
      </c>
      <c r="C164" s="64">
        <f>'Weather Analysis'!W13</f>
        <v>38.61105263157924</v>
      </c>
      <c r="D164" s="64">
        <f>'Weather Analysis'!W33</f>
        <v>38.91127819548865</v>
      </c>
      <c r="E164" s="29">
        <v>144.60937771389038</v>
      </c>
      <c r="F164" s="13">
        <v>30</v>
      </c>
      <c r="G164" s="13">
        <v>0</v>
      </c>
      <c r="H164" s="13">
        <v>320</v>
      </c>
      <c r="I164" s="13">
        <f>'CDM Activity '!F152</f>
        <v>0</v>
      </c>
      <c r="J164" s="13">
        <f>'Rate Class Customer Model'!B59+'Rate Class Customer Model'!C59+'Rate Class Customer Model'!D59+'Rate Class Customer Model'!E59</f>
        <v>0</v>
      </c>
      <c r="K164" s="13">
        <f t="shared" si="10"/>
        <v>67494378.50337073</v>
      </c>
      <c r="L164" s="13"/>
    </row>
    <row r="165" spans="1:12" ht="12.75">
      <c r="A165" s="258">
        <v>41456</v>
      </c>
      <c r="C165" s="64">
        <f>'Weather Analysis'!W14</f>
        <v>5.6642105263158555</v>
      </c>
      <c r="D165" s="64">
        <f>'Weather Analysis'!W34</f>
        <v>94.77075187969967</v>
      </c>
      <c r="E165" s="29">
        <v>144.90724935506483</v>
      </c>
      <c r="F165" s="13">
        <v>31</v>
      </c>
      <c r="G165" s="13">
        <v>0</v>
      </c>
      <c r="H165" s="13">
        <v>352</v>
      </c>
      <c r="I165" s="13">
        <f>'CDM Activity '!F153</f>
        <v>0</v>
      </c>
      <c r="J165" s="13">
        <f t="shared" si="9"/>
        <v>25.219222846163273</v>
      </c>
      <c r="K165" s="13">
        <f t="shared" si="10"/>
        <v>75170987.73402335</v>
      </c>
      <c r="L165" s="13"/>
    </row>
    <row r="166" spans="1:12" ht="12.75">
      <c r="A166" s="258">
        <v>41487</v>
      </c>
      <c r="C166" s="64">
        <f>'Weather Analysis'!W15</f>
        <v>9.571203007519216</v>
      </c>
      <c r="D166" s="64">
        <f>'Weather Analysis'!W35</f>
        <v>55.516917293233064</v>
      </c>
      <c r="E166" s="29">
        <v>145.20573456304953</v>
      </c>
      <c r="F166" s="13">
        <v>31</v>
      </c>
      <c r="G166" s="13">
        <v>0</v>
      </c>
      <c r="H166" s="13">
        <v>336</v>
      </c>
      <c r="I166" s="13">
        <f>'CDM Activity '!F154</f>
        <v>0</v>
      </c>
      <c r="J166" s="13">
        <f t="shared" si="9"/>
        <v>50.438445692326546</v>
      </c>
      <c r="K166" s="13">
        <f t="shared" si="10"/>
        <v>70644554.47742149</v>
      </c>
      <c r="L166" s="13"/>
    </row>
    <row r="167" spans="1:12" ht="12.75">
      <c r="A167" s="258">
        <v>41518</v>
      </c>
      <c r="C167" s="64">
        <f>'Weather Analysis'!W16</f>
        <v>69.65804511278202</v>
      </c>
      <c r="D167" s="64">
        <f>'Weather Analysis'!W36</f>
        <v>13.598120300751873</v>
      </c>
      <c r="E167" s="29">
        <v>145.50483460169167</v>
      </c>
      <c r="F167" s="13">
        <v>30</v>
      </c>
      <c r="G167" s="13">
        <v>1</v>
      </c>
      <c r="H167" s="13">
        <v>320</v>
      </c>
      <c r="I167" s="13">
        <f>'CDM Activity '!F155</f>
        <v>0</v>
      </c>
      <c r="J167" s="13">
        <f t="shared" si="9"/>
        <v>75.65766853848982</v>
      </c>
      <c r="K167" s="13">
        <f t="shared" si="10"/>
        <v>62223016.42462268</v>
      </c>
      <c r="L167" s="13"/>
    </row>
    <row r="168" spans="1:12" ht="12.75">
      <c r="A168" s="258">
        <v>41548</v>
      </c>
      <c r="C168" s="64">
        <f>'Weather Analysis'!W17</f>
        <v>281.5789473684217</v>
      </c>
      <c r="D168" s="64">
        <f>'Weather Analysis'!W37</f>
        <v>1.715488721804519</v>
      </c>
      <c r="E168" s="29">
        <v>145.8045507374417</v>
      </c>
      <c r="F168" s="13">
        <v>31</v>
      </c>
      <c r="G168" s="13">
        <v>1</v>
      </c>
      <c r="H168" s="13">
        <v>352</v>
      </c>
      <c r="I168" s="13">
        <f>'CDM Activity '!F156</f>
        <v>0</v>
      </c>
      <c r="J168" s="13">
        <f t="shared" si="9"/>
        <v>100.87689138465309</v>
      </c>
      <c r="K168" s="13">
        <f t="shared" si="10"/>
        <v>68881659.9302482</v>
      </c>
      <c r="L168" s="13"/>
    </row>
    <row r="169" spans="1:12" ht="12.75">
      <c r="A169" s="258">
        <v>41579</v>
      </c>
      <c r="C169" s="64">
        <f>'Weather Analysis'!W18</f>
        <v>432.2144360902248</v>
      </c>
      <c r="D169" s="64">
        <f>'Weather Analysis'!W38</f>
        <v>0</v>
      </c>
      <c r="E169" s="29">
        <v>146.1048842393588</v>
      </c>
      <c r="F169" s="13">
        <v>30</v>
      </c>
      <c r="G169" s="13">
        <v>1</v>
      </c>
      <c r="H169" s="13">
        <v>336</v>
      </c>
      <c r="I169" s="13">
        <f>'CDM Activity '!F157</f>
        <v>0</v>
      </c>
      <c r="J169" s="13">
        <f t="shared" si="9"/>
        <v>126.09611423081637</v>
      </c>
      <c r="K169" s="13">
        <f t="shared" si="10"/>
        <v>70463927.22410843</v>
      </c>
      <c r="L169" s="13"/>
    </row>
    <row r="170" spans="1:12" ht="12.75">
      <c r="A170" s="258">
        <v>41609</v>
      </c>
      <c r="C170" s="64">
        <f>'Weather Analysis'!W19</f>
        <v>685.999097744361</v>
      </c>
      <c r="D170" s="64">
        <f>'Weather Analysis'!W39</f>
        <v>0</v>
      </c>
      <c r="E170" s="29">
        <v>146.4058363791164</v>
      </c>
      <c r="F170" s="13">
        <v>31</v>
      </c>
      <c r="G170" s="13">
        <v>0</v>
      </c>
      <c r="H170" s="13">
        <v>320</v>
      </c>
      <c r="I170" s="13">
        <f>'CDM Activity '!F158</f>
        <v>0</v>
      </c>
      <c r="J170" s="13">
        <f t="shared" si="9"/>
        <v>151.31533707697963</v>
      </c>
      <c r="K170" s="13">
        <f t="shared" si="10"/>
        <v>81150966.00880912</v>
      </c>
      <c r="L170" s="13">
        <f>SUM(K159:K170)</f>
        <v>865289044.1280713</v>
      </c>
    </row>
  </sheetData>
  <sheetProtection/>
  <mergeCells count="3">
    <mergeCell ref="I1:J1"/>
    <mergeCell ref="A143:D143"/>
    <mergeCell ref="A158:D158"/>
  </mergeCells>
  <printOptions/>
  <pageMargins left="0.38" right="0.75" top="0.73" bottom="0.74" header="0.5" footer="0.5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66"/>
  <sheetViews>
    <sheetView zoomScalePageLayoutView="0" workbookViewId="0" topLeftCell="A1">
      <pane xSplit="1" ySplit="2" topLeftCell="E47" activePane="bottomRight" state="frozen"/>
      <selection pane="topLeft" activeCell="A1" sqref="A1"/>
      <selection pane="topRight" activeCell="B1" sqref="B1"/>
      <selection pane="bottomLeft" activeCell="A3" sqref="A3"/>
      <selection pane="bottomRight" activeCell="G66" sqref="G66"/>
    </sheetView>
  </sheetViews>
  <sheetFormatPr defaultColWidth="9.140625" defaultRowHeight="12.75"/>
  <cols>
    <col min="1" max="1" width="11.00390625" style="0" customWidth="1"/>
    <col min="2" max="5" width="18.00390625" style="1" customWidth="1"/>
    <col min="6" max="6" width="15.7109375" style="1" customWidth="1"/>
    <col min="7" max="7" width="15.7109375" style="6" customWidth="1"/>
    <col min="8" max="8" width="15.00390625" style="6" customWidth="1"/>
    <col min="9" max="10" width="14.140625" style="6" bestFit="1" customWidth="1"/>
    <col min="11" max="11" width="14.140625" style="6" customWidth="1"/>
    <col min="12" max="12" width="14.7109375" style="6" customWidth="1"/>
    <col min="13" max="14" width="13.8515625" style="6" bestFit="1" customWidth="1"/>
    <col min="15" max="16" width="12.7109375" style="6" bestFit="1" customWidth="1"/>
    <col min="17" max="17" width="11.140625" style="6" bestFit="1" customWidth="1"/>
    <col min="18" max="18" width="12.7109375" style="6" bestFit="1" customWidth="1"/>
    <col min="19" max="19" width="11.140625" style="6" bestFit="1" customWidth="1"/>
    <col min="20" max="20" width="10.140625" style="0" bestFit="1" customWidth="1"/>
  </cols>
  <sheetData>
    <row r="2" spans="2:14" ht="42" customHeight="1">
      <c r="B2" s="2" t="s">
        <v>7</v>
      </c>
      <c r="C2" s="2" t="s">
        <v>8</v>
      </c>
      <c r="D2" s="2" t="s">
        <v>41</v>
      </c>
      <c r="E2" s="2" t="s">
        <v>9</v>
      </c>
      <c r="F2" s="2" t="s">
        <v>1</v>
      </c>
      <c r="G2" s="7" t="s">
        <v>2</v>
      </c>
      <c r="H2" s="40" t="s">
        <v>98</v>
      </c>
      <c r="I2" s="41" t="s">
        <v>99</v>
      </c>
      <c r="J2" s="41" t="s">
        <v>100</v>
      </c>
      <c r="K2" s="41" t="s">
        <v>72</v>
      </c>
      <c r="L2" s="41" t="s">
        <v>203</v>
      </c>
      <c r="M2" s="41" t="s">
        <v>200</v>
      </c>
      <c r="N2" s="41" t="s">
        <v>201</v>
      </c>
    </row>
    <row r="4" spans="1:2" ht="12.75">
      <c r="A4" s="14"/>
      <c r="B4" s="34" t="s">
        <v>43</v>
      </c>
    </row>
    <row r="5" spans="2:19" ht="12.75"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</row>
    <row r="7" spans="1:14" ht="12.75">
      <c r="A7">
        <f>'Purchased Power Model '!A127</f>
        <v>2004</v>
      </c>
      <c r="B7" s="6">
        <f>'Purchased Power Model '!B127</f>
        <v>818498048</v>
      </c>
      <c r="C7" s="6">
        <f>'Purchased Power Model '!K127</f>
        <v>825313494.3734066</v>
      </c>
      <c r="D7" s="31">
        <f aca="true" t="shared" si="0" ref="D7:D14">C7-B7</f>
        <v>6815446.373406649</v>
      </c>
      <c r="E7" s="5">
        <f aca="true" t="shared" si="1" ref="E7:E14">D7/B7</f>
        <v>0.008326771688778234</v>
      </c>
      <c r="F7" s="46">
        <f aca="true" t="shared" si="2" ref="F7:F14">1+(B7-G7)/G7</f>
        <v>1.0258129197944943</v>
      </c>
      <c r="G7" s="63">
        <f aca="true" t="shared" si="3" ref="G7:G14">SUM(H7:N7)</f>
        <v>797901871</v>
      </c>
      <c r="H7" s="33">
        <f>SUM('[6]Data Input'!$E$32:$E$43)</f>
        <v>285749014</v>
      </c>
      <c r="I7" s="33">
        <f>SUM('[6]Data Input'!$I$32:$I$43)</f>
        <v>121813571</v>
      </c>
      <c r="J7" s="33">
        <f>SUM('[6]Data Input'!$M$32:$M$43)</f>
        <v>320036669</v>
      </c>
      <c r="K7" s="33">
        <f>SUM('[6]Data Input'!$AF$32:$AF$43)</f>
        <v>63311617</v>
      </c>
      <c r="L7" s="33">
        <f>SUM('[6]Data Input'!$R$32:$R$43)</f>
        <v>5980324</v>
      </c>
      <c r="M7" s="33">
        <f>SUM('[6]Data Input'!$W$32:$W$43)</f>
        <v>1010676</v>
      </c>
      <c r="N7" s="33">
        <f>SUM('[6]Data Input'!$AB$32:$AB$43)</f>
        <v>0</v>
      </c>
    </row>
    <row r="8" spans="1:14" ht="12.75">
      <c r="A8">
        <f>'Purchased Power Model '!A128</f>
        <v>2005</v>
      </c>
      <c r="B8" s="6">
        <f>'Purchased Power Model '!B128</f>
        <v>860938404</v>
      </c>
      <c r="C8" s="6">
        <f>'Purchased Power Model '!K128</f>
        <v>850001289.78912</v>
      </c>
      <c r="D8" s="31">
        <f t="shared" si="0"/>
        <v>-10937114.210880041</v>
      </c>
      <c r="E8" s="5">
        <f t="shared" si="1"/>
        <v>-0.012703712786031138</v>
      </c>
      <c r="F8" s="46">
        <f t="shared" si="2"/>
        <v>1.041093785844009</v>
      </c>
      <c r="G8" s="63">
        <f t="shared" si="3"/>
        <v>826955665</v>
      </c>
      <c r="H8" s="33">
        <f>SUM('[6]Data Input'!$E$44:$E$55)</f>
        <v>296433964</v>
      </c>
      <c r="I8" s="33">
        <f>SUM('[6]Data Input'!$I$44:$I$55)</f>
        <v>126304848</v>
      </c>
      <c r="J8" s="33">
        <f>SUM('[6]Data Input'!$M$44:$M$55)</f>
        <v>330743565</v>
      </c>
      <c r="K8" s="33">
        <f>SUM('[6]Data Input'!$AF$44:$AF$55)</f>
        <v>66520715</v>
      </c>
      <c r="L8" s="33">
        <f>SUM('[6]Data Input'!$R$44:$R$55)</f>
        <v>5985582</v>
      </c>
      <c r="M8" s="33">
        <f>SUM('[6]Data Input'!$W$44:$W$55)</f>
        <v>966991</v>
      </c>
      <c r="N8" s="33">
        <f>SUM('[6]Data Input'!$AB$44:$AB$55)</f>
        <v>0</v>
      </c>
    </row>
    <row r="9" spans="1:14" ht="12.75">
      <c r="A9">
        <f>'Purchased Power Model '!A129</f>
        <v>2006</v>
      </c>
      <c r="B9" s="6">
        <f>'Purchased Power Model '!B129</f>
        <v>835996328.2</v>
      </c>
      <c r="C9" s="6">
        <f>'Purchased Power Model '!K129</f>
        <v>837452153.0790619</v>
      </c>
      <c r="D9" s="31">
        <f t="shared" si="0"/>
        <v>1455824.8790618181</v>
      </c>
      <c r="E9" s="5">
        <f t="shared" si="1"/>
        <v>0.0017414249679737026</v>
      </c>
      <c r="F9" s="46">
        <f t="shared" si="2"/>
        <v>1.0254437032822632</v>
      </c>
      <c r="G9" s="63">
        <f t="shared" si="3"/>
        <v>815253266</v>
      </c>
      <c r="H9" s="33">
        <f>SUM('[6]Data Input'!$E$56:$E$67)</f>
        <v>290175501</v>
      </c>
      <c r="I9" s="33">
        <f>SUM('[6]Data Input'!$I$56:$I$67)</f>
        <v>124353936</v>
      </c>
      <c r="J9" s="33">
        <f>SUM('[6]Data Input'!$M$56:$M$67)</f>
        <v>327027328</v>
      </c>
      <c r="K9" s="33">
        <f>SUM('[6]Data Input'!$AF$56:$AF$67)</f>
        <v>65100158</v>
      </c>
      <c r="L9" s="33">
        <f>SUM('[6]Data Input'!$R$56:$R$67)</f>
        <v>6283519</v>
      </c>
      <c r="M9" s="33">
        <f>SUM('[6]Data Input'!$W$56:$W$67)</f>
        <v>1093025</v>
      </c>
      <c r="N9" s="33">
        <f>SUM('[6]Data Input'!$AB$56:$AB$67)</f>
        <v>1219799</v>
      </c>
    </row>
    <row r="10" spans="1:14" ht="12.75">
      <c r="A10">
        <f>'Purchased Power Model '!A130</f>
        <v>2007</v>
      </c>
      <c r="B10" s="6">
        <f>'Purchased Power Model '!B130</f>
        <v>857670889</v>
      </c>
      <c r="C10" s="6">
        <f>'Purchased Power Model '!K130</f>
        <v>845540631.9974012</v>
      </c>
      <c r="D10" s="31">
        <f t="shared" si="0"/>
        <v>-12130257.002598763</v>
      </c>
      <c r="E10" s="5">
        <f t="shared" si="1"/>
        <v>-0.014143253733074719</v>
      </c>
      <c r="F10" s="46">
        <f t="shared" si="2"/>
        <v>1.0501979504208314</v>
      </c>
      <c r="G10" s="63">
        <f t="shared" si="3"/>
        <v>816675455</v>
      </c>
      <c r="H10" s="33">
        <f>SUM('[6]Data Input'!$E$68:$E$79)</f>
        <v>285387602</v>
      </c>
      <c r="I10" s="33">
        <f>SUM('[6]Data Input'!$I$68:$I$79)</f>
        <v>124661008</v>
      </c>
      <c r="J10" s="33">
        <f>SUM('[6]Data Input'!$M$68:$M$79)</f>
        <v>333067762</v>
      </c>
      <c r="K10" s="33">
        <f>SUM('[6]Data Input'!$AF$68:$AF$79)</f>
        <v>63450100</v>
      </c>
      <c r="L10" s="33">
        <f>SUM('[6]Data Input'!$R$68:$R$79)</f>
        <v>6588942</v>
      </c>
      <c r="M10" s="33">
        <f>SUM('[6]Data Input'!$W$68:$W$79)</f>
        <v>1308319</v>
      </c>
      <c r="N10" s="33">
        <f>SUM('[6]Data Input'!$AB$68:$AB$79)</f>
        <v>2211722</v>
      </c>
    </row>
    <row r="11" spans="1:14" ht="12.75">
      <c r="A11">
        <f>'Purchased Power Model '!A131</f>
        <v>2008</v>
      </c>
      <c r="B11" s="6">
        <f>'Purchased Power Model '!B131</f>
        <v>852041445.8100001</v>
      </c>
      <c r="C11" s="6">
        <f>'Purchased Power Model '!K131</f>
        <v>853937498.7130793</v>
      </c>
      <c r="D11" s="31">
        <f t="shared" si="0"/>
        <v>1896052.9030792713</v>
      </c>
      <c r="E11" s="5">
        <f t="shared" si="1"/>
        <v>0.0022253059547787295</v>
      </c>
      <c r="F11" s="46">
        <f t="shared" si="2"/>
        <v>1.039408605625755</v>
      </c>
      <c r="G11" s="63">
        <f t="shared" si="3"/>
        <v>819736763</v>
      </c>
      <c r="H11" s="33">
        <f>SUM('[6]Data Input'!$E$80:$E$91)</f>
        <v>288170301</v>
      </c>
      <c r="I11" s="33">
        <f>SUM('[6]Data Input'!$I$80:$I$91)</f>
        <v>121586473</v>
      </c>
      <c r="J11" s="33">
        <f>SUM('[6]Data Input'!$M$80:$M$91)</f>
        <v>338999213</v>
      </c>
      <c r="K11" s="33">
        <f>SUM('[6]Data Input'!$AF$80:$AF$91)</f>
        <v>63280466</v>
      </c>
      <c r="L11" s="33">
        <f>SUM('[6]Data Input'!$R$80:$R$91)</f>
        <v>5640742</v>
      </c>
      <c r="M11" s="33">
        <f>SUM('[6]Data Input'!$W$80:$W$91)</f>
        <v>633264</v>
      </c>
      <c r="N11" s="33">
        <f>SUM('[6]Data Input'!$AB$80:$AB$91)</f>
        <v>1426304</v>
      </c>
    </row>
    <row r="12" spans="1:14" ht="12.75">
      <c r="A12">
        <f>'Purchased Power Model '!A132</f>
        <v>2009</v>
      </c>
      <c r="B12" s="6">
        <f>'Purchased Power Model '!B132</f>
        <v>834049383.1</v>
      </c>
      <c r="C12" s="6">
        <f>'Purchased Power Model '!K132</f>
        <v>838345000.8491421</v>
      </c>
      <c r="D12" s="31">
        <f t="shared" si="0"/>
        <v>4295617.749142051</v>
      </c>
      <c r="E12" s="5">
        <f t="shared" si="1"/>
        <v>0.00515031584002385</v>
      </c>
      <c r="F12" s="46">
        <f t="shared" si="2"/>
        <v>1.0487276615483232</v>
      </c>
      <c r="G12" s="63">
        <f t="shared" si="3"/>
        <v>795296447</v>
      </c>
      <c r="H12" s="33">
        <f>SUM('[6]Data Input'!$E$92:$E$103)</f>
        <v>284464847</v>
      </c>
      <c r="I12" s="33">
        <f>SUM('[6]Data Input'!$I$92:$I$103)</f>
        <v>117206107</v>
      </c>
      <c r="J12" s="33">
        <f>SUM('[6]Data Input'!$M$92:$M$103)</f>
        <v>327169221</v>
      </c>
      <c r="K12" s="33">
        <f>SUM('[6]Data Input'!$AF$92:$AF$103)</f>
        <v>58518018</v>
      </c>
      <c r="L12" s="33">
        <f>SUM('[6]Data Input'!$R$92:$R$103)</f>
        <v>5539999</v>
      </c>
      <c r="M12" s="33">
        <f>SUM('[6]Data Input'!$W$92:$W$103)</f>
        <v>796438</v>
      </c>
      <c r="N12" s="33">
        <f>SUM('[6]Data Input'!$AB$92:$AB$103)</f>
        <v>1601817</v>
      </c>
    </row>
    <row r="13" spans="1:14" ht="12.75">
      <c r="A13">
        <f>'Purchased Power Model '!A133</f>
        <v>2010</v>
      </c>
      <c r="B13" s="6">
        <f>'Purchased Power Model '!B133</f>
        <v>838046263</v>
      </c>
      <c r="C13" s="6">
        <f>'Purchased Power Model '!K133</f>
        <v>842918314.4571482</v>
      </c>
      <c r="D13" s="31">
        <f>C13-B13</f>
        <v>4872051.457148194</v>
      </c>
      <c r="E13" s="5">
        <f>D13/B13</f>
        <v>0.005813582939571195</v>
      </c>
      <c r="F13" s="46">
        <f t="shared" si="2"/>
        <v>1.0475878355940658</v>
      </c>
      <c r="G13" s="63">
        <f t="shared" si="3"/>
        <v>799977085</v>
      </c>
      <c r="H13" s="33">
        <f>SUM('[6]Data Input'!$E$104:$E$115)</f>
        <v>287709082</v>
      </c>
      <c r="I13" s="33">
        <f>SUM('[6]Data Input'!$I$104:$I$115)</f>
        <v>117506264</v>
      </c>
      <c r="J13" s="33">
        <f>SUM('[6]Data Input'!$M$104:$M$115)</f>
        <v>331296296</v>
      </c>
      <c r="K13" s="33">
        <f>SUM('[6]Data Input'!$AF$104:$AF$115)</f>
        <v>55529141</v>
      </c>
      <c r="L13" s="33">
        <f>SUM('[6]Data Input'!$R$104:$R$115)</f>
        <v>5582044</v>
      </c>
      <c r="M13" s="33">
        <f>SUM('[6]Data Input'!$W$104:$W$115)</f>
        <v>788608</v>
      </c>
      <c r="N13" s="33">
        <f>SUM('[6]Data Input'!$AB$104:$AB$115)</f>
        <v>1565650</v>
      </c>
    </row>
    <row r="14" spans="1:14" ht="12.75">
      <c r="A14">
        <f>'Purchased Power Model '!A134</f>
        <v>2011</v>
      </c>
      <c r="B14" s="6">
        <f>'Purchased Power Model '!B134</f>
        <v>848819242</v>
      </c>
      <c r="C14" s="6">
        <f>'Purchased Power Model '!K134</f>
        <v>852551619.8516409</v>
      </c>
      <c r="D14" s="31">
        <f t="shared" si="0"/>
        <v>3732377.8516409397</v>
      </c>
      <c r="E14" s="5">
        <f t="shared" si="1"/>
        <v>0.004397140954117225</v>
      </c>
      <c r="F14" s="46">
        <f t="shared" si="2"/>
        <v>1.0370434367354522</v>
      </c>
      <c r="G14" s="63">
        <f t="shared" si="3"/>
        <v>818499218</v>
      </c>
      <c r="H14" s="33">
        <f>SUM('[6]Data Input'!$E$116:$E$127)</f>
        <v>293541684</v>
      </c>
      <c r="I14" s="33">
        <f>SUM('[6]Data Input'!$I$116:$I$127)</f>
        <v>114708317</v>
      </c>
      <c r="J14" s="33">
        <f>SUM('[6]Data Input'!$M$116:$M$127)</f>
        <v>345543415</v>
      </c>
      <c r="K14" s="33">
        <f>SUM('[6]Data Input'!$AF$116:$AF$127)</f>
        <v>56661879</v>
      </c>
      <c r="L14" s="33">
        <f>SUM('[6]Data Input'!$R$116:$R$127)</f>
        <v>5614216</v>
      </c>
      <c r="M14" s="33">
        <f>SUM('[6]Data Input'!$W$116:$W$127)</f>
        <v>768502</v>
      </c>
      <c r="N14" s="33">
        <f>SUM('[6]Data Input'!$AB$116:$AB$127)</f>
        <v>1661205</v>
      </c>
    </row>
    <row r="15" spans="1:22" ht="12.75">
      <c r="A15">
        <f>'Purchased Power Model '!A135</f>
        <v>2012</v>
      </c>
      <c r="B15" s="6"/>
      <c r="C15" s="6">
        <f>'Purchased Power Model '!K135</f>
        <v>859746440.0202109</v>
      </c>
      <c r="G15" s="17">
        <f>C15/$F$19</f>
        <v>827144946.0046225</v>
      </c>
      <c r="P15" s="6">
        <f aca="true" t="shared" si="4" ref="P15:V15">SUM(H7:H14)</f>
        <v>2311631995</v>
      </c>
      <c r="Q15" s="6">
        <f t="shared" si="4"/>
        <v>968140524</v>
      </c>
      <c r="R15" s="6">
        <f t="shared" si="4"/>
        <v>2653883469</v>
      </c>
      <c r="S15" s="6">
        <f t="shared" si="4"/>
        <v>492372094</v>
      </c>
      <c r="T15" s="6">
        <f t="shared" si="4"/>
        <v>47215368</v>
      </c>
      <c r="U15" s="6">
        <f t="shared" si="4"/>
        <v>7365823</v>
      </c>
      <c r="V15" s="6">
        <f t="shared" si="4"/>
        <v>9686497</v>
      </c>
    </row>
    <row r="16" spans="1:22" ht="12.75">
      <c r="A16">
        <f>'Purchased Power Model '!A136</f>
        <v>2013</v>
      </c>
      <c r="B16" s="6"/>
      <c r="C16" s="6">
        <f>'Purchased Power Model '!K136</f>
        <v>866587550.4760334</v>
      </c>
      <c r="G16" s="17">
        <f>C16/$F$19</f>
        <v>833726642.275979</v>
      </c>
      <c r="P16" s="6">
        <f>'[6]Data Input'!$E$129</f>
        <v>2311631995</v>
      </c>
      <c r="Q16" s="6">
        <f>'[6]Data Input'!$I$129</f>
        <v>968140524</v>
      </c>
      <c r="R16" s="6">
        <f>'[6]Data Input'!$M$129</f>
        <v>2653883469</v>
      </c>
      <c r="S16" s="6">
        <f>'[6]Data Input'!$AF$129</f>
        <v>492372094</v>
      </c>
      <c r="T16" s="6">
        <f>'[6]Data Input'!$R$129</f>
        <v>47215368</v>
      </c>
      <c r="U16" s="6">
        <f>'[6]Data Input'!$W$129</f>
        <v>7365823</v>
      </c>
      <c r="V16" s="6">
        <f>'[6]Data Input'!$AB$129</f>
        <v>9686497</v>
      </c>
    </row>
    <row r="17" spans="2:22" ht="12.75">
      <c r="B17" s="6"/>
      <c r="C17" s="6"/>
      <c r="G17" s="23"/>
      <c r="P17" s="6">
        <f>P15-P16</f>
        <v>0</v>
      </c>
      <c r="Q17" s="6">
        <f aca="true" t="shared" si="5" ref="Q17:V17">Q15-Q16</f>
        <v>0</v>
      </c>
      <c r="R17" s="6">
        <f t="shared" si="5"/>
        <v>0</v>
      </c>
      <c r="S17" s="6">
        <f t="shared" si="5"/>
        <v>0</v>
      </c>
      <c r="T17" s="6">
        <f t="shared" si="5"/>
        <v>0</v>
      </c>
      <c r="U17" s="6">
        <f t="shared" si="5"/>
        <v>0</v>
      </c>
      <c r="V17" s="6">
        <f t="shared" si="5"/>
        <v>0</v>
      </c>
    </row>
    <row r="18" spans="16:22" ht="12.75">
      <c r="P18" s="323" t="s">
        <v>125</v>
      </c>
      <c r="Q18" s="323"/>
      <c r="R18" s="323"/>
      <c r="S18" s="323"/>
      <c r="T18" s="323"/>
      <c r="U18" s="323"/>
      <c r="V18" s="323"/>
    </row>
    <row r="19" spans="1:6" ht="12.75">
      <c r="A19" s="15" t="s">
        <v>14</v>
      </c>
      <c r="F19" s="45">
        <f>AVERAGE(F7:F14)</f>
        <v>1.0394144873556492</v>
      </c>
    </row>
    <row r="20" spans="5:7" ht="12.75">
      <c r="E20" s="14"/>
      <c r="F20" s="14" t="s">
        <v>75</v>
      </c>
      <c r="G20" s="17"/>
    </row>
    <row r="22" spans="1:13" ht="12.75">
      <c r="A22" s="18" t="s">
        <v>16</v>
      </c>
      <c r="B22" s="11"/>
      <c r="H22" s="23"/>
      <c r="I22" s="23"/>
      <c r="J22" s="23"/>
      <c r="K22" s="23"/>
      <c r="L22" s="23"/>
      <c r="M22" s="23"/>
    </row>
    <row r="23" spans="8:13" ht="12.75">
      <c r="H23" s="23"/>
      <c r="I23" s="23"/>
      <c r="J23" s="23"/>
      <c r="K23" s="23"/>
      <c r="L23" s="23"/>
      <c r="M23" s="23"/>
    </row>
    <row r="24" spans="1:14" ht="12.75">
      <c r="A24">
        <f aca="true" t="shared" si="6" ref="A24:A33">A7</f>
        <v>2004</v>
      </c>
      <c r="H24" s="23">
        <f>H7/'Rate Class Customer Model'!B3</f>
        <v>9837.386120889241</v>
      </c>
      <c r="I24" s="23">
        <f>I7/'Rate Class Customer Model'!C3</f>
        <v>33369.77176121448</v>
      </c>
      <c r="J24" s="23">
        <f>J7/'Rate Class Customer Model'!D3</f>
        <v>833067.2511930586</v>
      </c>
      <c r="K24" s="23">
        <f>K7/'Rate Class Customer Model'!E3</f>
        <v>31655808.5</v>
      </c>
      <c r="L24" s="23">
        <f>L7/'Rate Class Customer Model'!F3</f>
        <v>741.5080232690301</v>
      </c>
      <c r="M24" s="23">
        <f>M7/'Rate Class Customer Model'!G3</f>
        <v>1484.6507528461257</v>
      </c>
      <c r="N24" s="23"/>
    </row>
    <row r="25" spans="1:14" ht="12.75">
      <c r="A25">
        <f t="shared" si="6"/>
        <v>2005</v>
      </c>
      <c r="H25" s="23">
        <f>H8/'Rate Class Customer Model'!B4</f>
        <v>10109.580572094412</v>
      </c>
      <c r="I25" s="23">
        <f>I8/'Rate Class Customer Model'!C4</f>
        <v>34680.07907742998</v>
      </c>
      <c r="J25" s="23">
        <f>J8/'Rate Class Customer Model'!D4</f>
        <v>860191.3263979193</v>
      </c>
      <c r="K25" s="23">
        <f>K8/'Rate Class Customer Model'!E4</f>
        <v>33260357.5</v>
      </c>
      <c r="L25" s="23">
        <f>L8/'Rate Class Customer Model'!F4</f>
        <v>731.5176241737872</v>
      </c>
      <c r="M25" s="23">
        <f>M8/'Rate Class Customer Model'!G4</f>
        <v>1433.2870553359685</v>
      </c>
      <c r="N25" s="23"/>
    </row>
    <row r="26" spans="1:14" ht="12.75">
      <c r="A26">
        <f t="shared" si="6"/>
        <v>2006</v>
      </c>
      <c r="H26" s="23">
        <f>H9/'Rate Class Customer Model'!B5</f>
        <v>9811.291974258118</v>
      </c>
      <c r="I26" s="23">
        <f>I9/'Rate Class Customer Model'!C5</f>
        <v>34430.3830553056</v>
      </c>
      <c r="J26" s="23">
        <f>J9/'Rate Class Customer Model'!D5</f>
        <v>866488.8355045264</v>
      </c>
      <c r="K26" s="23">
        <f>K9/'Rate Class Customer Model'!E5</f>
        <v>32550079</v>
      </c>
      <c r="L26" s="23">
        <f>L9/'Rate Class Customer Model'!F5</f>
        <v>761.1389289860193</v>
      </c>
      <c r="M26" s="23">
        <f>M9/'Rate Class Customer Model'!G5</f>
        <v>1595.4628390706725</v>
      </c>
      <c r="N26" s="23">
        <f>N9/'Rate Class Customer Model'!H5</f>
        <v>3184.8537859007834</v>
      </c>
    </row>
    <row r="27" spans="1:14" ht="12.75">
      <c r="A27">
        <f t="shared" si="6"/>
        <v>2007</v>
      </c>
      <c r="H27" s="23">
        <f>H10/'Rate Class Customer Model'!B6</f>
        <v>9529.64989648494</v>
      </c>
      <c r="I27" s="23">
        <f>I10/'Rate Class Customer Model'!C6</f>
        <v>34459.74743728548</v>
      </c>
      <c r="J27" s="23">
        <f>J10/'Rate Class Customer Model'!D6</f>
        <v>887786.1270546423</v>
      </c>
      <c r="K27" s="23">
        <f>K10/'Rate Class Customer Model'!E6</f>
        <v>31725050</v>
      </c>
      <c r="L27" s="23">
        <f>L10/'Rate Class Customer Model'!F6</f>
        <v>795.413705685888</v>
      </c>
      <c r="M27" s="23">
        <f>M10/'Rate Class Customer Model'!G6</f>
        <v>2316.2921215697843</v>
      </c>
      <c r="N27" s="23">
        <f>N10/'Rate Class Customer Model'!H6</f>
        <v>5774.731070496084</v>
      </c>
    </row>
    <row r="28" spans="1:14" ht="12.75">
      <c r="A28">
        <f t="shared" si="6"/>
        <v>2008</v>
      </c>
      <c r="H28" s="23">
        <f>H11/'Rate Class Customer Model'!B7</f>
        <v>9526.763343636874</v>
      </c>
      <c r="I28" s="23">
        <f>I11/'Rate Class Customer Model'!C7</f>
        <v>33464.93442510149</v>
      </c>
      <c r="J28" s="23">
        <f>J11/'Rate Class Customer Model'!D7</f>
        <v>917660.8517933679</v>
      </c>
      <c r="K28" s="23">
        <f>K11/'Rate Class Customer Model'!E7</f>
        <v>31640233</v>
      </c>
      <c r="L28" s="23">
        <f>L11/'Rate Class Customer Model'!F7</f>
        <v>692.2713084742988</v>
      </c>
      <c r="M28" s="23">
        <f>M11/'Rate Class Customer Model'!G7</f>
        <v>1404.6521256931608</v>
      </c>
      <c r="N28" s="23">
        <f>N11/'Rate Class Customer Model'!H7</f>
        <v>3724.031331592689</v>
      </c>
    </row>
    <row r="29" spans="1:14" ht="12.75">
      <c r="A29">
        <f t="shared" si="6"/>
        <v>2009</v>
      </c>
      <c r="H29" s="23">
        <f>H12/'Rate Class Customer Model'!B8</f>
        <v>9319.332124819131</v>
      </c>
      <c r="I29" s="23">
        <f>I12/'Rate Class Customer Model'!C8</f>
        <v>32385.578392318497</v>
      </c>
      <c r="J29" s="23">
        <f>J12/'Rate Class Customer Model'!D8</f>
        <v>901292.6198347107</v>
      </c>
      <c r="K29" s="23">
        <f>K12/'Rate Class Customer Model'!E8</f>
        <v>29259009</v>
      </c>
      <c r="L29" s="23">
        <f>L12/'Rate Class Customer Model'!F8</f>
        <v>692.2979547631941</v>
      </c>
      <c r="M29" s="23">
        <f>M12/'Rate Class Customer Model'!G8</f>
        <v>1873.237161897295</v>
      </c>
      <c r="N29" s="23">
        <f>N12/'Rate Class Customer Model'!H8</f>
        <v>4182.289817232376</v>
      </c>
    </row>
    <row r="30" spans="1:14" ht="12.75">
      <c r="A30">
        <f t="shared" si="6"/>
        <v>2010</v>
      </c>
      <c r="H30" s="23">
        <f>H13/'Rate Class Customer Model'!B9</f>
        <v>9344.086065507217</v>
      </c>
      <c r="I30" s="23">
        <f>I13/'Rate Class Customer Model'!C9</f>
        <v>32644.40717675657</v>
      </c>
      <c r="J30" s="23">
        <f>J13/'Rate Class Customer Model'!D9</f>
        <v>890581.4408602151</v>
      </c>
      <c r="K30" s="23">
        <f>K13/'Rate Class Customer Model'!E9</f>
        <v>27764570.5</v>
      </c>
      <c r="L30" s="23">
        <f>L13/'Rate Class Customer Model'!F9</f>
        <v>692.2034514828975</v>
      </c>
      <c r="M30" s="23">
        <f>M13/'Rate Class Customer Model'!G9</f>
        <v>1866.5278106508877</v>
      </c>
      <c r="N30" s="23">
        <f>N13/'Rate Class Customer Model'!H9</f>
        <v>4086.9697628888407</v>
      </c>
    </row>
    <row r="31" spans="1:14" ht="12.75">
      <c r="A31">
        <f>A14</f>
        <v>2011</v>
      </c>
      <c r="H31" s="23">
        <f>H14/'Rate Class Customer Model'!B10</f>
        <v>9428.054269188666</v>
      </c>
      <c r="I31" s="23">
        <f>I14/'Rate Class Customer Model'!C10</f>
        <v>32134.93180810085</v>
      </c>
      <c r="J31" s="23">
        <f>J14/'Rate Class Customer Model'!D10</f>
        <v>888857.6591639871</v>
      </c>
      <c r="K31" s="23">
        <f>K14/'Rate Class Customer Model'!E10</f>
        <v>28330939.5</v>
      </c>
      <c r="L31" s="23">
        <f>L14/'Rate Class Customer Model'!F10</f>
        <v>690.491775051502</v>
      </c>
      <c r="M31" s="23">
        <f>M14/'Rate Class Customer Model'!G10</f>
        <v>1849.583634175692</v>
      </c>
      <c r="N31" s="23">
        <f>N14/'Rate Class Customer Model'!H10</f>
        <v>4326.0546875</v>
      </c>
    </row>
    <row r="32" spans="1:14" ht="12.75">
      <c r="A32">
        <f t="shared" si="6"/>
        <v>2012</v>
      </c>
      <c r="H32" s="17">
        <f aca="true" t="shared" si="7" ref="H32:N32">H31*H44</f>
        <v>9370.985532776003</v>
      </c>
      <c r="I32" s="17">
        <f t="shared" si="7"/>
        <v>31962.296430532064</v>
      </c>
      <c r="J32" s="17">
        <f t="shared" si="7"/>
        <v>897127.0584248513</v>
      </c>
      <c r="K32" s="17">
        <f t="shared" si="7"/>
        <v>27885365.632872652</v>
      </c>
      <c r="L32" s="17">
        <f t="shared" si="7"/>
        <v>683.496085955129</v>
      </c>
      <c r="M32" s="17">
        <f t="shared" si="7"/>
        <v>1908.5768038028</v>
      </c>
      <c r="N32" s="17">
        <f t="shared" si="7"/>
        <v>4326.0546875</v>
      </c>
    </row>
    <row r="33" spans="1:14" ht="12.75">
      <c r="A33">
        <f t="shared" si="6"/>
        <v>2013</v>
      </c>
      <c r="H33" s="17">
        <f aca="true" t="shared" si="8" ref="H33:N33">H32*H44</f>
        <v>9314.262237806797</v>
      </c>
      <c r="I33" s="17">
        <f t="shared" si="8"/>
        <v>31790.58848525927</v>
      </c>
      <c r="J33" s="17">
        <f t="shared" si="8"/>
        <v>905473.3912233078</v>
      </c>
      <c r="K33" s="17">
        <f t="shared" si="8"/>
        <v>27446799.513266943</v>
      </c>
      <c r="L33" s="17">
        <f t="shared" si="8"/>
        <v>676.571273395887</v>
      </c>
      <c r="M33" s="17">
        <f t="shared" si="8"/>
        <v>1969.4515828896522</v>
      </c>
      <c r="N33" s="17">
        <f t="shared" si="8"/>
        <v>4326.0546875</v>
      </c>
    </row>
    <row r="35" spans="1:14" ht="12.75">
      <c r="A35" s="32">
        <v>2004</v>
      </c>
      <c r="D35" s="6"/>
      <c r="H35" s="21"/>
      <c r="I35" s="21"/>
      <c r="J35" s="21"/>
      <c r="K35" s="21"/>
      <c r="L35" s="21"/>
      <c r="M35" s="21"/>
      <c r="N35" s="21"/>
    </row>
    <row r="36" spans="1:14" ht="12.75">
      <c r="A36" s="32">
        <v>2005</v>
      </c>
      <c r="D36" s="6"/>
      <c r="H36" s="21">
        <f aca="true" t="shared" si="9" ref="H36:M37">H25/H24</f>
        <v>1.027669387768279</v>
      </c>
      <c r="I36" s="21">
        <f t="shared" si="9"/>
        <v>1.039266295424246</v>
      </c>
      <c r="J36" s="21">
        <f t="shared" si="9"/>
        <v>1.0325592863793598</v>
      </c>
      <c r="K36" s="21">
        <f aca="true" t="shared" si="10" ref="K36:K42">K25/K24</f>
        <v>1.0506873485793295</v>
      </c>
      <c r="L36" s="21">
        <f t="shared" si="9"/>
        <v>0.9865269170639598</v>
      </c>
      <c r="M36" s="21">
        <f t="shared" si="9"/>
        <v>0.9654035149938858</v>
      </c>
      <c r="N36" s="21"/>
    </row>
    <row r="37" spans="1:14" ht="12.75">
      <c r="A37" s="32">
        <v>2006</v>
      </c>
      <c r="D37" s="6"/>
      <c r="H37" s="21">
        <f t="shared" si="9"/>
        <v>0.970494463572538</v>
      </c>
      <c r="I37" s="21">
        <f t="shared" si="9"/>
        <v>0.9928000157794656</v>
      </c>
      <c r="J37" s="21">
        <f t="shared" si="9"/>
        <v>1.0073210562735828</v>
      </c>
      <c r="K37" s="21">
        <f t="shared" si="10"/>
        <v>0.9786448927976796</v>
      </c>
      <c r="L37" s="21">
        <f t="shared" si="9"/>
        <v>1.040492947583714</v>
      </c>
      <c r="M37" s="21">
        <f t="shared" si="9"/>
        <v>1.1131495488855088</v>
      </c>
      <c r="N37" s="21"/>
    </row>
    <row r="38" spans="1:14" ht="12.75">
      <c r="A38" s="32">
        <v>2007</v>
      </c>
      <c r="D38" s="6"/>
      <c r="H38" s="21">
        <f aca="true" t="shared" si="11" ref="H38:N39">H27/H26</f>
        <v>0.9712940886366319</v>
      </c>
      <c r="I38" s="21">
        <f t="shared" si="11"/>
        <v>1.0008528624829038</v>
      </c>
      <c r="J38" s="21">
        <f t="shared" si="11"/>
        <v>1.0245788412700265</v>
      </c>
      <c r="K38" s="21">
        <f t="shared" si="10"/>
        <v>0.9746535484598977</v>
      </c>
      <c r="L38" s="21">
        <f t="shared" si="11"/>
        <v>1.0450309074921829</v>
      </c>
      <c r="M38" s="21">
        <f t="shared" si="11"/>
        <v>1.4517994809073593</v>
      </c>
      <c r="N38" s="21">
        <f t="shared" si="11"/>
        <v>1.8131856150070627</v>
      </c>
    </row>
    <row r="39" spans="1:14" ht="12.75">
      <c r="A39" s="32">
        <v>2008</v>
      </c>
      <c r="D39" s="6"/>
      <c r="H39" s="21">
        <f t="shared" si="11"/>
        <v>0.9996970977024948</v>
      </c>
      <c r="I39" s="21">
        <f t="shared" si="11"/>
        <v>0.9711311577661884</v>
      </c>
      <c r="J39" s="21">
        <f t="shared" si="11"/>
        <v>1.0336508127670785</v>
      </c>
      <c r="K39" s="21">
        <f t="shared" si="10"/>
        <v>0.9973264975153704</v>
      </c>
      <c r="L39" s="21">
        <f t="shared" si="11"/>
        <v>0.8703286145633496</v>
      </c>
      <c r="M39" s="21">
        <f t="shared" si="11"/>
        <v>0.6064227014428595</v>
      </c>
      <c r="N39" s="21">
        <f>N28/N27</f>
        <v>0.6448839411101395</v>
      </c>
    </row>
    <row r="40" spans="1:14" ht="12.75">
      <c r="A40" s="32">
        <v>2009</v>
      </c>
      <c r="D40" s="6"/>
      <c r="H40" s="21">
        <f aca="true" t="shared" si="12" ref="H40:N40">H29/H28</f>
        <v>0.9782264751064389</v>
      </c>
      <c r="I40" s="21">
        <f t="shared" si="12"/>
        <v>0.9677466562739359</v>
      </c>
      <c r="J40" s="21">
        <f t="shared" si="12"/>
        <v>0.9821630922506185</v>
      </c>
      <c r="K40" s="21">
        <f t="shared" si="12"/>
        <v>0.9247406300705814</v>
      </c>
      <c r="L40" s="21">
        <f t="shared" si="12"/>
        <v>1.0000384911068378</v>
      </c>
      <c r="M40" s="21">
        <f t="shared" si="12"/>
        <v>1.3335950785486472</v>
      </c>
      <c r="N40" s="21">
        <f t="shared" si="12"/>
        <v>1.123054411962667</v>
      </c>
    </row>
    <row r="41" spans="1:14" ht="12.75">
      <c r="A41" s="32">
        <v>2010</v>
      </c>
      <c r="D41" s="6"/>
      <c r="H41" s="21">
        <f aca="true" t="shared" si="13" ref="H41:N42">H30/H29</f>
        <v>1.0026561925636455</v>
      </c>
      <c r="I41" s="21">
        <f t="shared" si="13"/>
        <v>1.0079921001040224</v>
      </c>
      <c r="J41" s="21">
        <f t="shared" si="13"/>
        <v>0.9881157587016968</v>
      </c>
      <c r="K41" s="21">
        <f t="shared" si="10"/>
        <v>0.9489238169344697</v>
      </c>
      <c r="L41" s="21">
        <f t="shared" si="13"/>
        <v>0.999863493341781</v>
      </c>
      <c r="M41" s="21">
        <f t="shared" si="13"/>
        <v>0.9964183119025827</v>
      </c>
      <c r="N41" s="21">
        <f t="shared" si="13"/>
        <v>0.9772086444246915</v>
      </c>
    </row>
    <row r="42" spans="1:14" ht="12.75">
      <c r="A42" s="32">
        <v>2011</v>
      </c>
      <c r="D42" s="6"/>
      <c r="H42" s="21">
        <f t="shared" si="13"/>
        <v>1.0089862403977001</v>
      </c>
      <c r="I42" s="21">
        <f t="shared" si="13"/>
        <v>0.9843931805562555</v>
      </c>
      <c r="J42" s="21">
        <f t="shared" si="13"/>
        <v>0.9980644311489772</v>
      </c>
      <c r="K42" s="21">
        <f t="shared" si="10"/>
        <v>1.0203989829412272</v>
      </c>
      <c r="L42" s="21">
        <f t="shared" si="13"/>
        <v>0.9975272061592172</v>
      </c>
      <c r="M42" s="21">
        <f t="shared" si="13"/>
        <v>0.9909220873225097</v>
      </c>
      <c r="N42" s="21">
        <f t="shared" si="13"/>
        <v>1.0584993133010516</v>
      </c>
    </row>
    <row r="43" spans="1:6" ht="12.75">
      <c r="A43" s="3"/>
      <c r="D43" s="6"/>
      <c r="E43" s="6"/>
      <c r="F43" s="6"/>
    </row>
    <row r="44" spans="1:14" ht="12.75">
      <c r="A44" t="s">
        <v>18</v>
      </c>
      <c r="D44" s="6"/>
      <c r="H44" s="21">
        <f aca="true" t="shared" si="14" ref="H44:M44">H46</f>
        <v>0.9939469232162604</v>
      </c>
      <c r="I44" s="21">
        <f t="shared" si="14"/>
        <v>0.9946277969843003</v>
      </c>
      <c r="J44" s="21">
        <f t="shared" si="14"/>
        <v>1.0093034010289588</v>
      </c>
      <c r="K44" s="21">
        <f t="shared" si="14"/>
        <v>0.9842725347273659</v>
      </c>
      <c r="L44" s="21">
        <f t="shared" si="14"/>
        <v>0.9898685410179561</v>
      </c>
      <c r="M44" s="21">
        <f t="shared" si="14"/>
        <v>1.0318953782554416</v>
      </c>
      <c r="N44" s="21">
        <v>1</v>
      </c>
    </row>
    <row r="45" spans="1:14" ht="12.75">
      <c r="A45" s="3"/>
      <c r="D45" s="6"/>
      <c r="H45" s="11"/>
      <c r="I45" s="11"/>
      <c r="L45" s="10"/>
      <c r="M45" s="10"/>
      <c r="N45" s="10"/>
    </row>
    <row r="46" spans="1:14" ht="12.75">
      <c r="A46" t="s">
        <v>15</v>
      </c>
      <c r="D46" s="6"/>
      <c r="H46" s="21">
        <f aca="true" t="shared" si="15" ref="H46:N46">GEOMEAN(H35:H42)</f>
        <v>0.9939469232162604</v>
      </c>
      <c r="I46" s="21">
        <f t="shared" si="15"/>
        <v>0.9946277969843003</v>
      </c>
      <c r="J46" s="21">
        <f t="shared" si="15"/>
        <v>1.0093034010289588</v>
      </c>
      <c r="K46" s="21">
        <f t="shared" si="15"/>
        <v>0.9842725347273659</v>
      </c>
      <c r="L46" s="21">
        <f t="shared" si="15"/>
        <v>0.9898685410179561</v>
      </c>
      <c r="M46" s="21">
        <f t="shared" si="15"/>
        <v>1.0318953782554416</v>
      </c>
      <c r="N46" s="21">
        <f t="shared" si="15"/>
        <v>1.0631645845637558</v>
      </c>
    </row>
    <row r="47" spans="4:14" ht="12.75">
      <c r="D47" s="6"/>
      <c r="H47" s="21"/>
      <c r="I47" s="21"/>
      <c r="J47" s="21"/>
      <c r="K47" s="21"/>
      <c r="L47" s="21"/>
      <c r="M47" s="21"/>
      <c r="N47" s="21"/>
    </row>
    <row r="48" ht="12.75">
      <c r="A48" s="15" t="s">
        <v>45</v>
      </c>
    </row>
    <row r="49" spans="1:14" ht="12.75">
      <c r="A49">
        <v>2012</v>
      </c>
      <c r="B49">
        <v>2012</v>
      </c>
      <c r="C49">
        <v>2012</v>
      </c>
      <c r="G49" s="31">
        <f>SUM(H49:N49)</f>
        <v>821484958.3554747</v>
      </c>
      <c r="H49" s="31">
        <f>H32*'Rate Class Customer Model'!B11</f>
        <v>294672137.17815745</v>
      </c>
      <c r="I49" s="31">
        <f>I32*'Rate Class Customer Model'!C11</f>
        <v>113727692.31874664</v>
      </c>
      <c r="J49" s="31">
        <f>J32*'Rate Class Customer Model'!D11</f>
        <v>349349539.6264657</v>
      </c>
      <c r="K49" s="31">
        <f>K32*'Rate Class Customer Model'!E11</f>
        <v>55770731.265745305</v>
      </c>
      <c r="L49" s="31">
        <f>L32*'Rate Class Customer Model'!F11</f>
        <v>5563777.407885087</v>
      </c>
      <c r="M49" s="31">
        <f>M32*'Rate Class Customer Model'!G11</f>
        <v>739008.9930579921</v>
      </c>
      <c r="N49" s="31">
        <f>N32*'Rate Class Customer Model'!H11</f>
        <v>1662071.5654167188</v>
      </c>
    </row>
    <row r="50" spans="1:14" ht="12.75">
      <c r="A50">
        <v>2013</v>
      </c>
      <c r="G50" s="31">
        <f>SUM(H50:N50)</f>
        <v>824540960.4145377</v>
      </c>
      <c r="H50" s="31">
        <f>H33*'Rate Class Customer Model'!B12</f>
        <v>295806943.82451946</v>
      </c>
      <c r="I50" s="31">
        <f>I33*'Rate Class Customer Model'!C12</f>
        <v>112755450.85494983</v>
      </c>
      <c r="J50" s="31">
        <f>J33*'Rate Class Customer Model'!D12</f>
        <v>353197588.3181669</v>
      </c>
      <c r="K50" s="31">
        <f>K33*'Rate Class Customer Model'!E12</f>
        <v>54893599.02653389</v>
      </c>
      <c r="L50" s="31">
        <f>L33*'Rate Class Customer Model'!F12</f>
        <v>5513791.960354303</v>
      </c>
      <c r="M50" s="31">
        <f>M33*'Rate Class Customer Model'!G12</f>
        <v>710647.8471371414</v>
      </c>
      <c r="N50" s="31">
        <f>N33*'Rate Class Customer Model'!H12</f>
        <v>1662938.5828761542</v>
      </c>
    </row>
    <row r="51" spans="7:14" ht="12.75">
      <c r="G51" s="31"/>
      <c r="H51" s="31"/>
      <c r="I51" s="31"/>
      <c r="J51" s="31"/>
      <c r="K51" s="31"/>
      <c r="L51" s="31"/>
      <c r="M51" s="31"/>
      <c r="N51" s="31"/>
    </row>
    <row r="52" spans="1:15" ht="12.75">
      <c r="A52" s="15" t="s">
        <v>44</v>
      </c>
      <c r="G52" s="31"/>
      <c r="H52" s="31"/>
      <c r="I52" s="31"/>
      <c r="J52" s="31"/>
      <c r="K52" s="31"/>
      <c r="L52" s="31"/>
      <c r="M52" s="31"/>
      <c r="O52" s="31" t="s">
        <v>17</v>
      </c>
    </row>
    <row r="53" spans="1:16" ht="12.75">
      <c r="A53">
        <v>2012</v>
      </c>
      <c r="G53" s="50">
        <f>G15</f>
        <v>827144946.0046225</v>
      </c>
      <c r="H53" s="31">
        <f>H49+H61-H65</f>
        <v>294333518.3800358</v>
      </c>
      <c r="I53" s="31">
        <f aca="true" t="shared" si="16" ref="I53:N53">I49+I61-I65</f>
        <v>113597003.56461161</v>
      </c>
      <c r="J53" s="31">
        <f t="shared" si="16"/>
        <v>348573780.5421628</v>
      </c>
      <c r="K53" s="31">
        <f t="shared" si="16"/>
        <v>55262515.82851032</v>
      </c>
      <c r="L53" s="31">
        <f t="shared" si="16"/>
        <v>5513077.022506365</v>
      </c>
      <c r="M53" s="31">
        <f t="shared" si="16"/>
        <v>732274.7120112196</v>
      </c>
      <c r="N53" s="31">
        <f t="shared" si="16"/>
        <v>1646925.7997406481</v>
      </c>
      <c r="O53" s="31">
        <f>SUM(H53:N53)</f>
        <v>819659095.8495787</v>
      </c>
      <c r="P53" s="6">
        <f>G53-O53</f>
        <v>7485850.155043721</v>
      </c>
    </row>
    <row r="54" spans="1:16" ht="12.75">
      <c r="A54">
        <v>2013</v>
      </c>
      <c r="G54" s="50">
        <f>G16</f>
        <v>833726642.275979</v>
      </c>
      <c r="H54" s="31">
        <f>H50+H62-H66</f>
        <v>294240107.23884034</v>
      </c>
      <c r="I54" s="31">
        <f aca="true" t="shared" si="17" ref="I54:N54">I50+I62-I66</f>
        <v>112158205.35641587</v>
      </c>
      <c r="J54" s="31">
        <f t="shared" si="17"/>
        <v>350715604.9993504</v>
      </c>
      <c r="K54" s="31">
        <f t="shared" si="17"/>
        <v>53896861.989778064</v>
      </c>
      <c r="L54" s="31">
        <f t="shared" si="17"/>
        <v>5413674.628692462</v>
      </c>
      <c r="M54" s="31">
        <f t="shared" si="17"/>
        <v>697744.1745433661</v>
      </c>
      <c r="N54" s="31">
        <f t="shared" si="17"/>
        <v>1632743.5782709413</v>
      </c>
      <c r="O54" s="31">
        <f>SUM(H54:N54)</f>
        <v>818754941.9658915</v>
      </c>
      <c r="P54" s="6">
        <f>G54-O54</f>
        <v>14971700.310087562</v>
      </c>
    </row>
    <row r="55" spans="7:15" ht="12.75">
      <c r="G55" s="31"/>
      <c r="H55" s="31"/>
      <c r="I55" s="31"/>
      <c r="J55" s="31"/>
      <c r="K55" s="31"/>
      <c r="L55" s="31"/>
      <c r="M55" s="31"/>
      <c r="O55" s="31"/>
    </row>
    <row r="56" spans="1:15" ht="12.75">
      <c r="A56" s="44" t="s">
        <v>46</v>
      </c>
      <c r="G56" s="31"/>
      <c r="H56" s="51">
        <f>(100%+J56)/2</f>
        <v>0.8814104069515697</v>
      </c>
      <c r="I56" s="51">
        <f>H56</f>
        <v>0.8814104069515697</v>
      </c>
      <c r="J56" s="51">
        <v>0.7628208139031394</v>
      </c>
      <c r="K56" s="51"/>
      <c r="L56" s="51"/>
      <c r="M56" s="51"/>
      <c r="N56" s="51"/>
      <c r="O56" s="31" t="s">
        <v>17</v>
      </c>
    </row>
    <row r="57" spans="1:15" ht="12.75">
      <c r="A57">
        <v>2012</v>
      </c>
      <c r="G57" s="31">
        <f>G53-G49</f>
        <v>5659987.649147749</v>
      </c>
      <c r="H57" s="31">
        <f aca="true" t="shared" si="18" ref="H57:N57">H49*H56</f>
        <v>259727088.34748852</v>
      </c>
      <c r="I57" s="31">
        <f t="shared" si="18"/>
        <v>100240771.56832938</v>
      </c>
      <c r="J57" s="31">
        <f t="shared" si="18"/>
        <v>266491100.1545476</v>
      </c>
      <c r="K57" s="31">
        <f t="shared" si="18"/>
        <v>0</v>
      </c>
      <c r="L57" s="31">
        <f t="shared" si="18"/>
        <v>0</v>
      </c>
      <c r="M57" s="31">
        <f t="shared" si="18"/>
        <v>0</v>
      </c>
      <c r="N57" s="31">
        <f t="shared" si="18"/>
        <v>0</v>
      </c>
      <c r="O57" s="31">
        <f>SUM(H57:N57)</f>
        <v>626458960.0703655</v>
      </c>
    </row>
    <row r="58" spans="1:15" ht="12.75">
      <c r="A58">
        <v>2013</v>
      </c>
      <c r="G58" s="31">
        <f>G54-G50</f>
        <v>9185681.861441374</v>
      </c>
      <c r="H58" s="31">
        <f aca="true" t="shared" si="19" ref="H58:N58">H50*H56</f>
        <v>260727318.73546982</v>
      </c>
      <c r="I58" s="31">
        <f t="shared" si="19"/>
        <v>99383827.82406905</v>
      </c>
      <c r="J58" s="31">
        <f t="shared" si="19"/>
        <v>269426471.78949004</v>
      </c>
      <c r="K58" s="31">
        <f t="shared" si="19"/>
        <v>0</v>
      </c>
      <c r="L58" s="31">
        <f t="shared" si="19"/>
        <v>0</v>
      </c>
      <c r="M58" s="31">
        <f t="shared" si="19"/>
        <v>0</v>
      </c>
      <c r="N58" s="31">
        <f t="shared" si="19"/>
        <v>0</v>
      </c>
      <c r="O58" s="31">
        <f>SUM(H58:N58)</f>
        <v>629537618.3490288</v>
      </c>
    </row>
    <row r="59" spans="7:15" ht="12" customHeight="1">
      <c r="G59" s="31"/>
      <c r="H59" s="31"/>
      <c r="I59" s="31"/>
      <c r="J59" s="31"/>
      <c r="K59" s="31"/>
      <c r="L59" s="31"/>
      <c r="M59" s="31"/>
      <c r="O59" s="31"/>
    </row>
    <row r="60" spans="1:15" ht="12.75">
      <c r="A60" t="s">
        <v>47</v>
      </c>
      <c r="G60" s="31"/>
      <c r="H60" s="31"/>
      <c r="I60" s="31"/>
      <c r="J60" s="31"/>
      <c r="K60" s="31"/>
      <c r="L60" s="31"/>
      <c r="M60" s="31"/>
      <c r="O60" s="31"/>
    </row>
    <row r="61" spans="1:15" ht="12.75">
      <c r="A61">
        <v>2012</v>
      </c>
      <c r="G61" s="31"/>
      <c r="H61" s="31">
        <f aca="true" t="shared" si="20" ref="H61:N61">H57/$O$57*$G$57</f>
        <v>2346605.6132883327</v>
      </c>
      <c r="I61" s="31">
        <f t="shared" si="20"/>
        <v>905664.3214969063</v>
      </c>
      <c r="J61" s="31">
        <f t="shared" si="20"/>
        <v>2407717.7143625095</v>
      </c>
      <c r="K61" s="31">
        <f t="shared" si="20"/>
        <v>0</v>
      </c>
      <c r="L61" s="31">
        <f t="shared" si="20"/>
        <v>0</v>
      </c>
      <c r="M61" s="31">
        <f t="shared" si="20"/>
        <v>0</v>
      </c>
      <c r="N61" s="31">
        <f t="shared" si="20"/>
        <v>0</v>
      </c>
      <c r="O61" s="31">
        <f>SUM(H61:N61)</f>
        <v>5659987.649147749</v>
      </c>
    </row>
    <row r="62" spans="1:15" ht="12.75">
      <c r="A62">
        <v>2013</v>
      </c>
      <c r="H62" s="31">
        <f aca="true" t="shared" si="21" ref="H62:N62">H58/$O$58*$G$58</f>
        <v>3804313.090568694</v>
      </c>
      <c r="I62" s="31">
        <f t="shared" si="21"/>
        <v>1450124.9773735176</v>
      </c>
      <c r="J62" s="31">
        <f t="shared" si="21"/>
        <v>3931243.7934991634</v>
      </c>
      <c r="K62" s="31">
        <f t="shared" si="21"/>
        <v>0</v>
      </c>
      <c r="L62" s="31">
        <f t="shared" si="21"/>
        <v>0</v>
      </c>
      <c r="M62" s="31">
        <f t="shared" si="21"/>
        <v>0</v>
      </c>
      <c r="N62" s="31">
        <f t="shared" si="21"/>
        <v>0</v>
      </c>
      <c r="O62" s="31">
        <f>SUM(H62:N62)</f>
        <v>9185681.861441374</v>
      </c>
    </row>
    <row r="64" ht="12.75">
      <c r="A64" t="s">
        <v>126</v>
      </c>
    </row>
    <row r="65" spans="1:15" ht="12.75">
      <c r="A65">
        <v>2012</v>
      </c>
      <c r="F65" s="1">
        <f>G65/'CDM Activity '!Q28</f>
        <v>1.594488019296112</v>
      </c>
      <c r="G65" s="6">
        <f>'CDM Activity '!Q32*(1+'CDM Activity '!E12)</f>
        <v>7485850.155043818</v>
      </c>
      <c r="H65" s="6">
        <f>H49/$G$49*$G$65</f>
        <v>2685224.4114099457</v>
      </c>
      <c r="I65" s="6">
        <f aca="true" t="shared" si="22" ref="I65:N65">I49/$G$49*$G$65</f>
        <v>1036353.0756319312</v>
      </c>
      <c r="J65" s="6">
        <f t="shared" si="22"/>
        <v>3183476.7986653983</v>
      </c>
      <c r="K65" s="6">
        <f t="shared" si="22"/>
        <v>508215.43723497965</v>
      </c>
      <c r="L65" s="6">
        <f t="shared" si="22"/>
        <v>50700.38537872189</v>
      </c>
      <c r="M65" s="6">
        <f t="shared" si="22"/>
        <v>6734.281046772471</v>
      </c>
      <c r="N65" s="6">
        <f t="shared" si="22"/>
        <v>15145.765676070636</v>
      </c>
      <c r="O65" s="31">
        <f>SUM(H65:N65)</f>
        <v>7485850.15504382</v>
      </c>
    </row>
    <row r="66" spans="1:15" ht="12.75">
      <c r="A66">
        <v>2013</v>
      </c>
      <c r="G66" s="6">
        <f>'CDM Activity '!R32*(1+'CDM Activity '!E12)</f>
        <v>14971700.310087636</v>
      </c>
      <c r="H66" s="6">
        <f>H50/$G$50*$G$66</f>
        <v>5371149.676247848</v>
      </c>
      <c r="I66" s="6">
        <f aca="true" t="shared" si="23" ref="I66:N66">I50/$G$50*$G$66</f>
        <v>2047370.475907481</v>
      </c>
      <c r="J66" s="6">
        <f t="shared" si="23"/>
        <v>6413227.1123156585</v>
      </c>
      <c r="K66" s="6">
        <f t="shared" si="23"/>
        <v>996737.0367558196</v>
      </c>
      <c r="L66" s="6">
        <f t="shared" si="23"/>
        <v>100117.33166184106</v>
      </c>
      <c r="M66" s="6">
        <f t="shared" si="23"/>
        <v>12903.67259377532</v>
      </c>
      <c r="N66" s="6">
        <f t="shared" si="23"/>
        <v>30195.004605212875</v>
      </c>
      <c r="O66" s="31">
        <f>SUM(H66:N66)</f>
        <v>14971700.310087636</v>
      </c>
    </row>
  </sheetData>
  <sheetProtection/>
  <mergeCells count="1">
    <mergeCell ref="P18:V18"/>
  </mergeCells>
  <printOptions/>
  <pageMargins left="0.38" right="0.75" top="0.73" bottom="0.74" header="0.5" footer="0.5"/>
  <pageSetup fitToHeight="1" fitToWidth="1" horizontalDpi="600" verticalDpi="600" orientation="portrait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80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E25" sqref="E25"/>
    </sheetView>
  </sheetViews>
  <sheetFormatPr defaultColWidth="9.140625" defaultRowHeight="12.75"/>
  <cols>
    <col min="1" max="1" width="11.00390625" style="0" customWidth="1"/>
    <col min="2" max="2" width="15.00390625" style="6" customWidth="1"/>
    <col min="3" max="4" width="14.140625" style="6" bestFit="1" customWidth="1"/>
    <col min="5" max="5" width="14.140625" style="6" customWidth="1"/>
    <col min="6" max="6" width="17.57421875" style="6" customWidth="1"/>
    <col min="7" max="8" width="12.57421875" style="6" customWidth="1"/>
    <col min="9" max="10" width="12.7109375" style="6" bestFit="1" customWidth="1"/>
    <col min="11" max="11" width="11.7109375" style="6" bestFit="1" customWidth="1"/>
    <col min="12" max="12" width="10.7109375" style="6" bestFit="1" customWidth="1"/>
    <col min="13" max="14" width="9.7109375" style="6" bestFit="1" customWidth="1"/>
  </cols>
  <sheetData>
    <row r="2" spans="2:9" ht="42" customHeight="1">
      <c r="B2" s="9" t="str">
        <f>'Rate Class Energy Model'!H2</f>
        <v>Residential </v>
      </c>
      <c r="C2" s="9" t="str">
        <f>'Rate Class Energy Model'!I2</f>
        <v>General Service
&lt; 50 kW</v>
      </c>
      <c r="D2" s="9" t="str">
        <f>'Rate Class Energy Model'!J2</f>
        <v>General Service
&gt; 50 kW</v>
      </c>
      <c r="E2" s="9" t="str">
        <f>'Rate Class Energy Model'!K2</f>
        <v>Large User</v>
      </c>
      <c r="F2" s="9" t="str">
        <f>'Rate Class Energy Model'!L2</f>
        <v>Street Lighting </v>
      </c>
      <c r="G2" s="9" t="str">
        <f>'Rate Class Energy Model'!M2</f>
        <v>Sentinel Lighting</v>
      </c>
      <c r="H2" s="9" t="str">
        <f>'Rate Class Energy Model'!N2</f>
        <v>Unmetered Scattered Loads </v>
      </c>
      <c r="I2" s="6" t="s">
        <v>10</v>
      </c>
    </row>
    <row r="3" spans="1:18" ht="12.75">
      <c r="A3" s="4">
        <v>2004</v>
      </c>
      <c r="B3" s="33">
        <f>AVERAGE('[6]Data Input'!$F$32:$F$43)</f>
        <v>29047.25</v>
      </c>
      <c r="C3" s="33">
        <f>AVERAGE('[6]Data Input'!$J$32:$J$43)</f>
        <v>3650.4166666666665</v>
      </c>
      <c r="D3" s="33">
        <f>AVERAGE('[6]Data Input'!$O$32:$O$43)</f>
        <v>384.1666666666667</v>
      </c>
      <c r="E3" s="33">
        <f>AVERAGE('[6]Data Input'!$AH$32:$AH$43)</f>
        <v>2</v>
      </c>
      <c r="F3" s="33">
        <f>AVERAGE('[6]Data Input'!$T$32:$T$43)</f>
        <v>8065.083333333333</v>
      </c>
      <c r="G3" s="33">
        <f>AVERAGE('[6]Data Input'!$Y$32:$Y$43)</f>
        <v>680.75</v>
      </c>
      <c r="H3" s="33"/>
      <c r="I3" s="33">
        <f aca="true" t="shared" si="0" ref="I3:I12">SUM(B3:H3)</f>
        <v>41829.66666666667</v>
      </c>
      <c r="K3" s="6">
        <f>B3*12</f>
        <v>348567</v>
      </c>
      <c r="L3" s="6">
        <f aca="true" t="shared" si="1" ref="L3:Q10">C3*12</f>
        <v>43805</v>
      </c>
      <c r="M3" s="6">
        <f t="shared" si="1"/>
        <v>4610</v>
      </c>
      <c r="N3" s="6">
        <f t="shared" si="1"/>
        <v>24</v>
      </c>
      <c r="O3" s="6">
        <f t="shared" si="1"/>
        <v>96781</v>
      </c>
      <c r="P3" s="6">
        <f t="shared" si="1"/>
        <v>8169</v>
      </c>
      <c r="Q3" s="6">
        <f t="shared" si="1"/>
        <v>0</v>
      </c>
      <c r="R3" s="6"/>
    </row>
    <row r="4" spans="1:18" ht="12.75">
      <c r="A4" s="4">
        <v>2005</v>
      </c>
      <c r="B4" s="33">
        <f>AVERAGE('[6]Data Input'!$F$44:$F$55)</f>
        <v>29322.083333333332</v>
      </c>
      <c r="C4" s="33">
        <f>AVERAGE('[6]Data Input'!$J$44:$J$55)</f>
        <v>3642</v>
      </c>
      <c r="D4" s="33">
        <f>AVERAGE('[6]Data Input'!$O$44:$O$55)</f>
        <v>384.5</v>
      </c>
      <c r="E4" s="33">
        <f>AVERAGE('[6]Data Input'!$AH$44:$AH$55)</f>
        <v>2</v>
      </c>
      <c r="F4" s="33">
        <f>AVERAGE('[6]Data Input'!$T$44:$T$55)</f>
        <v>8182.416666666667</v>
      </c>
      <c r="G4" s="33">
        <f>AVERAGE('[6]Data Input'!$Y$44:$Y$55)</f>
        <v>674.6666666666666</v>
      </c>
      <c r="H4" s="33"/>
      <c r="I4" s="33">
        <f t="shared" si="0"/>
        <v>42207.66666666666</v>
      </c>
      <c r="K4" s="6">
        <f aca="true" t="shared" si="2" ref="K4:K10">B4*12</f>
        <v>351865</v>
      </c>
      <c r="L4" s="6">
        <f t="shared" si="1"/>
        <v>43704</v>
      </c>
      <c r="M4" s="6">
        <f t="shared" si="1"/>
        <v>4614</v>
      </c>
      <c r="N4" s="6">
        <f t="shared" si="1"/>
        <v>24</v>
      </c>
      <c r="O4" s="6">
        <f t="shared" si="1"/>
        <v>98189</v>
      </c>
      <c r="P4" s="6">
        <f t="shared" si="1"/>
        <v>8096</v>
      </c>
      <c r="Q4" s="6">
        <f t="shared" si="1"/>
        <v>0</v>
      </c>
      <c r="R4" s="6"/>
    </row>
    <row r="5" spans="1:18" ht="12.75">
      <c r="A5" s="4">
        <v>2006</v>
      </c>
      <c r="B5" s="33">
        <f>AVERAGE('[6]Data Input'!$F$56:$F$67)</f>
        <v>29575.666666666668</v>
      </c>
      <c r="C5" s="33">
        <f>AVERAGE('[6]Data Input'!$J$56:$J$67)</f>
        <v>3611.75</v>
      </c>
      <c r="D5" s="33">
        <f>AVERAGE('[6]Data Input'!$O$56:$O$67)</f>
        <v>377.4166666666667</v>
      </c>
      <c r="E5" s="33">
        <f>AVERAGE('[6]Data Input'!$AH$56:$AH$67)</f>
        <v>2</v>
      </c>
      <c r="F5" s="33">
        <f>AVERAGE('[6]Data Input'!$T$56:$T$67)</f>
        <v>8255.416666666666</v>
      </c>
      <c r="G5" s="33">
        <f>AVERAGE('[6]Data Input'!$Y$56:$Y$67)</f>
        <v>685.0833333333334</v>
      </c>
      <c r="H5" s="33">
        <v>383</v>
      </c>
      <c r="I5" s="33">
        <f t="shared" si="0"/>
        <v>42890.333333333336</v>
      </c>
      <c r="K5" s="6">
        <f t="shared" si="2"/>
        <v>354908</v>
      </c>
      <c r="L5" s="6">
        <f t="shared" si="1"/>
        <v>43341</v>
      </c>
      <c r="M5" s="6">
        <f t="shared" si="1"/>
        <v>4529</v>
      </c>
      <c r="N5" s="6">
        <f t="shared" si="1"/>
        <v>24</v>
      </c>
      <c r="O5" s="6">
        <f t="shared" si="1"/>
        <v>99065</v>
      </c>
      <c r="P5" s="6">
        <f t="shared" si="1"/>
        <v>8221</v>
      </c>
      <c r="Q5" s="6">
        <f>H5*7</f>
        <v>2681</v>
      </c>
      <c r="R5" s="6"/>
    </row>
    <row r="6" spans="1:18" ht="12.75">
      <c r="A6" s="4">
        <v>2007</v>
      </c>
      <c r="B6" s="33">
        <f>AVERAGE('[6]Data Input'!$F$68:$F$79)</f>
        <v>29947.333333333332</v>
      </c>
      <c r="C6" s="33">
        <f>AVERAGE('[6]Data Input'!$J$68:$J$79)</f>
        <v>3617.5833333333335</v>
      </c>
      <c r="D6" s="33">
        <f>AVERAGE('[6]Data Input'!$O$68:$O$79)</f>
        <v>375.1666666666667</v>
      </c>
      <c r="E6" s="33">
        <f>AVERAGE('[6]Data Input'!$AH$68:$AH$79)</f>
        <v>2</v>
      </c>
      <c r="F6" s="33">
        <f>AVERAGE('[6]Data Input'!$T$68:$T$79)</f>
        <v>8283.666666666666</v>
      </c>
      <c r="G6" s="33">
        <f>AVERAGE('[6]Data Input'!$Y$68:$Y$79)</f>
        <v>564.8333333333334</v>
      </c>
      <c r="H6" s="33">
        <f>AVERAGE('[6]Data Input'!$AC$68:$AC$79)</f>
        <v>383</v>
      </c>
      <c r="I6" s="33">
        <f t="shared" si="0"/>
        <v>43173.58333333333</v>
      </c>
      <c r="K6" s="6">
        <f t="shared" si="2"/>
        <v>359368</v>
      </c>
      <c r="L6" s="6">
        <f t="shared" si="1"/>
        <v>43411</v>
      </c>
      <c r="M6" s="6">
        <f t="shared" si="1"/>
        <v>4502</v>
      </c>
      <c r="N6" s="6">
        <f t="shared" si="1"/>
        <v>24</v>
      </c>
      <c r="O6" s="6">
        <f t="shared" si="1"/>
        <v>99404</v>
      </c>
      <c r="P6" s="6">
        <f t="shared" si="1"/>
        <v>6778</v>
      </c>
      <c r="Q6" s="6">
        <f t="shared" si="1"/>
        <v>4596</v>
      </c>
      <c r="R6" s="6"/>
    </row>
    <row r="7" spans="1:18" ht="12.75">
      <c r="A7" s="4">
        <v>2008</v>
      </c>
      <c r="B7" s="33">
        <f>AVERAGE('[6]Data Input'!$F$80:$F$91)</f>
        <v>30248.5</v>
      </c>
      <c r="C7" s="33">
        <f>AVERAGE('[6]Data Input'!$J$80:$J$91)</f>
        <v>3633.25</v>
      </c>
      <c r="D7" s="33">
        <f>AVERAGE('[6]Data Input'!$O$80:$O$91)</f>
        <v>369.4166666666667</v>
      </c>
      <c r="E7" s="33">
        <f>AVERAGE('[6]Data Input'!$AH$80:$AH$91)</f>
        <v>2</v>
      </c>
      <c r="F7" s="33">
        <f>AVERAGE('[6]Data Input'!$T$80:$T$91)</f>
        <v>8148.166666666667</v>
      </c>
      <c r="G7" s="33">
        <f>AVERAGE('[6]Data Input'!$Y$80:$Y$91)</f>
        <v>450.8333333333333</v>
      </c>
      <c r="H7" s="33">
        <f>AVERAGE('[6]Data Input'!$AC$80:$AC$91)</f>
        <v>383</v>
      </c>
      <c r="I7" s="33">
        <f t="shared" si="0"/>
        <v>43235.166666666664</v>
      </c>
      <c r="K7" s="6">
        <f t="shared" si="2"/>
        <v>362982</v>
      </c>
      <c r="L7" s="6">
        <f t="shared" si="1"/>
        <v>43599</v>
      </c>
      <c r="M7" s="6">
        <f t="shared" si="1"/>
        <v>4433</v>
      </c>
      <c r="N7" s="6">
        <f t="shared" si="1"/>
        <v>24</v>
      </c>
      <c r="O7" s="6">
        <f t="shared" si="1"/>
        <v>97778</v>
      </c>
      <c r="P7" s="6">
        <f t="shared" si="1"/>
        <v>5410</v>
      </c>
      <c r="Q7" s="6">
        <f t="shared" si="1"/>
        <v>4596</v>
      </c>
      <c r="R7" s="6"/>
    </row>
    <row r="8" spans="1:18" ht="12.75">
      <c r="A8" s="4">
        <v>2009</v>
      </c>
      <c r="B8" s="33">
        <f>AVERAGE('[6]Data Input'!$F$92:$F$103)</f>
        <v>30524.166666666668</v>
      </c>
      <c r="C8" s="33">
        <f>AVERAGE('[6]Data Input'!$J$92:$J$103)</f>
        <v>3619.0833333333335</v>
      </c>
      <c r="D8" s="33">
        <f>AVERAGE('[6]Data Input'!$O$92:$O$103)</f>
        <v>363</v>
      </c>
      <c r="E8" s="33">
        <f>AVERAGE('[6]Data Input'!$AH$92:$AH$103)</f>
        <v>2</v>
      </c>
      <c r="F8" s="33">
        <f>AVERAGE('[6]Data Input'!$T$92:$T$103)</f>
        <v>8002.333333333333</v>
      </c>
      <c r="G8" s="33">
        <f>AVERAGE('[6]Data Input'!$Y$92:$Y$103)</f>
        <v>425.1666666666667</v>
      </c>
      <c r="H8" s="33">
        <f>AVERAGE('[6]Data Input'!$AC$92:$AC$103)</f>
        <v>383</v>
      </c>
      <c r="I8" s="33">
        <f t="shared" si="0"/>
        <v>43318.75</v>
      </c>
      <c r="K8" s="6">
        <f t="shared" si="2"/>
        <v>366290</v>
      </c>
      <c r="L8" s="6">
        <f t="shared" si="1"/>
        <v>43429</v>
      </c>
      <c r="M8" s="6">
        <f t="shared" si="1"/>
        <v>4356</v>
      </c>
      <c r="N8" s="6">
        <f t="shared" si="1"/>
        <v>24</v>
      </c>
      <c r="O8" s="6">
        <f t="shared" si="1"/>
        <v>96028</v>
      </c>
      <c r="P8" s="6">
        <f t="shared" si="1"/>
        <v>5102</v>
      </c>
      <c r="Q8" s="6">
        <f t="shared" si="1"/>
        <v>4596</v>
      </c>
      <c r="R8" s="6"/>
    </row>
    <row r="9" spans="1:18" ht="12.75">
      <c r="A9" s="4">
        <v>2010</v>
      </c>
      <c r="B9" s="33">
        <f>AVERAGE('[6]Data Input'!$F$104:$F$115)</f>
        <v>30790.5</v>
      </c>
      <c r="C9" s="33">
        <f>AVERAGE('[6]Data Input'!$J$104:$J$115)</f>
        <v>3599.5833333333335</v>
      </c>
      <c r="D9" s="33">
        <f>AVERAGE('[6]Data Input'!$O$104:$O$115)</f>
        <v>372</v>
      </c>
      <c r="E9" s="33">
        <f>AVERAGE('[6]Data Input'!$AH$104:$AH$115)</f>
        <v>2</v>
      </c>
      <c r="F9" s="33">
        <f>AVERAGE('[6]Data Input'!$T$104:$T$115)</f>
        <v>8064.166666666667</v>
      </c>
      <c r="G9" s="33">
        <f>AVERAGE('[6]Data Input'!$Y$104:$Y$115)</f>
        <v>422.5</v>
      </c>
      <c r="H9" s="33">
        <f>AVERAGE('[6]Data Input'!$AC$104:$AC$115)</f>
        <v>383.0833333333333</v>
      </c>
      <c r="I9" s="33">
        <f t="shared" si="0"/>
        <v>43633.833333333336</v>
      </c>
      <c r="K9" s="6">
        <f t="shared" si="2"/>
        <v>369486</v>
      </c>
      <c r="L9" s="6">
        <f t="shared" si="1"/>
        <v>43195</v>
      </c>
      <c r="M9" s="6">
        <f t="shared" si="1"/>
        <v>4464</v>
      </c>
      <c r="N9" s="6">
        <f t="shared" si="1"/>
        <v>24</v>
      </c>
      <c r="O9" s="6">
        <f t="shared" si="1"/>
        <v>96770</v>
      </c>
      <c r="P9" s="6">
        <f t="shared" si="1"/>
        <v>5070</v>
      </c>
      <c r="Q9" s="6">
        <f t="shared" si="1"/>
        <v>4597</v>
      </c>
      <c r="R9" s="6"/>
    </row>
    <row r="10" spans="1:18" ht="12.75">
      <c r="A10" s="4">
        <v>2011</v>
      </c>
      <c r="B10" s="33">
        <f>AVERAGE('[6]Data Input'!$F$116:$F$127)</f>
        <v>31134.916666666668</v>
      </c>
      <c r="C10" s="33">
        <f>AVERAGE('[6]Data Input'!$J$116:$J$127)</f>
        <v>3569.5833333333335</v>
      </c>
      <c r="D10" s="33">
        <f>AVERAGE('[6]Data Input'!$O$116:$O$127)</f>
        <v>388.75</v>
      </c>
      <c r="E10" s="33">
        <f>AVERAGE('[6]Data Input'!$AH$116:$AH$127)</f>
        <v>2</v>
      </c>
      <c r="F10" s="33">
        <f>AVERAGE('[6]Data Input'!$T$116:$T$127)</f>
        <v>8130.75</v>
      </c>
      <c r="G10" s="33">
        <f>AVERAGE('[6]Data Input'!$Y$116:$Y$127)</f>
        <v>415.5</v>
      </c>
      <c r="H10" s="33">
        <f>AVERAGE('[6]Data Input'!$AC$116:$AC$127)</f>
        <v>384</v>
      </c>
      <c r="I10" s="33">
        <f t="shared" si="0"/>
        <v>44025.5</v>
      </c>
      <c r="K10" s="6">
        <f t="shared" si="2"/>
        <v>373619</v>
      </c>
      <c r="L10" s="6">
        <f t="shared" si="1"/>
        <v>42835</v>
      </c>
      <c r="M10" s="6">
        <f t="shared" si="1"/>
        <v>4665</v>
      </c>
      <c r="N10" s="6">
        <f t="shared" si="1"/>
        <v>24</v>
      </c>
      <c r="O10" s="6">
        <f t="shared" si="1"/>
        <v>97569</v>
      </c>
      <c r="P10" s="6">
        <f t="shared" si="1"/>
        <v>4986</v>
      </c>
      <c r="Q10" s="6">
        <f t="shared" si="1"/>
        <v>4608</v>
      </c>
      <c r="R10" s="6"/>
    </row>
    <row r="11" spans="1:18" ht="12.75">
      <c r="A11" s="4">
        <v>2012</v>
      </c>
      <c r="B11" s="17">
        <f aca="true" t="shared" si="3" ref="B11:H11">B10*B23</f>
        <v>31445.159759078786</v>
      </c>
      <c r="C11" s="17">
        <f t="shared" si="3"/>
        <v>3558.18276593255</v>
      </c>
      <c r="D11" s="17">
        <f t="shared" si="3"/>
        <v>389.4092105970397</v>
      </c>
      <c r="E11" s="17">
        <f t="shared" si="3"/>
        <v>2</v>
      </c>
      <c r="F11" s="17">
        <f t="shared" si="3"/>
        <v>8140.1744972835795</v>
      </c>
      <c r="G11" s="17">
        <f t="shared" si="3"/>
        <v>387.2042202260511</v>
      </c>
      <c r="H11" s="17">
        <f t="shared" si="3"/>
        <v>384.20031309803426</v>
      </c>
      <c r="I11" s="17">
        <f t="shared" si="0"/>
        <v>44306.330766216044</v>
      </c>
      <c r="K11" s="6">
        <f>SUM(K3:K10)</f>
        <v>2887085</v>
      </c>
      <c r="L11" s="6">
        <f aca="true" t="shared" si="4" ref="L11:Q11">SUM(L3:L10)</f>
        <v>347319</v>
      </c>
      <c r="M11" s="6">
        <f t="shared" si="4"/>
        <v>36173</v>
      </c>
      <c r="N11" s="6">
        <f t="shared" si="4"/>
        <v>192</v>
      </c>
      <c r="O11" s="6">
        <f t="shared" si="4"/>
        <v>781584</v>
      </c>
      <c r="P11" s="6">
        <f t="shared" si="4"/>
        <v>51832</v>
      </c>
      <c r="Q11" s="6">
        <f t="shared" si="4"/>
        <v>25674</v>
      </c>
      <c r="R11" s="6"/>
    </row>
    <row r="12" spans="1:18" ht="12.75">
      <c r="A12" s="4">
        <v>2013</v>
      </c>
      <c r="B12" s="17">
        <f aca="true" t="shared" si="5" ref="B12:H12">B11*B25</f>
        <v>31758.494260965992</v>
      </c>
      <c r="C12" s="17">
        <f t="shared" si="5"/>
        <v>3546.8186097666144</v>
      </c>
      <c r="D12" s="17">
        <f t="shared" si="5"/>
        <v>390.0695390297354</v>
      </c>
      <c r="E12" s="17">
        <f t="shared" si="5"/>
        <v>2</v>
      </c>
      <c r="F12" s="17">
        <f t="shared" si="5"/>
        <v>8149.609918669985</v>
      </c>
      <c r="G12" s="17">
        <f t="shared" si="5"/>
        <v>360.8353987024411</v>
      </c>
      <c r="H12" s="17">
        <f t="shared" si="5"/>
        <v>384.4007306891342</v>
      </c>
      <c r="I12" s="17">
        <f t="shared" si="0"/>
        <v>44592.2284578239</v>
      </c>
      <c r="K12" s="6">
        <f>'[6]Data Input'!$F$129</f>
        <v>2887085</v>
      </c>
      <c r="L12" s="6">
        <f>'[6]Data Input'!$J$129</f>
        <v>347319</v>
      </c>
      <c r="M12" s="6">
        <f>'[6]Data Input'!$O$129</f>
        <v>36173</v>
      </c>
      <c r="N12" s="6">
        <f>'[6]Data Input'!$AH$129</f>
        <v>192</v>
      </c>
      <c r="O12" s="6">
        <f>'[6]Data Input'!$T$129</f>
        <v>781584</v>
      </c>
      <c r="P12" s="6">
        <f>'[6]Data Input'!$Y$129</f>
        <v>51832</v>
      </c>
      <c r="Q12" s="6">
        <f>'[6]Data Input'!$AC$129</f>
        <v>25674</v>
      </c>
      <c r="R12" s="6"/>
    </row>
    <row r="13" spans="1:18" ht="12.75">
      <c r="A13" s="16"/>
      <c r="K13" s="6">
        <f>K11-K12</f>
        <v>0</v>
      </c>
      <c r="L13" s="6">
        <f aca="true" t="shared" si="6" ref="L13:Q13">L11-L12</f>
        <v>0</v>
      </c>
      <c r="M13" s="6">
        <f t="shared" si="6"/>
        <v>0</v>
      </c>
      <c r="N13" s="6">
        <f t="shared" si="6"/>
        <v>0</v>
      </c>
      <c r="O13" s="6">
        <f t="shared" si="6"/>
        <v>0</v>
      </c>
      <c r="P13" s="6">
        <f t="shared" si="6"/>
        <v>0</v>
      </c>
      <c r="Q13" s="6">
        <f t="shared" si="6"/>
        <v>0</v>
      </c>
      <c r="R13" s="6"/>
    </row>
    <row r="14" spans="1:17" ht="12.75">
      <c r="A14" s="15" t="s">
        <v>42</v>
      </c>
      <c r="B14" s="5"/>
      <c r="C14" s="5"/>
      <c r="D14" s="5"/>
      <c r="E14" s="5"/>
      <c r="F14" s="5"/>
      <c r="G14" s="5"/>
      <c r="H14" s="5"/>
      <c r="K14" s="323" t="s">
        <v>125</v>
      </c>
      <c r="L14" s="323"/>
      <c r="M14" s="323"/>
      <c r="N14" s="323"/>
      <c r="O14" s="323"/>
      <c r="P14" s="323"/>
      <c r="Q14" s="323"/>
    </row>
    <row r="15" spans="1:8" ht="12.75">
      <c r="A15" s="4">
        <v>2005</v>
      </c>
      <c r="B15" s="20">
        <f aca="true" t="shared" si="7" ref="B15:D21">B4/B3</f>
        <v>1.0094615956186328</v>
      </c>
      <c r="C15" s="20">
        <f t="shared" si="7"/>
        <v>0.997694327131606</v>
      </c>
      <c r="D15" s="20">
        <f t="shared" si="7"/>
        <v>1.0008676789587851</v>
      </c>
      <c r="E15" s="20">
        <f aca="true" t="shared" si="8" ref="E15:E21">E4/E3</f>
        <v>1</v>
      </c>
      <c r="F15" s="20">
        <f aca="true" t="shared" si="9" ref="F15:G21">F4/F3</f>
        <v>1.0145483101021895</v>
      </c>
      <c r="G15" s="20">
        <f t="shared" si="9"/>
        <v>0.9910637776961684</v>
      </c>
      <c r="H15" s="20"/>
    </row>
    <row r="16" spans="1:8" ht="12.75">
      <c r="A16" s="4">
        <v>2006</v>
      </c>
      <c r="B16" s="20">
        <f t="shared" si="7"/>
        <v>1.008648203146093</v>
      </c>
      <c r="C16" s="20">
        <f t="shared" si="7"/>
        <v>0.9916941241076331</v>
      </c>
      <c r="D16" s="20">
        <f t="shared" si="7"/>
        <v>0.981577806675336</v>
      </c>
      <c r="E16" s="20">
        <f t="shared" si="8"/>
        <v>1</v>
      </c>
      <c r="F16" s="20">
        <f t="shared" si="9"/>
        <v>1.0089215696259255</v>
      </c>
      <c r="G16" s="20">
        <f t="shared" si="9"/>
        <v>1.0154397233201582</v>
      </c>
      <c r="H16" s="20"/>
    </row>
    <row r="17" spans="1:8" ht="12.75">
      <c r="A17" s="4">
        <v>2007</v>
      </c>
      <c r="B17" s="20">
        <f t="shared" si="7"/>
        <v>1.0125666369876136</v>
      </c>
      <c r="C17" s="20">
        <f t="shared" si="7"/>
        <v>1.0016150988671235</v>
      </c>
      <c r="D17" s="20">
        <f t="shared" si="7"/>
        <v>0.9940384190770589</v>
      </c>
      <c r="E17" s="20">
        <f t="shared" si="8"/>
        <v>1</v>
      </c>
      <c r="F17" s="20">
        <f t="shared" si="9"/>
        <v>1.0034219956594155</v>
      </c>
      <c r="G17" s="20">
        <f t="shared" si="9"/>
        <v>0.8244739082836638</v>
      </c>
      <c r="H17" s="20">
        <f>H6/H5</f>
        <v>1</v>
      </c>
    </row>
    <row r="18" spans="1:8" ht="12.75">
      <c r="A18" s="4">
        <v>2008</v>
      </c>
      <c r="B18" s="20">
        <f t="shared" si="7"/>
        <v>1.0100565437100688</v>
      </c>
      <c r="C18" s="20">
        <f t="shared" si="7"/>
        <v>1.0043306995922692</v>
      </c>
      <c r="D18" s="20">
        <f t="shared" si="7"/>
        <v>0.9846734784540204</v>
      </c>
      <c r="E18" s="20">
        <f t="shared" si="8"/>
        <v>1</v>
      </c>
      <c r="F18" s="20">
        <f t="shared" si="9"/>
        <v>0.9836425093557605</v>
      </c>
      <c r="G18" s="20">
        <f t="shared" si="9"/>
        <v>0.7981705517851873</v>
      </c>
      <c r="H18" s="20">
        <f>H7/H6</f>
        <v>1</v>
      </c>
    </row>
    <row r="19" spans="1:8" ht="12.75">
      <c r="A19" s="4">
        <v>2009</v>
      </c>
      <c r="B19" s="20">
        <f t="shared" si="7"/>
        <v>1.0091133995625128</v>
      </c>
      <c r="C19" s="20">
        <f t="shared" si="7"/>
        <v>0.9961008280006423</v>
      </c>
      <c r="D19" s="20">
        <f t="shared" si="7"/>
        <v>0.9826302729528535</v>
      </c>
      <c r="E19" s="20">
        <f t="shared" si="8"/>
        <v>1</v>
      </c>
      <c r="F19" s="20">
        <f t="shared" si="9"/>
        <v>0.9821023134038331</v>
      </c>
      <c r="G19" s="20">
        <f t="shared" si="9"/>
        <v>0.9430683918669132</v>
      </c>
      <c r="H19" s="20">
        <f>H8/H7</f>
        <v>1</v>
      </c>
    </row>
    <row r="20" spans="1:8" ht="12.75">
      <c r="A20" s="4">
        <v>2010</v>
      </c>
      <c r="B20" s="20">
        <f t="shared" si="7"/>
        <v>1.008725326926752</v>
      </c>
      <c r="C20" s="20">
        <f t="shared" si="7"/>
        <v>0.9946118952773493</v>
      </c>
      <c r="D20" s="20">
        <f t="shared" si="7"/>
        <v>1.024793388429752</v>
      </c>
      <c r="E20" s="20">
        <f t="shared" si="8"/>
        <v>1</v>
      </c>
      <c r="F20" s="20">
        <f t="shared" si="9"/>
        <v>1.0077269129837132</v>
      </c>
      <c r="G20" s="20">
        <f t="shared" si="9"/>
        <v>0.9937279498235986</v>
      </c>
      <c r="H20" s="20">
        <f>H9/H8</f>
        <v>1.0002175805047868</v>
      </c>
    </row>
    <row r="21" spans="1:8" ht="12.75">
      <c r="A21" s="4">
        <v>2011</v>
      </c>
      <c r="B21" s="20">
        <f t="shared" si="7"/>
        <v>1.0111858094758666</v>
      </c>
      <c r="C21" s="20">
        <f t="shared" si="7"/>
        <v>0.9916657020488483</v>
      </c>
      <c r="D21" s="20">
        <f t="shared" si="7"/>
        <v>1.04502688172043</v>
      </c>
      <c r="E21" s="20">
        <f t="shared" si="8"/>
        <v>1</v>
      </c>
      <c r="F21" s="20">
        <f t="shared" si="9"/>
        <v>1.008256691123282</v>
      </c>
      <c r="G21" s="20">
        <f t="shared" si="9"/>
        <v>0.9834319526627219</v>
      </c>
      <c r="H21" s="20">
        <f>H10/H9</f>
        <v>1.0023928649118992</v>
      </c>
    </row>
    <row r="23" spans="1:8" ht="12.75">
      <c r="A23" t="s">
        <v>61</v>
      </c>
      <c r="B23" s="21">
        <f aca="true" t="shared" si="10" ref="B23:G23">B25</f>
        <v>1.0099644747963712</v>
      </c>
      <c r="C23" s="21">
        <f t="shared" si="10"/>
        <v>0.9968061909931271</v>
      </c>
      <c r="D23" s="21">
        <f t="shared" si="10"/>
        <v>1.001695718577594</v>
      </c>
      <c r="E23" s="21">
        <f t="shared" si="10"/>
        <v>1</v>
      </c>
      <c r="F23" s="21">
        <f t="shared" si="10"/>
        <v>1.001159117828439</v>
      </c>
      <c r="G23" s="21">
        <f t="shared" si="10"/>
        <v>0.9318994469941062</v>
      </c>
      <c r="H23" s="21">
        <f>H25</f>
        <v>1.0005216486927975</v>
      </c>
    </row>
    <row r="24" spans="2:8" ht="12.75">
      <c r="B24" s="21"/>
      <c r="C24" s="21"/>
      <c r="D24" s="21"/>
      <c r="E24" s="21"/>
      <c r="F24" s="21"/>
      <c r="G24" s="21"/>
      <c r="H24" s="21"/>
    </row>
    <row r="25" spans="1:8" ht="12.75">
      <c r="A25" t="s">
        <v>15</v>
      </c>
      <c r="B25" s="21">
        <f aca="true" t="shared" si="11" ref="B25:H25">GEOMEAN(B15:B21)</f>
        <v>1.0099644747963712</v>
      </c>
      <c r="C25" s="21">
        <f t="shared" si="11"/>
        <v>0.9968061909931271</v>
      </c>
      <c r="D25" s="21">
        <f t="shared" si="11"/>
        <v>1.001695718577594</v>
      </c>
      <c r="E25" s="21">
        <f t="shared" si="11"/>
        <v>1</v>
      </c>
      <c r="F25" s="21">
        <f t="shared" si="11"/>
        <v>1.001159117828439</v>
      </c>
      <c r="G25" s="21">
        <f t="shared" si="11"/>
        <v>0.9318994469941062</v>
      </c>
      <c r="H25" s="21">
        <f t="shared" si="11"/>
        <v>1.0005216486927975</v>
      </c>
    </row>
    <row r="26" spans="1:8" ht="12.75">
      <c r="A26" s="4"/>
      <c r="B26" s="21"/>
      <c r="C26" s="21"/>
      <c r="D26" s="21"/>
      <c r="E26" s="21"/>
      <c r="F26" s="21"/>
      <c r="G26" s="21"/>
      <c r="H26" s="21"/>
    </row>
    <row r="27" spans="1:8" ht="12.75">
      <c r="A27" s="4"/>
      <c r="B27" s="21"/>
      <c r="C27" s="21"/>
      <c r="D27" s="21"/>
      <c r="E27" s="21"/>
      <c r="F27" s="21"/>
      <c r="G27" s="21"/>
      <c r="H27" s="21"/>
    </row>
    <row r="28" spans="1:8" ht="12.75">
      <c r="A28" s="4"/>
      <c r="B28" s="21"/>
      <c r="C28" s="21"/>
      <c r="D28" s="21"/>
      <c r="E28" s="21"/>
      <c r="F28" s="21"/>
      <c r="G28" s="21"/>
      <c r="H28" s="21"/>
    </row>
    <row r="29" spans="1:8" ht="12.75">
      <c r="A29" s="4"/>
      <c r="B29" s="21"/>
      <c r="C29" s="21"/>
      <c r="D29" s="21"/>
      <c r="E29" s="21"/>
      <c r="F29" s="21"/>
      <c r="G29" s="21"/>
      <c r="H29" s="21"/>
    </row>
    <row r="30" spans="1:8" ht="12.75">
      <c r="A30" s="4"/>
      <c r="B30" s="21"/>
      <c r="C30" s="21"/>
      <c r="D30" s="21"/>
      <c r="E30" s="21"/>
      <c r="F30" s="21"/>
      <c r="G30" s="21"/>
      <c r="H30" s="21"/>
    </row>
    <row r="31" spans="1:8" ht="12.75">
      <c r="A31" s="4"/>
      <c r="B31" s="21"/>
      <c r="C31" s="21"/>
      <c r="D31" s="21"/>
      <c r="E31" s="21"/>
      <c r="F31" s="21"/>
      <c r="G31" s="21"/>
      <c r="H31" s="21"/>
    </row>
    <row r="32" spans="1:8" ht="12.75">
      <c r="A32" s="4"/>
      <c r="B32" s="21"/>
      <c r="C32" s="21"/>
      <c r="D32" s="21"/>
      <c r="E32" s="21"/>
      <c r="F32" s="21"/>
      <c r="G32" s="21"/>
      <c r="H32" s="21"/>
    </row>
    <row r="33" spans="1:8" ht="12.75">
      <c r="A33" s="4"/>
      <c r="B33" s="21"/>
      <c r="C33" s="21"/>
      <c r="D33" s="21"/>
      <c r="E33" s="21"/>
      <c r="F33" s="21"/>
      <c r="G33" s="21"/>
      <c r="H33" s="21"/>
    </row>
    <row r="34" spans="2:8" ht="12.75">
      <c r="B34" s="21"/>
      <c r="C34" s="21"/>
      <c r="D34" s="21"/>
      <c r="E34" s="21"/>
      <c r="F34" s="21"/>
      <c r="G34" s="21"/>
      <c r="H34" s="21"/>
    </row>
    <row r="35" spans="2:8" ht="12.75">
      <c r="B35" s="21"/>
      <c r="C35" s="21"/>
      <c r="D35" s="21"/>
      <c r="E35" s="21"/>
      <c r="F35" s="21"/>
      <c r="G35" s="21"/>
      <c r="H35" s="21"/>
    </row>
    <row r="36" spans="2:8" ht="12.75">
      <c r="B36" s="21"/>
      <c r="C36" s="21"/>
      <c r="D36" s="21"/>
      <c r="E36" s="21"/>
      <c r="F36" s="21"/>
      <c r="G36" s="21"/>
      <c r="H36" s="21"/>
    </row>
    <row r="37" spans="2:8" ht="12.75">
      <c r="B37" s="21"/>
      <c r="C37" s="21"/>
      <c r="D37" s="21"/>
      <c r="E37" s="21"/>
      <c r="F37" s="21"/>
      <c r="G37" s="21"/>
      <c r="H37" s="21"/>
    </row>
    <row r="38" spans="2:8" ht="12.75">
      <c r="B38" s="21"/>
      <c r="C38" s="21"/>
      <c r="D38" s="21"/>
      <c r="E38" s="21"/>
      <c r="F38" s="21"/>
      <c r="G38" s="21"/>
      <c r="H38" s="21"/>
    </row>
    <row r="39" spans="2:8" ht="12.75">
      <c r="B39" s="21"/>
      <c r="C39" s="21"/>
      <c r="D39" s="21"/>
      <c r="E39" s="21"/>
      <c r="F39" s="21"/>
      <c r="G39" s="21"/>
      <c r="H39" s="21"/>
    </row>
    <row r="40" spans="2:8" ht="12.75">
      <c r="B40" s="21"/>
      <c r="C40" s="21"/>
      <c r="D40" s="21"/>
      <c r="E40" s="21"/>
      <c r="F40" s="21"/>
      <c r="G40" s="21"/>
      <c r="H40" s="21"/>
    </row>
    <row r="41" spans="2:8" ht="12.75">
      <c r="B41" s="21"/>
      <c r="C41" s="21"/>
      <c r="D41" s="21"/>
      <c r="E41" s="21"/>
      <c r="F41" s="21"/>
      <c r="G41" s="21"/>
      <c r="H41" s="21"/>
    </row>
    <row r="42" spans="2:8" ht="12.75">
      <c r="B42" s="21"/>
      <c r="C42" s="21"/>
      <c r="D42" s="21"/>
      <c r="E42" s="21"/>
      <c r="F42" s="21"/>
      <c r="G42" s="21"/>
      <c r="H42" s="21"/>
    </row>
    <row r="43" spans="2:8" ht="12.75">
      <c r="B43" s="21"/>
      <c r="C43" s="21"/>
      <c r="D43" s="21"/>
      <c r="E43" s="21"/>
      <c r="F43" s="21"/>
      <c r="G43" s="21"/>
      <c r="H43" s="21"/>
    </row>
    <row r="44" spans="2:8" ht="12.75">
      <c r="B44" s="21"/>
      <c r="C44" s="21"/>
      <c r="D44" s="21"/>
      <c r="E44" s="21"/>
      <c r="F44" s="21"/>
      <c r="G44" s="21"/>
      <c r="H44" s="21"/>
    </row>
    <row r="45" spans="2:8" ht="12.75">
      <c r="B45" s="21"/>
      <c r="C45" s="21"/>
      <c r="D45" s="21"/>
      <c r="E45" s="21"/>
      <c r="F45" s="21"/>
      <c r="G45" s="21"/>
      <c r="H45" s="21"/>
    </row>
    <row r="46" spans="2:8" ht="12.75">
      <c r="B46" s="21"/>
      <c r="C46" s="21"/>
      <c r="D46" s="21"/>
      <c r="E46" s="21"/>
      <c r="F46" s="21"/>
      <c r="G46" s="21"/>
      <c r="H46" s="21"/>
    </row>
    <row r="47" spans="2:8" ht="12.75">
      <c r="B47" s="21"/>
      <c r="C47" s="21"/>
      <c r="D47" s="21"/>
      <c r="E47" s="21"/>
      <c r="F47" s="21"/>
      <c r="G47" s="21"/>
      <c r="H47" s="21"/>
    </row>
    <row r="48" spans="2:8" ht="12.75">
      <c r="B48" s="21"/>
      <c r="C48" s="21"/>
      <c r="D48" s="21"/>
      <c r="E48" s="21"/>
      <c r="F48" s="21"/>
      <c r="G48" s="21"/>
      <c r="H48" s="21"/>
    </row>
    <row r="49" spans="2:8" ht="12.75">
      <c r="B49" s="21"/>
      <c r="C49" s="21"/>
      <c r="D49" s="21"/>
      <c r="E49" s="21"/>
      <c r="F49" s="21"/>
      <c r="G49" s="21"/>
      <c r="H49" s="21"/>
    </row>
    <row r="50" spans="2:8" ht="12.75">
      <c r="B50" s="21"/>
      <c r="C50" s="21"/>
      <c r="D50" s="21"/>
      <c r="E50" s="21"/>
      <c r="F50" s="21"/>
      <c r="G50" s="21"/>
      <c r="H50" s="21"/>
    </row>
    <row r="51" spans="2:8" ht="12.75">
      <c r="B51" s="21"/>
      <c r="C51" s="21"/>
      <c r="D51" s="21"/>
      <c r="E51" s="21"/>
      <c r="F51" s="21"/>
      <c r="G51" s="21"/>
      <c r="H51" s="21"/>
    </row>
    <row r="52" spans="2:8" ht="12.75">
      <c r="B52" s="21"/>
      <c r="C52" s="21"/>
      <c r="F52" s="21"/>
      <c r="G52" s="21"/>
      <c r="H52" s="21"/>
    </row>
    <row r="58" spans="4:5" ht="12.75">
      <c r="D58" s="22"/>
      <c r="E58" s="22"/>
    </row>
    <row r="59" spans="2:8" ht="12.75">
      <c r="B59" s="22"/>
      <c r="C59" s="22"/>
      <c r="D59" s="22"/>
      <c r="E59" s="22"/>
      <c r="F59" s="22"/>
      <c r="G59" s="22"/>
      <c r="H59" s="22"/>
    </row>
    <row r="60" spans="2:8" ht="12.75">
      <c r="B60" s="22"/>
      <c r="C60" s="22"/>
      <c r="F60" s="22"/>
      <c r="G60" s="22"/>
      <c r="H60" s="22"/>
    </row>
    <row r="78" spans="4:5" ht="12.75">
      <c r="D78" s="12"/>
      <c r="E78" s="12"/>
    </row>
    <row r="79" spans="2:8" ht="12.75">
      <c r="B79" s="12"/>
      <c r="C79" s="12"/>
      <c r="D79" s="12"/>
      <c r="E79" s="12"/>
      <c r="F79" s="12"/>
      <c r="G79" s="12"/>
      <c r="H79" s="12"/>
    </row>
    <row r="80" spans="2:8" ht="12.75">
      <c r="B80" s="12"/>
      <c r="C80" s="12"/>
      <c r="F80" s="12"/>
      <c r="G80" s="12"/>
      <c r="H80" s="12"/>
    </row>
  </sheetData>
  <sheetProtection/>
  <mergeCells count="1">
    <mergeCell ref="K14:Q14"/>
  </mergeCells>
  <printOptions/>
  <pageMargins left="0.38" right="0.75" top="0.73" bottom="0.74" header="0.5" footer="0.5"/>
  <pageSetup fitToHeight="1" fitToWidth="1" horizontalDpi="600" verticalDpi="600" orientation="portrait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23" sqref="B23"/>
    </sheetView>
  </sheetViews>
  <sheetFormatPr defaultColWidth="9.140625" defaultRowHeight="12.75"/>
  <cols>
    <col min="1" max="1" width="11.00390625" style="0" customWidth="1"/>
    <col min="2" max="2" width="14.140625" style="6" bestFit="1" customWidth="1"/>
    <col min="3" max="3" width="14.140625" style="6" customWidth="1"/>
    <col min="4" max="5" width="17.7109375" style="6" customWidth="1"/>
    <col min="6" max="7" width="12.7109375" style="6" bestFit="1" customWidth="1"/>
    <col min="8" max="8" width="11.7109375" style="6" bestFit="1" customWidth="1"/>
    <col min="9" max="9" width="10.7109375" style="6" bestFit="1" customWidth="1"/>
    <col min="10" max="11" width="9.140625" style="6" customWidth="1"/>
  </cols>
  <sheetData>
    <row r="1" spans="2:6" ht="42" customHeight="1">
      <c r="B1" s="8" t="str">
        <f>'Rate Class Customer Model'!D2</f>
        <v>General Service
&gt; 50 kW</v>
      </c>
      <c r="C1" s="8" t="str">
        <f>'Rate Class Customer Model'!E2</f>
        <v>Large User</v>
      </c>
      <c r="D1" s="8" t="str">
        <f>'Rate Class Customer Model'!F2</f>
        <v>Street Lighting </v>
      </c>
      <c r="E1" s="8" t="str">
        <f>'Rate Class Customer Model'!G2</f>
        <v>Sentinel Lighting</v>
      </c>
      <c r="F1" s="6" t="s">
        <v>10</v>
      </c>
    </row>
    <row r="2" spans="1:6" ht="12.75">
      <c r="A2" s="26">
        <v>2004</v>
      </c>
      <c r="B2" s="116">
        <f>SUM('[6]Data Input'!$N$32:$N$43)</f>
        <v>786950</v>
      </c>
      <c r="C2" s="116">
        <f>SUM('[6]Data Input'!$AG$32:$AG$43)</f>
        <v>133227</v>
      </c>
      <c r="D2" s="116">
        <f>SUM('[6]Data Input'!$S$32:$S$43)</f>
        <v>16548</v>
      </c>
      <c r="E2" s="116">
        <f>SUM('[6]Data Input'!$X$32:$X$43)</f>
        <v>2630</v>
      </c>
      <c r="F2" s="6">
        <f aca="true" t="shared" si="0" ref="F2:F11">SUM(B2:E2)</f>
        <v>939355</v>
      </c>
    </row>
    <row r="3" spans="1:6" ht="12.75">
      <c r="A3" s="26">
        <v>2005</v>
      </c>
      <c r="B3" s="116">
        <f>SUM('[6]Data Input'!$N$44:$N$55)</f>
        <v>764330</v>
      </c>
      <c r="C3" s="116">
        <f>SUM('[6]Data Input'!$AG$44:$AG$55)</f>
        <v>136079</v>
      </c>
      <c r="D3" s="116">
        <f>SUM('[6]Data Input'!$S$44:$S$55)</f>
        <v>16365</v>
      </c>
      <c r="E3" s="116">
        <f>SUM('[6]Data Input'!$X$44:$X$55)</f>
        <v>2721</v>
      </c>
      <c r="F3" s="6">
        <f t="shared" si="0"/>
        <v>919495</v>
      </c>
    </row>
    <row r="4" spans="1:6" ht="12.75">
      <c r="A4" s="26">
        <v>2006</v>
      </c>
      <c r="B4" s="116">
        <f>SUM('[6]Data Input'!$N$56:$N$67)</f>
        <v>805126</v>
      </c>
      <c r="C4" s="116">
        <f>SUM('[6]Data Input'!$AG$56:$AG$67)</f>
        <v>133042</v>
      </c>
      <c r="D4" s="116">
        <f>SUM('[6]Data Input'!$S$56:$S$67)</f>
        <v>16568</v>
      </c>
      <c r="E4" s="116">
        <f>SUM('[6]Data Input'!$X$56:$X$67)</f>
        <v>4030</v>
      </c>
      <c r="F4" s="6">
        <f t="shared" si="0"/>
        <v>958766</v>
      </c>
    </row>
    <row r="5" spans="1:6" ht="12.75">
      <c r="A5" s="26">
        <v>2007</v>
      </c>
      <c r="B5" s="116">
        <f>SUM('[6]Data Input'!$N$68:$N$79)</f>
        <v>830729</v>
      </c>
      <c r="C5" s="116">
        <f>SUM('[6]Data Input'!$AG$68:$AG$79)</f>
        <v>128681</v>
      </c>
      <c r="D5" s="116">
        <f>SUM('[6]Data Input'!$S$68:$S$79)</f>
        <v>13932</v>
      </c>
      <c r="E5" s="116">
        <f>SUM('[6]Data Input'!$X$68:$X$79)</f>
        <v>2574</v>
      </c>
      <c r="F5" s="6">
        <f t="shared" si="0"/>
        <v>975916</v>
      </c>
    </row>
    <row r="6" spans="1:6" ht="12.75">
      <c r="A6" s="26">
        <v>2008</v>
      </c>
      <c r="B6" s="116">
        <f>SUM('[6]Data Input'!$N$80:$N$91)</f>
        <v>842747</v>
      </c>
      <c r="C6" s="116">
        <f>SUM('[6]Data Input'!$AG$80:$AG$91)</f>
        <v>134390</v>
      </c>
      <c r="D6" s="116">
        <f>SUM('[6]Data Input'!$S$80:$S$91)</f>
        <v>16513</v>
      </c>
      <c r="E6" s="116">
        <f>SUM('[6]Data Input'!$X$80:$X$91)</f>
        <v>2437</v>
      </c>
      <c r="F6" s="6">
        <f t="shared" si="0"/>
        <v>996087</v>
      </c>
    </row>
    <row r="7" spans="1:6" ht="12.75">
      <c r="A7" s="26">
        <v>2009</v>
      </c>
      <c r="B7" s="116">
        <f>SUM('[6]Data Input'!$N$92:$N$103)</f>
        <v>819801</v>
      </c>
      <c r="C7" s="116">
        <f>SUM('[6]Data Input'!$AG$92:$AG$103)</f>
        <v>126985</v>
      </c>
      <c r="D7" s="116">
        <f>SUM('[6]Data Input'!$S$92:$S$103)</f>
        <v>16284</v>
      </c>
      <c r="E7" s="116">
        <f>SUM('[6]Data Input'!$X$92:$X$103)</f>
        <v>1916</v>
      </c>
      <c r="F7" s="6">
        <f t="shared" si="0"/>
        <v>964986</v>
      </c>
    </row>
    <row r="8" spans="1:6" ht="12.75">
      <c r="A8" s="26">
        <v>2010</v>
      </c>
      <c r="B8" s="116">
        <f>SUM('[6]Data Input'!$N$104:$N$115)</f>
        <v>825019</v>
      </c>
      <c r="C8" s="116">
        <f>SUM('[6]Data Input'!$AG$104:$AG$115)</f>
        <v>121689</v>
      </c>
      <c r="D8" s="116">
        <f>SUM('[6]Data Input'!$S$104:$S$115)</f>
        <v>16388</v>
      </c>
      <c r="E8" s="116">
        <f>SUM('[6]Data Input'!$X$104:$X$115)</f>
        <v>2174</v>
      </c>
      <c r="F8" s="6">
        <f t="shared" si="0"/>
        <v>965270</v>
      </c>
    </row>
    <row r="9" spans="1:6" ht="12.75">
      <c r="A9" s="26">
        <v>2011</v>
      </c>
      <c r="B9" s="116">
        <f>SUM('[6]Data Input'!$N$116:$N$127)</f>
        <v>848381</v>
      </c>
      <c r="C9" s="116">
        <f>SUM('[6]Data Input'!$AG$116:$AG$127)</f>
        <v>121779</v>
      </c>
      <c r="D9" s="116">
        <f>SUM('[6]Data Input'!$S$116:$S$127)</f>
        <v>16448</v>
      </c>
      <c r="E9" s="116">
        <f>SUM('[6]Data Input'!$X$116:$X$127)</f>
        <v>2129</v>
      </c>
      <c r="F9" s="6">
        <f t="shared" si="0"/>
        <v>988737</v>
      </c>
    </row>
    <row r="10" spans="1:11" ht="12.75">
      <c r="A10" s="26">
        <v>2012</v>
      </c>
      <c r="B10" s="27">
        <f>'Rate Class Energy Model'!J53*'Rate Class Load Model'!B23</f>
        <v>856760.2539054027</v>
      </c>
      <c r="C10" s="27">
        <f>'Rate Class Energy Model'!K53*'Rate Class Load Model'!C23</f>
        <v>116438.73303084826</v>
      </c>
      <c r="D10" s="27">
        <f>'Rate Class Energy Model'!L53*'Rate Class Load Model'!D23</f>
        <v>15150.407807567131</v>
      </c>
      <c r="E10" s="27">
        <f>'Rate Class Energy Model'!M53*'Rate Class Load Model'!E23</f>
        <v>2091.7093913212893</v>
      </c>
      <c r="F10" s="6">
        <f t="shared" si="0"/>
        <v>990441.1041351394</v>
      </c>
      <c r="H10" s="6">
        <f>SUM(B2:B9)</f>
        <v>6523083</v>
      </c>
      <c r="I10" s="6">
        <f>SUM(C2:C9)</f>
        <v>1035872</v>
      </c>
      <c r="J10" s="6">
        <f>SUM(D2:D9)</f>
        <v>129046</v>
      </c>
      <c r="K10" s="6">
        <f>SUM(E2:E9)</f>
        <v>20611</v>
      </c>
    </row>
    <row r="11" spans="1:11" ht="12.75">
      <c r="A11" s="26">
        <v>2013</v>
      </c>
      <c r="B11" s="27">
        <f>'Rate Class Energy Model'!J54*'Rate Class Load Model'!B23</f>
        <v>862024.6489006508</v>
      </c>
      <c r="C11" s="27">
        <f>'Rate Class Energy Model'!K54*'Rate Class Load Model'!C23</f>
        <v>113561.28526437032</v>
      </c>
      <c r="D11" s="27">
        <f>'Rate Class Energy Model'!L54*'Rate Class Load Model'!D23</f>
        <v>14877.241516368764</v>
      </c>
      <c r="E11" s="27">
        <f>'Rate Class Energy Model'!M54*'Rate Class Load Model'!E23</f>
        <v>1993.0744824214523</v>
      </c>
      <c r="F11" s="6">
        <f t="shared" si="0"/>
        <v>992456.2501638115</v>
      </c>
      <c r="H11" s="6">
        <f>'[6]Data Input'!$N$129</f>
        <v>6523083</v>
      </c>
      <c r="I11" s="6">
        <f>'[6]Data Input'!$AG$129</f>
        <v>1035872</v>
      </c>
      <c r="J11" s="6">
        <f>'[6]Data Input'!$S$129</f>
        <v>129046</v>
      </c>
      <c r="K11" s="6">
        <f>'[6]Data Input'!$X$129</f>
        <v>20611</v>
      </c>
    </row>
    <row r="12" spans="1:11" ht="12.75">
      <c r="A12" s="16"/>
      <c r="H12" s="6">
        <f>H10-H11</f>
        <v>0</v>
      </c>
      <c r="I12" s="6">
        <f>I10-I11</f>
        <v>0</v>
      </c>
      <c r="J12" s="6">
        <f>J10-J11</f>
        <v>0</v>
      </c>
      <c r="K12" s="6">
        <f>K10-K11</f>
        <v>0</v>
      </c>
    </row>
    <row r="13" spans="1:11" ht="12.75">
      <c r="A13" s="15" t="s">
        <v>62</v>
      </c>
      <c r="B13" s="5"/>
      <c r="C13" s="5"/>
      <c r="D13" s="5"/>
      <c r="E13" s="5"/>
      <c r="H13" s="323" t="s">
        <v>125</v>
      </c>
      <c r="I13" s="323"/>
      <c r="J13" s="323"/>
      <c r="K13" s="323"/>
    </row>
    <row r="14" spans="1:5" ht="12.75">
      <c r="A14" s="4">
        <v>2004</v>
      </c>
      <c r="B14" s="24">
        <f>B2/'Rate Class Energy Model'!J7</f>
        <v>0.0024589369788747552</v>
      </c>
      <c r="C14" s="24">
        <f>C2/'Rate Class Energy Model'!K7</f>
        <v>0.0021043057548190565</v>
      </c>
      <c r="D14" s="24">
        <f>D2/'Rate Class Energy Model'!L7</f>
        <v>0.0027670741585238525</v>
      </c>
      <c r="E14" s="24">
        <f>E2/'Rate Class Energy Model'!M7</f>
        <v>0.0026022187130198006</v>
      </c>
    </row>
    <row r="15" spans="1:5" ht="12.75">
      <c r="A15" s="4">
        <v>2005</v>
      </c>
      <c r="B15" s="24">
        <f>B3/'Rate Class Energy Model'!J8</f>
        <v>0.0023109444321312797</v>
      </c>
      <c r="C15" s="24">
        <f>C3/'Rate Class Energy Model'!K8</f>
        <v>0.002045663520002754</v>
      </c>
      <c r="D15" s="24">
        <f>D3/'Rate Class Energy Model'!L8</f>
        <v>0.0027340699701382423</v>
      </c>
      <c r="E15" s="24">
        <f>E3/'Rate Class Energy Model'!M8</f>
        <v>0.0028138834797841964</v>
      </c>
    </row>
    <row r="16" spans="1:5" ht="12.75">
      <c r="A16" s="4">
        <v>2006</v>
      </c>
      <c r="B16" s="24">
        <f>B4/'Rate Class Energy Model'!J9</f>
        <v>0.002461953271379204</v>
      </c>
      <c r="C16" s="24">
        <f>C4/'Rate Class Energy Model'!K9</f>
        <v>0.0020436509539654268</v>
      </c>
      <c r="D16" s="24">
        <f>D4/'Rate Class Energy Model'!L9</f>
        <v>0.002636739062935912</v>
      </c>
      <c r="E16" s="24">
        <f>E4/'Rate Class Energy Model'!M9</f>
        <v>0.003687015393060543</v>
      </c>
    </row>
    <row r="17" spans="1:5" ht="12.75">
      <c r="A17" s="4">
        <v>2007</v>
      </c>
      <c r="B17" s="24">
        <f>B5/'Rate Class Energy Model'!J10</f>
        <v>0.0024941741434585316</v>
      </c>
      <c r="C17" s="24">
        <f>C5/'Rate Class Energy Model'!K10</f>
        <v>0.0020280661496199373</v>
      </c>
      <c r="D17" s="24">
        <f>D5/'Rate Class Energy Model'!L10</f>
        <v>0.002114451758719382</v>
      </c>
      <c r="E17" s="24">
        <f>E5/'Rate Class Energy Model'!M10</f>
        <v>0.001967410088823903</v>
      </c>
    </row>
    <row r="18" spans="1:5" ht="12.75">
      <c r="A18" s="4">
        <v>2008</v>
      </c>
      <c r="B18" s="24">
        <f>B6/'Rate Class Energy Model'!J11</f>
        <v>0.002485985122331243</v>
      </c>
      <c r="C18" s="24">
        <f>C6/'Rate Class Energy Model'!K11</f>
        <v>0.0021237201382176924</v>
      </c>
      <c r="D18" s="24">
        <f>D6/'Rate Class Energy Model'!L11</f>
        <v>0.0029274517430508255</v>
      </c>
      <c r="E18" s="24">
        <f>E6/'Rate Class Energy Model'!M11</f>
        <v>0.003848316026175497</v>
      </c>
    </row>
    <row r="19" spans="1:5" ht="12.75">
      <c r="A19" s="4">
        <v>2009</v>
      </c>
      <c r="B19" s="24">
        <f>B7/'Rate Class Energy Model'!J12</f>
        <v>0.0025057399882979824</v>
      </c>
      <c r="C19" s="24">
        <f>C7/'Rate Class Energy Model'!K12</f>
        <v>0.0021700153959418106</v>
      </c>
      <c r="D19" s="24">
        <f>D7/'Rate Class Energy Model'!L12</f>
        <v>0.0029393507110741356</v>
      </c>
      <c r="E19" s="24">
        <f>E7/'Rate Class Energy Model'!M12</f>
        <v>0.0024057114301427106</v>
      </c>
    </row>
    <row r="20" spans="1:5" ht="12.75">
      <c r="A20" s="4">
        <v>2010</v>
      </c>
      <c r="B20" s="24">
        <f>B8/'Rate Class Energy Model'!J13</f>
        <v>0.0024902753515843716</v>
      </c>
      <c r="C20" s="24">
        <f>C8/'Rate Class Energy Model'!K13</f>
        <v>0.002191443948322557</v>
      </c>
      <c r="D20" s="24">
        <f>D8/'Rate Class Energy Model'!L13</f>
        <v>0.002935842139546016</v>
      </c>
      <c r="E20" s="24">
        <f>E8/'Rate Class Energy Model'!M13</f>
        <v>0.002756756208407726</v>
      </c>
    </row>
    <row r="21" spans="1:5" ht="12.75">
      <c r="A21" s="4">
        <v>2011</v>
      </c>
      <c r="B21" s="24">
        <f>B9/'Rate Class Energy Model'!J14</f>
        <v>0.0024552081248603737</v>
      </c>
      <c r="C21" s="24">
        <f>C9/'Rate Class Energy Model'!K14</f>
        <v>0.0021492227605088778</v>
      </c>
      <c r="D21" s="24">
        <f>D9/'Rate Class Energy Model'!L14</f>
        <v>0.0029297055902373545</v>
      </c>
      <c r="E21" s="24">
        <f>E9/'Rate Class Energy Model'!M14</f>
        <v>0.0027703246055312803</v>
      </c>
    </row>
    <row r="23" spans="1:5" ht="12.75">
      <c r="A23" t="s">
        <v>14</v>
      </c>
      <c r="B23" s="24">
        <f>AVERAGE(B14:B21)</f>
        <v>0.0024579021766147173</v>
      </c>
      <c r="C23" s="24">
        <f>AVERAGE(C14:C21)</f>
        <v>0.0021070110776747644</v>
      </c>
      <c r="D23" s="24">
        <f>AVERAGE(D14:D21)</f>
        <v>0.0027480856417782147</v>
      </c>
      <c r="E23" s="24">
        <f>AVERAGE(E14:E21)</f>
        <v>0.002856454493118207</v>
      </c>
    </row>
    <row r="30" spans="2:5" ht="12.75">
      <c r="B30" s="22"/>
      <c r="C30" s="22"/>
      <c r="D30" s="22"/>
      <c r="E30" s="22"/>
    </row>
    <row r="31" spans="2:5" ht="12.75">
      <c r="B31" s="22"/>
      <c r="C31" s="22"/>
      <c r="D31" s="22"/>
      <c r="E31" s="22"/>
    </row>
    <row r="50" spans="2:5" ht="12.75">
      <c r="B50" s="12"/>
      <c r="C50" s="12"/>
      <c r="D50" s="12"/>
      <c r="E50" s="12"/>
    </row>
    <row r="51" spans="2:5" ht="12.75">
      <c r="B51" s="12"/>
      <c r="C51" s="12"/>
      <c r="D51" s="12"/>
      <c r="E51" s="12"/>
    </row>
  </sheetData>
  <sheetProtection/>
  <mergeCells count="1">
    <mergeCell ref="H13:K13"/>
  </mergeCells>
  <printOptions/>
  <pageMargins left="0.38" right="0.75" top="0.73" bottom="0.74" header="0.5" footer="0.5"/>
  <pageSetup fitToHeight="1" fitToWidth="1" horizontalDpi="600" verticalDpi="600" orientation="portrait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4"/>
  <sheetViews>
    <sheetView zoomScalePageLayoutView="0" workbookViewId="0" topLeftCell="A1">
      <selection activeCell="W8" sqref="W8"/>
    </sheetView>
  </sheetViews>
  <sheetFormatPr defaultColWidth="9.140625" defaultRowHeight="12.75"/>
  <cols>
    <col min="2" max="5" width="9.140625" style="95" customWidth="1"/>
    <col min="6" max="6" width="9.28125" style="98" customWidth="1"/>
    <col min="7" max="7" width="9.57421875" style="98" customWidth="1"/>
    <col min="8" max="14" width="9.140625" style="95" customWidth="1"/>
    <col min="15" max="17" width="9.140625" style="107" customWidth="1"/>
    <col min="18" max="21" width="9.140625" style="95" customWidth="1"/>
    <col min="22" max="22" width="9.8515625" style="0" bestFit="1" customWidth="1"/>
    <col min="23" max="23" width="11.00390625" style="0" bestFit="1" customWidth="1"/>
  </cols>
  <sheetData>
    <row r="1" spans="1:10" ht="12.75">
      <c r="A1" s="15" t="s">
        <v>101</v>
      </c>
      <c r="E1" s="324" t="s">
        <v>102</v>
      </c>
      <c r="F1" s="324"/>
      <c r="G1" s="96" t="s">
        <v>123</v>
      </c>
      <c r="H1" s="96"/>
      <c r="I1" s="96"/>
      <c r="J1" s="96"/>
    </row>
    <row r="2" spans="1:2" ht="12.75">
      <c r="A2" s="66"/>
      <c r="B2" s="97"/>
    </row>
    <row r="3" spans="1:7" ht="12.75">
      <c r="A3" s="67" t="s">
        <v>103</v>
      </c>
      <c r="B3" s="99"/>
      <c r="C3" s="99"/>
      <c r="D3" s="99"/>
      <c r="E3" s="99"/>
      <c r="F3" s="100"/>
      <c r="G3" s="100"/>
    </row>
    <row r="4" spans="1:7" ht="12.75">
      <c r="A4" s="68"/>
      <c r="B4" s="101"/>
      <c r="C4" s="101"/>
      <c r="D4" s="101"/>
      <c r="E4" s="101"/>
      <c r="F4" s="102"/>
      <c r="G4" s="102"/>
    </row>
    <row r="5" spans="1:23" s="106" customFormat="1" ht="12.75">
      <c r="A5" s="104" t="s">
        <v>104</v>
      </c>
      <c r="B5" s="104">
        <v>1992</v>
      </c>
      <c r="C5" s="104">
        <v>1993</v>
      </c>
      <c r="D5" s="104">
        <v>1994</v>
      </c>
      <c r="E5" s="104">
        <v>1995</v>
      </c>
      <c r="F5" s="104">
        <v>1996</v>
      </c>
      <c r="G5" s="104">
        <v>1997</v>
      </c>
      <c r="H5" s="104">
        <v>1998</v>
      </c>
      <c r="I5" s="104">
        <v>1999</v>
      </c>
      <c r="J5" s="104">
        <v>2000</v>
      </c>
      <c r="K5" s="104">
        <v>2001</v>
      </c>
      <c r="L5" s="104">
        <v>2002</v>
      </c>
      <c r="M5" s="104">
        <v>2003</v>
      </c>
      <c r="N5" s="104">
        <v>2004</v>
      </c>
      <c r="O5" s="108">
        <v>2005</v>
      </c>
      <c r="P5" s="108">
        <v>2006</v>
      </c>
      <c r="Q5" s="108">
        <v>2007</v>
      </c>
      <c r="R5" s="104">
        <v>2008</v>
      </c>
      <c r="S5" s="104">
        <v>2009</v>
      </c>
      <c r="T5" s="104">
        <v>2010</v>
      </c>
      <c r="U5" s="104">
        <v>2011</v>
      </c>
      <c r="V5" s="105" t="s">
        <v>105</v>
      </c>
      <c r="W5" s="105" t="s">
        <v>106</v>
      </c>
    </row>
    <row r="6" spans="1:7" ht="12.75">
      <c r="A6" s="68"/>
      <c r="B6" s="101"/>
      <c r="C6" s="101"/>
      <c r="D6" s="101"/>
      <c r="E6" s="101"/>
      <c r="F6" s="100"/>
      <c r="G6" s="100"/>
    </row>
    <row r="7" spans="1:9" ht="12.75">
      <c r="A7" s="69"/>
      <c r="B7" s="103"/>
      <c r="C7" s="103"/>
      <c r="D7" s="103"/>
      <c r="E7" s="103"/>
      <c r="F7" s="100"/>
      <c r="G7" s="100"/>
      <c r="H7" s="100"/>
      <c r="I7" s="100"/>
    </row>
    <row r="8" spans="1:23" ht="12.75">
      <c r="A8" s="69" t="s">
        <v>107</v>
      </c>
      <c r="B8" s="103">
        <v>787.7</v>
      </c>
      <c r="C8" s="103">
        <v>757.5999999999998</v>
      </c>
      <c r="D8" s="103">
        <v>1050.2</v>
      </c>
      <c r="E8" s="103">
        <v>729.1999999999999</v>
      </c>
      <c r="F8" s="103">
        <v>858.5999999999999</v>
      </c>
      <c r="G8" s="103">
        <v>843.9000000000001</v>
      </c>
      <c r="H8" s="103">
        <v>705.5</v>
      </c>
      <c r="I8" s="103">
        <v>843.8</v>
      </c>
      <c r="J8" s="103">
        <v>810.3999999999999</v>
      </c>
      <c r="K8" s="103">
        <v>796.5</v>
      </c>
      <c r="L8" s="103">
        <v>646.1999999999999</v>
      </c>
      <c r="M8" s="103">
        <v>930.5999999999999</v>
      </c>
      <c r="N8" s="103">
        <v>970.9</v>
      </c>
      <c r="O8" s="109">
        <v>851.4999999999999</v>
      </c>
      <c r="P8" s="109">
        <v>665.1999999999999</v>
      </c>
      <c r="Q8" s="109">
        <v>761.2000000000002</v>
      </c>
      <c r="R8" s="103">
        <v>711</v>
      </c>
      <c r="S8" s="103">
        <v>925.2000000000002</v>
      </c>
      <c r="T8" s="103">
        <v>793.7999999999997</v>
      </c>
      <c r="U8" s="103">
        <v>877.6</v>
      </c>
      <c r="V8" s="70">
        <f aca="true" t="shared" si="0" ref="V8:V19">AVERAGE(L8:U8)</f>
        <v>813.3199999999999</v>
      </c>
      <c r="W8" s="71">
        <f aca="true" t="shared" si="1" ref="W8:W19">TREND(B8:U8,$B$25:$U$25,2013)</f>
        <v>810.6420300751882</v>
      </c>
    </row>
    <row r="9" spans="1:23" ht="12.75">
      <c r="A9" s="69" t="s">
        <v>108</v>
      </c>
      <c r="B9" s="103">
        <v>719.4000000000001</v>
      </c>
      <c r="C9" s="103">
        <v>840</v>
      </c>
      <c r="D9" s="103">
        <v>831.8000000000002</v>
      </c>
      <c r="E9" s="103">
        <v>782.5999999999998</v>
      </c>
      <c r="F9" s="103">
        <v>744.9</v>
      </c>
      <c r="G9" s="103">
        <v>664.6</v>
      </c>
      <c r="H9" s="103">
        <v>589.3000000000001</v>
      </c>
      <c r="I9" s="103">
        <v>618</v>
      </c>
      <c r="J9" s="103">
        <v>703.2000000000002</v>
      </c>
      <c r="K9" s="103">
        <v>687.4</v>
      </c>
      <c r="L9" s="103">
        <v>612.5999999999999</v>
      </c>
      <c r="M9" s="103">
        <v>816.3999999999997</v>
      </c>
      <c r="N9" s="103">
        <v>717.0000000000001</v>
      </c>
      <c r="O9" s="109">
        <v>673</v>
      </c>
      <c r="P9" s="109">
        <v>701.0000000000001</v>
      </c>
      <c r="Q9" s="109">
        <v>800.8</v>
      </c>
      <c r="R9" s="103">
        <v>763.1999999999999</v>
      </c>
      <c r="S9" s="103">
        <v>670.6000000000001</v>
      </c>
      <c r="T9" s="103">
        <v>650</v>
      </c>
      <c r="U9" s="103">
        <v>717.7</v>
      </c>
      <c r="V9" s="70">
        <f t="shared" si="0"/>
        <v>712.2299999999999</v>
      </c>
      <c r="W9" s="71">
        <f t="shared" si="1"/>
        <v>683.6641353383457</v>
      </c>
    </row>
    <row r="10" spans="1:23" ht="12.75">
      <c r="A10" s="69" t="s">
        <v>109</v>
      </c>
      <c r="B10" s="103">
        <v>676.3000000000002</v>
      </c>
      <c r="C10" s="103">
        <v>688.8999999999997</v>
      </c>
      <c r="D10" s="103">
        <v>621.7</v>
      </c>
      <c r="E10" s="103">
        <v>536.4</v>
      </c>
      <c r="F10" s="103">
        <v>671.9</v>
      </c>
      <c r="G10" s="103">
        <v>680.8999999999999</v>
      </c>
      <c r="H10" s="103">
        <v>559.9999999999999</v>
      </c>
      <c r="I10" s="103">
        <v>611</v>
      </c>
      <c r="J10" s="103">
        <v>486.59999999999997</v>
      </c>
      <c r="K10" s="103">
        <v>652.0999999999998</v>
      </c>
      <c r="L10" s="103">
        <v>587.8000000000001</v>
      </c>
      <c r="M10" s="103">
        <v>676.1</v>
      </c>
      <c r="N10" s="103">
        <v>536.5000000000001</v>
      </c>
      <c r="O10" s="109">
        <v>648.7000000000002</v>
      </c>
      <c r="P10" s="109">
        <v>592.3000000000002</v>
      </c>
      <c r="Q10" s="109">
        <v>626.4</v>
      </c>
      <c r="R10" s="103">
        <v>720.2000000000002</v>
      </c>
      <c r="S10" s="103">
        <v>585.8000000000001</v>
      </c>
      <c r="T10" s="103">
        <v>469.7</v>
      </c>
      <c r="U10" s="103">
        <v>623.3999999999997</v>
      </c>
      <c r="V10" s="70">
        <f t="shared" si="0"/>
        <v>606.69</v>
      </c>
      <c r="W10" s="71">
        <f t="shared" si="1"/>
        <v>583.0125563909778</v>
      </c>
    </row>
    <row r="11" spans="1:23" ht="12.75">
      <c r="A11" s="69" t="s">
        <v>110</v>
      </c>
      <c r="B11" s="103">
        <v>399.5</v>
      </c>
      <c r="C11" s="103">
        <v>366.99999999999994</v>
      </c>
      <c r="D11" s="103">
        <v>356.10000000000014</v>
      </c>
      <c r="E11" s="103">
        <v>436.69999999999993</v>
      </c>
      <c r="F11" s="103">
        <v>428.50000000000006</v>
      </c>
      <c r="G11" s="103">
        <v>398.19999999999993</v>
      </c>
      <c r="H11" s="103">
        <v>321.4</v>
      </c>
      <c r="I11" s="103">
        <v>335</v>
      </c>
      <c r="J11" s="103">
        <v>386.4000000000001</v>
      </c>
      <c r="K11" s="103">
        <v>334.79999999999995</v>
      </c>
      <c r="L11" s="103">
        <v>357.30000000000007</v>
      </c>
      <c r="M11" s="103">
        <v>425.8</v>
      </c>
      <c r="N11" s="103">
        <v>367.3999999999999</v>
      </c>
      <c r="O11" s="109">
        <v>344.3999999999999</v>
      </c>
      <c r="P11" s="109">
        <v>329.79999999999995</v>
      </c>
      <c r="Q11" s="109">
        <v>389.5</v>
      </c>
      <c r="R11" s="103">
        <v>311.80000000000007</v>
      </c>
      <c r="S11" s="103">
        <v>348.69999999999993</v>
      </c>
      <c r="T11" s="103">
        <v>244.3</v>
      </c>
      <c r="U11" s="103">
        <v>350.69999999999993</v>
      </c>
      <c r="V11" s="70">
        <f t="shared" si="0"/>
        <v>346.96999999999997</v>
      </c>
      <c r="W11" s="71">
        <f t="shared" si="1"/>
        <v>315.58977443609</v>
      </c>
    </row>
    <row r="12" spans="1:23" ht="12.75">
      <c r="A12" s="69" t="s">
        <v>89</v>
      </c>
      <c r="B12" s="103">
        <v>200.89999999999998</v>
      </c>
      <c r="C12" s="103">
        <v>192.59999999999994</v>
      </c>
      <c r="D12" s="103">
        <v>221.89999999999998</v>
      </c>
      <c r="E12" s="103">
        <v>187.89999999999998</v>
      </c>
      <c r="F12" s="103">
        <v>234.20000000000002</v>
      </c>
      <c r="G12" s="103">
        <v>275.8999999999999</v>
      </c>
      <c r="H12" s="103">
        <v>79.49999999999999</v>
      </c>
      <c r="I12" s="103">
        <v>149.10000000000002</v>
      </c>
      <c r="J12" s="103">
        <v>176.70000000000005</v>
      </c>
      <c r="K12" s="103">
        <v>151.7</v>
      </c>
      <c r="L12" s="103">
        <v>256.4</v>
      </c>
      <c r="M12" s="103">
        <v>199.90000000000006</v>
      </c>
      <c r="N12" s="103">
        <v>187.60000000000014</v>
      </c>
      <c r="O12" s="109">
        <v>230.99999999999991</v>
      </c>
      <c r="P12" s="109">
        <v>165.8</v>
      </c>
      <c r="Q12" s="109">
        <v>175.50000000000003</v>
      </c>
      <c r="R12" s="103">
        <v>230.99999999999997</v>
      </c>
      <c r="S12" s="103">
        <v>201.00000000000003</v>
      </c>
      <c r="T12" s="103">
        <v>132.70000000000005</v>
      </c>
      <c r="U12" s="103">
        <v>143.3</v>
      </c>
      <c r="V12" s="70">
        <f t="shared" si="0"/>
        <v>192.42000000000002</v>
      </c>
      <c r="W12" s="71">
        <f t="shared" si="1"/>
        <v>171.7865413533832</v>
      </c>
    </row>
    <row r="13" spans="1:23" ht="12.75">
      <c r="A13" s="69" t="s">
        <v>111</v>
      </c>
      <c r="B13" s="103">
        <v>98</v>
      </c>
      <c r="C13" s="103">
        <v>72.39999999999999</v>
      </c>
      <c r="D13" s="103">
        <v>45.199999999999996</v>
      </c>
      <c r="E13" s="103">
        <v>37</v>
      </c>
      <c r="F13" s="103">
        <v>40.900000000000006</v>
      </c>
      <c r="G13" s="103">
        <v>32.199999999999996</v>
      </c>
      <c r="H13" s="103">
        <v>66.4</v>
      </c>
      <c r="I13" s="103">
        <v>47.9</v>
      </c>
      <c r="J13" s="103">
        <v>69.2</v>
      </c>
      <c r="K13" s="103">
        <v>49.099999999999994</v>
      </c>
      <c r="L13" s="103">
        <v>58.1</v>
      </c>
      <c r="M13" s="103">
        <v>59.30000000000001</v>
      </c>
      <c r="N13" s="103">
        <v>96.4</v>
      </c>
      <c r="O13" s="109">
        <v>20.5</v>
      </c>
      <c r="P13" s="109">
        <v>34.89999999999999</v>
      </c>
      <c r="Q13" s="109">
        <v>37.4</v>
      </c>
      <c r="R13" s="103">
        <v>35.800000000000004</v>
      </c>
      <c r="S13" s="103">
        <v>79.59999999999998</v>
      </c>
      <c r="T13" s="103">
        <v>31.700000000000006</v>
      </c>
      <c r="U13" s="103">
        <v>31.500000000000004</v>
      </c>
      <c r="V13" s="70">
        <f t="shared" si="0"/>
        <v>48.519999999999996</v>
      </c>
      <c r="W13" s="71">
        <f t="shared" si="1"/>
        <v>38.61105263157924</v>
      </c>
    </row>
    <row r="14" spans="1:23" ht="12.75">
      <c r="A14" s="69" t="s">
        <v>112</v>
      </c>
      <c r="B14" s="103">
        <v>53.8</v>
      </c>
      <c r="C14" s="103">
        <v>6.7</v>
      </c>
      <c r="D14" s="103">
        <v>10.700000000000001</v>
      </c>
      <c r="E14" s="103">
        <v>22.200000000000003</v>
      </c>
      <c r="F14" s="103">
        <v>17.299999999999997</v>
      </c>
      <c r="G14" s="103">
        <v>35.3</v>
      </c>
      <c r="H14" s="103">
        <v>21.6</v>
      </c>
      <c r="I14" s="103">
        <v>10.4</v>
      </c>
      <c r="J14" s="103">
        <v>27.900000000000006</v>
      </c>
      <c r="K14" s="103">
        <v>32.6</v>
      </c>
      <c r="L14" s="103">
        <v>9.1</v>
      </c>
      <c r="M14" s="103">
        <v>10.7</v>
      </c>
      <c r="N14" s="103">
        <v>11.7</v>
      </c>
      <c r="O14" s="109">
        <v>3.9</v>
      </c>
      <c r="P14" s="109">
        <v>3.6000000000000005</v>
      </c>
      <c r="Q14" s="109">
        <v>24.6</v>
      </c>
      <c r="R14" s="103">
        <v>7.100000000000001</v>
      </c>
      <c r="S14" s="103">
        <v>30.200000000000003</v>
      </c>
      <c r="T14" s="103">
        <v>5.700000000000001</v>
      </c>
      <c r="U14" s="103">
        <v>0</v>
      </c>
      <c r="V14" s="70">
        <f t="shared" si="0"/>
        <v>10.66</v>
      </c>
      <c r="W14" s="71">
        <f t="shared" si="1"/>
        <v>5.6642105263158555</v>
      </c>
    </row>
    <row r="15" spans="1:23" ht="12.75">
      <c r="A15" s="69" t="s">
        <v>113</v>
      </c>
      <c r="B15" s="103">
        <v>67.1</v>
      </c>
      <c r="C15" s="103">
        <v>29.8</v>
      </c>
      <c r="D15" s="103">
        <v>57.199999999999996</v>
      </c>
      <c r="E15" s="103">
        <v>25</v>
      </c>
      <c r="F15" s="103">
        <v>24.9</v>
      </c>
      <c r="G15" s="103">
        <v>62.3</v>
      </c>
      <c r="H15" s="103">
        <v>25.5</v>
      </c>
      <c r="I15" s="103">
        <v>50.699999999999996</v>
      </c>
      <c r="J15" s="103">
        <v>42.80000000000001</v>
      </c>
      <c r="K15" s="103">
        <v>9.6</v>
      </c>
      <c r="L15" s="103">
        <v>14.599999999999998</v>
      </c>
      <c r="M15" s="103">
        <v>21</v>
      </c>
      <c r="N15" s="103">
        <v>52.300000000000004</v>
      </c>
      <c r="O15" s="109">
        <v>4.4</v>
      </c>
      <c r="P15" s="109">
        <v>27.299999999999997</v>
      </c>
      <c r="Q15" s="109">
        <v>0</v>
      </c>
      <c r="R15" s="103">
        <v>27.3</v>
      </c>
      <c r="S15" s="103">
        <v>36.6</v>
      </c>
      <c r="T15" s="103">
        <v>15</v>
      </c>
      <c r="U15" s="103">
        <v>10.9</v>
      </c>
      <c r="V15" s="70">
        <f t="shared" si="0"/>
        <v>20.94</v>
      </c>
      <c r="W15" s="71">
        <f t="shared" si="1"/>
        <v>9.571203007519216</v>
      </c>
    </row>
    <row r="16" spans="1:23" ht="12.75">
      <c r="A16" s="69" t="s">
        <v>114</v>
      </c>
      <c r="B16" s="103">
        <v>149</v>
      </c>
      <c r="C16" s="103">
        <v>194.70000000000002</v>
      </c>
      <c r="D16" s="103">
        <v>128.39999999999998</v>
      </c>
      <c r="E16" s="103">
        <v>192.6</v>
      </c>
      <c r="F16" s="103">
        <v>101.30000000000001</v>
      </c>
      <c r="G16" s="103">
        <v>149.39999999999998</v>
      </c>
      <c r="H16" s="103">
        <v>104.30000000000001</v>
      </c>
      <c r="I16" s="103">
        <v>112.39999999999998</v>
      </c>
      <c r="J16" s="103">
        <v>155.50000000000003</v>
      </c>
      <c r="K16" s="103">
        <v>129.40000000000003</v>
      </c>
      <c r="L16" s="103">
        <v>69.80000000000003</v>
      </c>
      <c r="M16" s="103">
        <v>112.9</v>
      </c>
      <c r="N16" s="103">
        <v>75.3</v>
      </c>
      <c r="O16" s="109">
        <v>55.3</v>
      </c>
      <c r="P16" s="109">
        <v>138.2</v>
      </c>
      <c r="Q16" s="109">
        <v>0</v>
      </c>
      <c r="R16" s="103">
        <v>122</v>
      </c>
      <c r="S16" s="103">
        <v>109.2</v>
      </c>
      <c r="T16" s="103">
        <v>125.1</v>
      </c>
      <c r="U16" s="103">
        <v>94.49999999999997</v>
      </c>
      <c r="V16" s="70">
        <f t="shared" si="0"/>
        <v>90.23</v>
      </c>
      <c r="W16" s="71">
        <f t="shared" si="1"/>
        <v>69.65804511278202</v>
      </c>
    </row>
    <row r="17" spans="1:23" ht="12.75">
      <c r="A17" s="69" t="s">
        <v>115</v>
      </c>
      <c r="B17" s="103">
        <v>378.5999999999999</v>
      </c>
      <c r="C17" s="103">
        <v>370.0999999999999</v>
      </c>
      <c r="D17" s="103">
        <v>324.59999999999997</v>
      </c>
      <c r="E17" s="103">
        <v>278.5</v>
      </c>
      <c r="F17" s="103">
        <v>322.7</v>
      </c>
      <c r="G17" s="103">
        <v>348.1</v>
      </c>
      <c r="H17" s="103">
        <v>314.70000000000005</v>
      </c>
      <c r="I17" s="103">
        <v>340.6</v>
      </c>
      <c r="J17" s="103">
        <v>310.50000000000006</v>
      </c>
      <c r="K17" s="103">
        <v>292.00000000000006</v>
      </c>
      <c r="L17" s="103">
        <v>364.29999999999995</v>
      </c>
      <c r="M17" s="103">
        <v>341.8</v>
      </c>
      <c r="N17" s="103">
        <v>315.29999999999995</v>
      </c>
      <c r="O17" s="109">
        <v>262.49999999999994</v>
      </c>
      <c r="P17" s="109">
        <v>333.30000000000007</v>
      </c>
      <c r="Q17" s="109">
        <v>196.70000000000002</v>
      </c>
      <c r="R17" s="103">
        <v>342.20000000000005</v>
      </c>
      <c r="S17" s="103">
        <v>343.79999999999995</v>
      </c>
      <c r="T17" s="103">
        <v>288.2</v>
      </c>
      <c r="U17" s="103">
        <v>273.90000000000003</v>
      </c>
      <c r="V17" s="70">
        <f t="shared" si="0"/>
        <v>306.19999999999993</v>
      </c>
      <c r="W17" s="71">
        <f t="shared" si="1"/>
        <v>281.5789473684217</v>
      </c>
    </row>
    <row r="18" spans="1:23" ht="12.75">
      <c r="A18" s="69" t="s">
        <v>116</v>
      </c>
      <c r="B18" s="103">
        <v>490.5999999999999</v>
      </c>
      <c r="C18" s="103">
        <v>510.8</v>
      </c>
      <c r="D18" s="103">
        <v>436.1</v>
      </c>
      <c r="E18" s="103">
        <v>577.4</v>
      </c>
      <c r="F18" s="103">
        <v>577.8</v>
      </c>
      <c r="G18" s="103">
        <v>516.6000000000001</v>
      </c>
      <c r="H18" s="103">
        <v>460.20000000000005</v>
      </c>
      <c r="I18" s="103">
        <v>418.8999999999999</v>
      </c>
      <c r="J18" s="103">
        <v>495.6</v>
      </c>
      <c r="K18" s="103">
        <v>402.1000000000001</v>
      </c>
      <c r="L18" s="103">
        <v>496.7</v>
      </c>
      <c r="M18" s="103">
        <v>454</v>
      </c>
      <c r="N18" s="103">
        <v>458.09999999999997</v>
      </c>
      <c r="O18" s="109">
        <v>446.8</v>
      </c>
      <c r="P18" s="109">
        <v>416.6</v>
      </c>
      <c r="Q18" s="109">
        <v>528.1000000000001</v>
      </c>
      <c r="R18" s="103">
        <v>507.70000000000005</v>
      </c>
      <c r="S18" s="103">
        <v>413</v>
      </c>
      <c r="T18" s="103">
        <v>472.00000000000006</v>
      </c>
      <c r="U18" s="103">
        <v>407.29999999999995</v>
      </c>
      <c r="V18" s="70">
        <f t="shared" si="0"/>
        <v>460.03000000000003</v>
      </c>
      <c r="W18" s="71">
        <f t="shared" si="1"/>
        <v>432.2144360902248</v>
      </c>
    </row>
    <row r="19" spans="1:23" ht="12.75">
      <c r="A19" s="69" t="s">
        <v>117</v>
      </c>
      <c r="B19" s="103">
        <v>712.9000000000001</v>
      </c>
      <c r="C19" s="103">
        <v>713</v>
      </c>
      <c r="D19" s="103">
        <v>643.5999999999999</v>
      </c>
      <c r="E19" s="103">
        <v>815.1999999999999</v>
      </c>
      <c r="F19" s="103">
        <v>604.9</v>
      </c>
      <c r="G19" s="103">
        <v>655.6</v>
      </c>
      <c r="H19" s="103">
        <v>622.0000000000001</v>
      </c>
      <c r="I19" s="103">
        <v>650</v>
      </c>
      <c r="J19" s="103">
        <v>873.4000000000001</v>
      </c>
      <c r="K19" s="103">
        <v>577.6</v>
      </c>
      <c r="L19" s="103">
        <v>686.9999999999999</v>
      </c>
      <c r="M19" s="103">
        <v>627.0999999999999</v>
      </c>
      <c r="N19" s="103">
        <v>729.8</v>
      </c>
      <c r="O19" s="109">
        <v>729.6</v>
      </c>
      <c r="P19" s="109">
        <v>572</v>
      </c>
      <c r="Q19" s="109">
        <v>751.4000000000001</v>
      </c>
      <c r="R19" s="103">
        <v>736.8</v>
      </c>
      <c r="S19" s="103">
        <v>716.5</v>
      </c>
      <c r="T19" s="103">
        <v>733.6000000000001</v>
      </c>
      <c r="U19" s="103">
        <v>606.2</v>
      </c>
      <c r="V19" s="70">
        <f t="shared" si="0"/>
        <v>689</v>
      </c>
      <c r="W19" s="71">
        <f t="shared" si="1"/>
        <v>685.999097744361</v>
      </c>
    </row>
    <row r="20" spans="1:21" ht="12.75">
      <c r="A20" s="69"/>
      <c r="B20" s="103"/>
      <c r="C20" s="103"/>
      <c r="D20" s="103"/>
      <c r="E20" s="103"/>
      <c r="F20" s="103"/>
      <c r="G20" s="103"/>
      <c r="R20" s="103"/>
      <c r="S20" s="103"/>
      <c r="T20" s="103"/>
      <c r="U20" s="103"/>
    </row>
    <row r="21" spans="1:21" ht="12.75">
      <c r="A21" s="69" t="s">
        <v>10</v>
      </c>
      <c r="B21" s="103">
        <f aca="true" t="shared" si="2" ref="B21:U21">SUM(B8:B19)</f>
        <v>4733.800000000001</v>
      </c>
      <c r="C21" s="103">
        <f t="shared" si="2"/>
        <v>4743.599999999999</v>
      </c>
      <c r="D21" s="103">
        <f t="shared" si="2"/>
        <v>4727.5</v>
      </c>
      <c r="E21" s="103">
        <f t="shared" si="2"/>
        <v>4620.7</v>
      </c>
      <c r="F21" s="103">
        <f t="shared" si="2"/>
        <v>4627.9</v>
      </c>
      <c r="G21" s="103">
        <f t="shared" si="2"/>
        <v>4663</v>
      </c>
      <c r="H21" s="103">
        <f t="shared" si="2"/>
        <v>3870.4000000000005</v>
      </c>
      <c r="I21" s="103">
        <f t="shared" si="2"/>
        <v>4187.8</v>
      </c>
      <c r="J21" s="103">
        <f t="shared" si="2"/>
        <v>4538.200000000001</v>
      </c>
      <c r="K21" s="103">
        <f t="shared" si="2"/>
        <v>4114.9</v>
      </c>
      <c r="L21" s="103">
        <f t="shared" si="2"/>
        <v>4159.9</v>
      </c>
      <c r="M21" s="103">
        <f t="shared" si="2"/>
        <v>4675.6</v>
      </c>
      <c r="N21" s="103">
        <f t="shared" si="2"/>
        <v>4518.3</v>
      </c>
      <c r="O21" s="109">
        <f t="shared" si="2"/>
        <v>4271.600000000001</v>
      </c>
      <c r="P21" s="109">
        <f t="shared" si="2"/>
        <v>3980.0000000000005</v>
      </c>
      <c r="Q21" s="109">
        <f t="shared" si="2"/>
        <v>4291.6</v>
      </c>
      <c r="R21" s="103">
        <f t="shared" si="2"/>
        <v>4516.1</v>
      </c>
      <c r="S21" s="103">
        <f t="shared" si="2"/>
        <v>4460.2</v>
      </c>
      <c r="T21" s="103">
        <f t="shared" si="2"/>
        <v>3961.7999999999993</v>
      </c>
      <c r="U21" s="103">
        <f t="shared" si="2"/>
        <v>4137</v>
      </c>
    </row>
    <row r="22" spans="1:7" ht="12.75">
      <c r="A22" s="67"/>
      <c r="B22" s="99"/>
      <c r="C22" s="99"/>
      <c r="D22" s="99"/>
      <c r="E22" s="99"/>
      <c r="F22" s="100"/>
      <c r="G22" s="100"/>
    </row>
    <row r="23" spans="1:7" ht="12.75">
      <c r="A23" s="67" t="s">
        <v>118</v>
      </c>
      <c r="B23" s="99"/>
      <c r="C23" s="99"/>
      <c r="D23" s="99"/>
      <c r="E23" s="99"/>
      <c r="F23" s="100"/>
      <c r="G23" s="100"/>
    </row>
    <row r="24" spans="1:7" ht="12.75">
      <c r="A24" s="68"/>
      <c r="B24" s="101"/>
      <c r="C24" s="101"/>
      <c r="D24" s="101"/>
      <c r="E24" s="101"/>
      <c r="F24" s="102"/>
      <c r="G24" s="102"/>
    </row>
    <row r="25" spans="1:23" s="106" customFormat="1" ht="12.75">
      <c r="A25" s="104" t="s">
        <v>104</v>
      </c>
      <c r="B25" s="104">
        <v>1992</v>
      </c>
      <c r="C25" s="104">
        <v>1993</v>
      </c>
      <c r="D25" s="104">
        <v>1994</v>
      </c>
      <c r="E25" s="104">
        <v>1995</v>
      </c>
      <c r="F25" s="104">
        <v>1996</v>
      </c>
      <c r="G25" s="104">
        <v>1997</v>
      </c>
      <c r="H25" s="104">
        <v>1998</v>
      </c>
      <c r="I25" s="104">
        <v>1999</v>
      </c>
      <c r="J25" s="104">
        <v>2000</v>
      </c>
      <c r="K25" s="104">
        <v>2001</v>
      </c>
      <c r="L25" s="104">
        <v>2002</v>
      </c>
      <c r="M25" s="104">
        <v>2003</v>
      </c>
      <c r="N25" s="104">
        <v>2004</v>
      </c>
      <c r="O25" s="108">
        <v>2005</v>
      </c>
      <c r="P25" s="108">
        <v>2006</v>
      </c>
      <c r="Q25" s="108">
        <v>2007</v>
      </c>
      <c r="R25" s="104">
        <v>2008</v>
      </c>
      <c r="S25" s="104">
        <v>2009</v>
      </c>
      <c r="T25" s="104">
        <v>2010</v>
      </c>
      <c r="U25" s="104">
        <v>2011</v>
      </c>
      <c r="V25" s="105" t="s">
        <v>105</v>
      </c>
      <c r="W25" s="105" t="s">
        <v>106</v>
      </c>
    </row>
    <row r="26" spans="1:23" ht="12.75">
      <c r="A26" s="68"/>
      <c r="B26" s="101"/>
      <c r="C26" s="101"/>
      <c r="D26" s="101"/>
      <c r="E26" s="101"/>
      <c r="F26" s="100"/>
      <c r="G26" s="100"/>
      <c r="V26" s="72"/>
      <c r="W26" s="72"/>
    </row>
    <row r="27" spans="6:23" ht="12.75">
      <c r="F27" s="100"/>
      <c r="G27" s="100"/>
      <c r="V27" s="72"/>
      <c r="W27" s="72"/>
    </row>
    <row r="28" spans="1:23" ht="12.75">
      <c r="A28" s="69" t="s">
        <v>107</v>
      </c>
      <c r="B28" s="103">
        <v>0</v>
      </c>
      <c r="C28" s="103">
        <v>0</v>
      </c>
      <c r="D28" s="103">
        <v>0</v>
      </c>
      <c r="E28" s="103">
        <v>0</v>
      </c>
      <c r="F28" s="103">
        <v>0</v>
      </c>
      <c r="G28" s="103">
        <v>0</v>
      </c>
      <c r="H28" s="103">
        <v>0</v>
      </c>
      <c r="I28" s="103">
        <v>0</v>
      </c>
      <c r="J28" s="103">
        <v>0</v>
      </c>
      <c r="K28" s="103">
        <v>0</v>
      </c>
      <c r="L28" s="103">
        <v>0</v>
      </c>
      <c r="M28" s="103">
        <v>0</v>
      </c>
      <c r="N28" s="103">
        <v>0</v>
      </c>
      <c r="O28" s="109">
        <v>0</v>
      </c>
      <c r="P28" s="109">
        <v>0</v>
      </c>
      <c r="Q28" s="109">
        <v>0</v>
      </c>
      <c r="R28" s="103">
        <v>0</v>
      </c>
      <c r="S28" s="103">
        <v>0</v>
      </c>
      <c r="T28" s="103">
        <v>0</v>
      </c>
      <c r="U28" s="103">
        <v>0</v>
      </c>
      <c r="V28" s="70">
        <f aca="true" t="shared" si="3" ref="V28:V39">AVERAGE(L28:U28)</f>
        <v>0</v>
      </c>
      <c r="W28" s="71">
        <f aca="true" t="shared" si="4" ref="W28:W39">TREND(B28:U28,$B$25:$U$25,2013)</f>
        <v>0</v>
      </c>
    </row>
    <row r="29" spans="1:23" ht="12.75">
      <c r="A29" s="69" t="s">
        <v>108</v>
      </c>
      <c r="B29" s="103">
        <v>0</v>
      </c>
      <c r="C29" s="103">
        <v>0</v>
      </c>
      <c r="D29" s="103">
        <v>0</v>
      </c>
      <c r="E29" s="103">
        <v>0</v>
      </c>
      <c r="F29" s="103">
        <v>0</v>
      </c>
      <c r="G29" s="103">
        <v>0</v>
      </c>
      <c r="H29" s="103">
        <v>0</v>
      </c>
      <c r="I29" s="103">
        <v>0</v>
      </c>
      <c r="J29" s="103">
        <v>0</v>
      </c>
      <c r="K29" s="103">
        <v>0</v>
      </c>
      <c r="L29" s="103">
        <v>0</v>
      </c>
      <c r="M29" s="103">
        <v>0</v>
      </c>
      <c r="N29" s="103">
        <v>0</v>
      </c>
      <c r="O29" s="109">
        <v>0</v>
      </c>
      <c r="P29" s="109">
        <v>0</v>
      </c>
      <c r="Q29" s="109">
        <v>0</v>
      </c>
      <c r="R29" s="103">
        <v>0</v>
      </c>
      <c r="S29" s="103">
        <v>0</v>
      </c>
      <c r="T29" s="103">
        <v>0</v>
      </c>
      <c r="U29" s="103">
        <v>0</v>
      </c>
      <c r="V29" s="70">
        <f t="shared" si="3"/>
        <v>0</v>
      </c>
      <c r="W29" s="71">
        <f t="shared" si="4"/>
        <v>0</v>
      </c>
    </row>
    <row r="30" spans="1:23" ht="12.75">
      <c r="A30" s="69" t="s">
        <v>109</v>
      </c>
      <c r="B30" s="103">
        <v>0</v>
      </c>
      <c r="C30" s="103">
        <v>0</v>
      </c>
      <c r="D30" s="103">
        <v>0</v>
      </c>
      <c r="E30" s="103">
        <v>0</v>
      </c>
      <c r="F30" s="103">
        <v>0</v>
      </c>
      <c r="G30" s="103">
        <v>0</v>
      </c>
      <c r="H30" s="103">
        <v>0</v>
      </c>
      <c r="I30" s="103">
        <v>0</v>
      </c>
      <c r="J30" s="103">
        <v>0</v>
      </c>
      <c r="K30" s="103">
        <v>0</v>
      </c>
      <c r="L30" s="103">
        <v>0</v>
      </c>
      <c r="M30" s="103">
        <v>0</v>
      </c>
      <c r="N30" s="103">
        <v>0</v>
      </c>
      <c r="O30" s="109">
        <v>0</v>
      </c>
      <c r="P30" s="109">
        <v>0</v>
      </c>
      <c r="Q30" s="109">
        <v>0</v>
      </c>
      <c r="R30" s="103">
        <v>0</v>
      </c>
      <c r="S30" s="103">
        <v>0</v>
      </c>
      <c r="T30" s="103">
        <v>0</v>
      </c>
      <c r="U30" s="103">
        <v>0</v>
      </c>
      <c r="V30" s="70">
        <f t="shared" si="3"/>
        <v>0</v>
      </c>
      <c r="W30" s="71">
        <f t="shared" si="4"/>
        <v>0</v>
      </c>
    </row>
    <row r="31" spans="1:23" ht="12.75">
      <c r="A31" s="69" t="s">
        <v>110</v>
      </c>
      <c r="B31" s="103">
        <v>0</v>
      </c>
      <c r="C31" s="103">
        <v>0</v>
      </c>
      <c r="D31" s="103">
        <v>0</v>
      </c>
      <c r="E31" s="103">
        <v>0</v>
      </c>
      <c r="F31" s="103">
        <v>0</v>
      </c>
      <c r="G31" s="103">
        <v>0</v>
      </c>
      <c r="H31" s="103">
        <v>0</v>
      </c>
      <c r="I31" s="103">
        <v>0</v>
      </c>
      <c r="J31" s="103">
        <v>0</v>
      </c>
      <c r="K31" s="103">
        <v>0</v>
      </c>
      <c r="L31" s="103">
        <v>4.800000000000001</v>
      </c>
      <c r="M31" s="103">
        <v>0</v>
      </c>
      <c r="N31" s="103">
        <v>0.5</v>
      </c>
      <c r="O31" s="109">
        <v>0</v>
      </c>
      <c r="P31" s="109">
        <v>0</v>
      </c>
      <c r="Q31" s="109">
        <v>0</v>
      </c>
      <c r="R31" s="103">
        <v>0</v>
      </c>
      <c r="S31" s="103">
        <v>0</v>
      </c>
      <c r="T31" s="103">
        <v>0</v>
      </c>
      <c r="U31" s="103">
        <v>0</v>
      </c>
      <c r="V31" s="70">
        <f t="shared" si="3"/>
        <v>0.53</v>
      </c>
      <c r="W31" s="71">
        <f t="shared" si="4"/>
        <v>0.3281203007518805</v>
      </c>
    </row>
    <row r="32" spans="1:23" ht="12.75">
      <c r="A32" s="69" t="s">
        <v>89</v>
      </c>
      <c r="B32" s="103">
        <v>0.3</v>
      </c>
      <c r="C32" s="103">
        <v>0.6</v>
      </c>
      <c r="D32" s="103">
        <v>4.7</v>
      </c>
      <c r="E32" s="103">
        <v>1</v>
      </c>
      <c r="F32" s="103">
        <v>4.7</v>
      </c>
      <c r="G32" s="103">
        <v>0</v>
      </c>
      <c r="H32" s="103">
        <v>6.5</v>
      </c>
      <c r="I32" s="103">
        <v>3.6</v>
      </c>
      <c r="J32" s="103">
        <v>12.6</v>
      </c>
      <c r="K32" s="103">
        <v>3.2</v>
      </c>
      <c r="L32" s="103">
        <v>2.6</v>
      </c>
      <c r="M32" s="103">
        <v>0</v>
      </c>
      <c r="N32" s="103">
        <v>5.2</v>
      </c>
      <c r="O32" s="109">
        <v>0</v>
      </c>
      <c r="P32" s="109">
        <v>14.599999999999998</v>
      </c>
      <c r="Q32" s="109">
        <v>8.7</v>
      </c>
      <c r="R32" s="103">
        <v>0</v>
      </c>
      <c r="S32" s="103">
        <v>0</v>
      </c>
      <c r="T32" s="103">
        <v>22.8</v>
      </c>
      <c r="U32" s="103">
        <v>9.7</v>
      </c>
      <c r="V32" s="70">
        <f t="shared" si="3"/>
        <v>6.359999999999999</v>
      </c>
      <c r="W32" s="71">
        <f t="shared" si="4"/>
        <v>9.985864661654091</v>
      </c>
    </row>
    <row r="33" spans="1:23" ht="12.75">
      <c r="A33" s="69" t="s">
        <v>111</v>
      </c>
      <c r="B33" s="103">
        <v>5.4</v>
      </c>
      <c r="C33" s="103">
        <v>7.8</v>
      </c>
      <c r="D33" s="103">
        <v>43.900000000000006</v>
      </c>
      <c r="E33" s="103">
        <v>47.4</v>
      </c>
      <c r="F33" s="103">
        <v>31.2</v>
      </c>
      <c r="G33" s="103">
        <v>35.6</v>
      </c>
      <c r="H33" s="103">
        <v>52.69999999999999</v>
      </c>
      <c r="I33" s="103">
        <v>43.7</v>
      </c>
      <c r="J33" s="103">
        <v>15.700000000000001</v>
      </c>
      <c r="K33" s="103">
        <v>32.199999999999996</v>
      </c>
      <c r="L33" s="103">
        <v>45.1</v>
      </c>
      <c r="M33" s="103">
        <v>27.7</v>
      </c>
      <c r="N33" s="103">
        <v>13.3</v>
      </c>
      <c r="O33" s="109">
        <v>92.6</v>
      </c>
      <c r="P33" s="109">
        <v>28.299999999999997</v>
      </c>
      <c r="Q33" s="109">
        <v>53.8</v>
      </c>
      <c r="R33" s="103">
        <v>39.2</v>
      </c>
      <c r="S33" s="103">
        <v>20.000000000000004</v>
      </c>
      <c r="T33" s="103">
        <v>24.199999999999996</v>
      </c>
      <c r="U33" s="103">
        <v>24.799999999999997</v>
      </c>
      <c r="V33" s="70">
        <f t="shared" si="3"/>
        <v>36.9</v>
      </c>
      <c r="W33" s="71">
        <f t="shared" si="4"/>
        <v>38.91127819548865</v>
      </c>
    </row>
    <row r="34" spans="1:23" ht="12.75">
      <c r="A34" s="69" t="s">
        <v>112</v>
      </c>
      <c r="B34" s="103">
        <v>7</v>
      </c>
      <c r="C34" s="103">
        <v>57.99999999999999</v>
      </c>
      <c r="D34" s="103">
        <v>65.89999999999999</v>
      </c>
      <c r="E34" s="103">
        <v>70</v>
      </c>
      <c r="F34" s="103">
        <v>26.2</v>
      </c>
      <c r="G34" s="103">
        <v>47.79999999999999</v>
      </c>
      <c r="H34" s="103">
        <v>43.5</v>
      </c>
      <c r="I34" s="103">
        <v>98.49999999999999</v>
      </c>
      <c r="J34" s="103">
        <v>26.8</v>
      </c>
      <c r="K34" s="103">
        <v>47.800000000000004</v>
      </c>
      <c r="L34" s="103">
        <v>103.70000000000002</v>
      </c>
      <c r="M34" s="103">
        <v>51.70000000000001</v>
      </c>
      <c r="N34" s="103">
        <v>47.7</v>
      </c>
      <c r="O34" s="109">
        <v>134.40000000000003</v>
      </c>
      <c r="P34" s="109">
        <v>95.59999999999998</v>
      </c>
      <c r="Q34" s="109">
        <v>51.60000000000001</v>
      </c>
      <c r="R34" s="103">
        <v>49.10000000000001</v>
      </c>
      <c r="S34" s="103">
        <v>16.9</v>
      </c>
      <c r="T34" s="103">
        <v>124.79999999999998</v>
      </c>
      <c r="U34" s="103">
        <v>120.80000000000003</v>
      </c>
      <c r="V34" s="70">
        <f t="shared" si="3"/>
        <v>79.63000000000001</v>
      </c>
      <c r="W34" s="71">
        <f t="shared" si="4"/>
        <v>94.77075187969967</v>
      </c>
    </row>
    <row r="35" spans="1:25" ht="12.75">
      <c r="A35" s="69" t="s">
        <v>113</v>
      </c>
      <c r="B35" s="103">
        <v>17.7</v>
      </c>
      <c r="C35" s="103">
        <v>54.8</v>
      </c>
      <c r="D35" s="103">
        <v>28.900000000000002</v>
      </c>
      <c r="E35" s="103">
        <v>68.69999999999999</v>
      </c>
      <c r="F35" s="103">
        <v>30.7</v>
      </c>
      <c r="G35" s="103">
        <v>14.700000000000001</v>
      </c>
      <c r="H35" s="103">
        <v>52.1</v>
      </c>
      <c r="I35" s="103">
        <v>20.200000000000003</v>
      </c>
      <c r="J35" s="103">
        <v>40.6</v>
      </c>
      <c r="K35" s="103">
        <v>76.19999999999999</v>
      </c>
      <c r="L35" s="103">
        <v>56.300000000000004</v>
      </c>
      <c r="M35" s="103">
        <v>70.3</v>
      </c>
      <c r="N35" s="103">
        <v>31.1</v>
      </c>
      <c r="O35" s="109">
        <v>91.59999999999997</v>
      </c>
      <c r="P35" s="109">
        <v>61.4</v>
      </c>
      <c r="Q35" s="109">
        <v>0</v>
      </c>
      <c r="R35" s="103">
        <v>33.7</v>
      </c>
      <c r="S35" s="103">
        <v>52.900000000000006</v>
      </c>
      <c r="T35" s="103">
        <v>65.9</v>
      </c>
      <c r="U35" s="103">
        <v>46.9</v>
      </c>
      <c r="V35" s="70">
        <f t="shared" si="3"/>
        <v>51.00999999999999</v>
      </c>
      <c r="W35" s="71">
        <f t="shared" si="4"/>
        <v>55.516917293233064</v>
      </c>
      <c r="Y35" t="s">
        <v>119</v>
      </c>
    </row>
    <row r="36" spans="1:23" ht="12.75">
      <c r="A36" s="69" t="s">
        <v>114</v>
      </c>
      <c r="B36" s="103">
        <v>7.6</v>
      </c>
      <c r="C36" s="103">
        <v>7.4</v>
      </c>
      <c r="D36" s="103">
        <v>5.8</v>
      </c>
      <c r="E36" s="103">
        <v>2.5</v>
      </c>
      <c r="F36" s="103">
        <v>13.6</v>
      </c>
      <c r="G36" s="103">
        <v>0.2</v>
      </c>
      <c r="H36" s="103">
        <v>11.4</v>
      </c>
      <c r="I36" s="103">
        <v>22.400000000000002</v>
      </c>
      <c r="J36" s="103">
        <v>10.399999999999999</v>
      </c>
      <c r="K36" s="103">
        <v>14.299999999999999</v>
      </c>
      <c r="L36" s="103">
        <v>28.200000000000003</v>
      </c>
      <c r="M36" s="103">
        <v>3</v>
      </c>
      <c r="N36" s="103">
        <v>9.299999999999999</v>
      </c>
      <c r="O36" s="109">
        <v>22.300000000000004</v>
      </c>
      <c r="P36" s="109">
        <v>2.8</v>
      </c>
      <c r="Q36" s="109">
        <v>0</v>
      </c>
      <c r="R36" s="103">
        <v>12.7</v>
      </c>
      <c r="S36" s="103">
        <v>6.1</v>
      </c>
      <c r="T36" s="103">
        <v>17.1</v>
      </c>
      <c r="U36" s="103">
        <v>16.1</v>
      </c>
      <c r="V36" s="70">
        <f t="shared" si="3"/>
        <v>11.76</v>
      </c>
      <c r="W36" s="71">
        <f t="shared" si="4"/>
        <v>13.598120300751873</v>
      </c>
    </row>
    <row r="37" spans="1:23" ht="12.75">
      <c r="A37" s="69" t="s">
        <v>115</v>
      </c>
      <c r="B37" s="103">
        <v>0</v>
      </c>
      <c r="C37" s="103">
        <v>0</v>
      </c>
      <c r="D37" s="103">
        <v>0</v>
      </c>
      <c r="E37" s="103">
        <v>0</v>
      </c>
      <c r="F37" s="103">
        <v>0</v>
      </c>
      <c r="G37" s="103">
        <v>0</v>
      </c>
      <c r="H37" s="103">
        <v>0</v>
      </c>
      <c r="I37" s="103">
        <v>0</v>
      </c>
      <c r="J37" s="103">
        <v>0</v>
      </c>
      <c r="K37" s="103">
        <v>0</v>
      </c>
      <c r="L37" s="103">
        <v>2.6</v>
      </c>
      <c r="M37" s="103">
        <v>0</v>
      </c>
      <c r="N37" s="103">
        <v>0</v>
      </c>
      <c r="O37" s="109">
        <v>1.8</v>
      </c>
      <c r="P37" s="109">
        <v>0</v>
      </c>
      <c r="Q37" s="109">
        <v>9.4</v>
      </c>
      <c r="R37" s="103">
        <v>0</v>
      </c>
      <c r="S37" s="103">
        <v>0</v>
      </c>
      <c r="T37" s="103">
        <v>0</v>
      </c>
      <c r="U37" s="103">
        <v>0</v>
      </c>
      <c r="V37" s="70">
        <f t="shared" si="3"/>
        <v>1.3800000000000001</v>
      </c>
      <c r="W37" s="71">
        <f t="shared" si="4"/>
        <v>1.715488721804519</v>
      </c>
    </row>
    <row r="38" spans="1:23" ht="12.75">
      <c r="A38" s="69" t="s">
        <v>116</v>
      </c>
      <c r="B38" s="103">
        <v>0</v>
      </c>
      <c r="C38" s="103">
        <v>0</v>
      </c>
      <c r="D38" s="103">
        <v>0</v>
      </c>
      <c r="E38" s="103">
        <v>0</v>
      </c>
      <c r="F38" s="103">
        <v>0</v>
      </c>
      <c r="G38" s="103">
        <v>0</v>
      </c>
      <c r="H38" s="103">
        <v>0</v>
      </c>
      <c r="I38" s="103">
        <v>0</v>
      </c>
      <c r="J38" s="103">
        <v>0</v>
      </c>
      <c r="K38" s="103">
        <v>0</v>
      </c>
      <c r="L38" s="103">
        <v>0</v>
      </c>
      <c r="M38" s="103">
        <v>0</v>
      </c>
      <c r="N38" s="103">
        <v>0</v>
      </c>
      <c r="O38" s="109">
        <v>0</v>
      </c>
      <c r="P38" s="109">
        <v>0</v>
      </c>
      <c r="Q38" s="109">
        <v>0</v>
      </c>
      <c r="R38" s="103">
        <v>0</v>
      </c>
      <c r="S38" s="103">
        <v>0</v>
      </c>
      <c r="T38" s="103">
        <v>0</v>
      </c>
      <c r="U38" s="103">
        <v>0</v>
      </c>
      <c r="V38" s="70">
        <f t="shared" si="3"/>
        <v>0</v>
      </c>
      <c r="W38" s="71">
        <f t="shared" si="4"/>
        <v>0</v>
      </c>
    </row>
    <row r="39" spans="1:23" ht="12.75">
      <c r="A39" s="69" t="s">
        <v>117</v>
      </c>
      <c r="B39" s="103">
        <v>0</v>
      </c>
      <c r="C39" s="103">
        <v>0</v>
      </c>
      <c r="D39" s="103">
        <v>0</v>
      </c>
      <c r="E39" s="103">
        <v>0</v>
      </c>
      <c r="F39" s="103">
        <v>0</v>
      </c>
      <c r="G39" s="103">
        <v>0</v>
      </c>
      <c r="H39" s="103">
        <v>0</v>
      </c>
      <c r="I39" s="103">
        <v>0</v>
      </c>
      <c r="J39" s="103">
        <v>0</v>
      </c>
      <c r="K39" s="103">
        <v>0</v>
      </c>
      <c r="L39" s="103">
        <v>0</v>
      </c>
      <c r="M39" s="103">
        <v>0</v>
      </c>
      <c r="N39" s="103">
        <v>0</v>
      </c>
      <c r="O39" s="109">
        <v>0</v>
      </c>
      <c r="P39" s="109">
        <v>0</v>
      </c>
      <c r="Q39" s="109">
        <v>0</v>
      </c>
      <c r="R39" s="103">
        <v>0</v>
      </c>
      <c r="S39" s="103">
        <v>0</v>
      </c>
      <c r="T39" s="103">
        <v>0</v>
      </c>
      <c r="U39" s="103">
        <v>0</v>
      </c>
      <c r="V39" s="70">
        <f t="shared" si="3"/>
        <v>0</v>
      </c>
      <c r="W39" s="71">
        <f t="shared" si="4"/>
        <v>0</v>
      </c>
    </row>
    <row r="40" spans="1:21" ht="12.75">
      <c r="A40" s="69"/>
      <c r="B40" s="103"/>
      <c r="C40" s="103"/>
      <c r="D40" s="103"/>
      <c r="E40" s="103"/>
      <c r="F40" s="103"/>
      <c r="G40" s="103"/>
      <c r="H40" s="100"/>
      <c r="I40" s="100"/>
      <c r="R40" s="103"/>
      <c r="S40" s="103"/>
      <c r="T40" s="103"/>
      <c r="U40" s="103"/>
    </row>
    <row r="41" spans="1:23" ht="12.75">
      <c r="A41" s="69" t="s">
        <v>10</v>
      </c>
      <c r="B41" s="103">
        <f aca="true" t="shared" si="5" ref="B41:U41">SUM(B28:B39)</f>
        <v>38</v>
      </c>
      <c r="C41" s="103">
        <f t="shared" si="5"/>
        <v>128.6</v>
      </c>
      <c r="D41" s="103">
        <f t="shared" si="5"/>
        <v>149.20000000000002</v>
      </c>
      <c r="E41" s="103">
        <f t="shared" si="5"/>
        <v>189.6</v>
      </c>
      <c r="F41" s="103">
        <f t="shared" si="5"/>
        <v>106.39999999999999</v>
      </c>
      <c r="G41" s="103">
        <f t="shared" si="5"/>
        <v>98.3</v>
      </c>
      <c r="H41" s="103">
        <f t="shared" si="5"/>
        <v>166.2</v>
      </c>
      <c r="I41" s="103">
        <f t="shared" si="5"/>
        <v>188.4</v>
      </c>
      <c r="J41" s="103">
        <f t="shared" si="5"/>
        <v>106.1</v>
      </c>
      <c r="K41" s="103">
        <f t="shared" si="5"/>
        <v>173.7</v>
      </c>
      <c r="L41" s="103">
        <f t="shared" si="5"/>
        <v>243.30000000000004</v>
      </c>
      <c r="M41" s="103">
        <f t="shared" si="5"/>
        <v>152.7</v>
      </c>
      <c r="N41" s="103">
        <f t="shared" si="5"/>
        <v>107.10000000000001</v>
      </c>
      <c r="O41" s="109">
        <f t="shared" si="5"/>
        <v>342.70000000000005</v>
      </c>
      <c r="P41" s="109">
        <f t="shared" si="5"/>
        <v>202.7</v>
      </c>
      <c r="Q41" s="109">
        <f t="shared" si="5"/>
        <v>123.50000000000001</v>
      </c>
      <c r="R41" s="103">
        <f t="shared" si="5"/>
        <v>134.70000000000002</v>
      </c>
      <c r="S41" s="103">
        <f t="shared" si="5"/>
        <v>95.9</v>
      </c>
      <c r="T41" s="103">
        <f t="shared" si="5"/>
        <v>254.79999999999998</v>
      </c>
      <c r="U41" s="103">
        <f t="shared" si="5"/>
        <v>218.3</v>
      </c>
      <c r="V41" s="73"/>
      <c r="W41" s="73"/>
    </row>
    <row r="42" spans="1:17" ht="12.75">
      <c r="A42" s="69"/>
      <c r="B42" s="103"/>
      <c r="C42" s="103"/>
      <c r="D42" s="103"/>
      <c r="E42" s="103"/>
      <c r="F42" s="100"/>
      <c r="G42" s="100"/>
      <c r="H42" s="100"/>
      <c r="I42" s="100"/>
      <c r="J42" s="100"/>
      <c r="K42" s="100"/>
      <c r="L42" s="100"/>
      <c r="M42" s="100"/>
      <c r="N42" s="100"/>
      <c r="O42" s="110"/>
      <c r="P42" s="110"/>
      <c r="Q42" s="110"/>
    </row>
    <row r="43" spans="1:9" ht="12.75">
      <c r="A43" s="69"/>
      <c r="B43" s="103"/>
      <c r="C43" s="103"/>
      <c r="D43" s="103"/>
      <c r="E43" s="103"/>
      <c r="F43" s="100"/>
      <c r="G43" s="100"/>
      <c r="H43" s="100"/>
      <c r="I43" s="100"/>
    </row>
    <row r="44" spans="1:7" ht="12.75">
      <c r="A44" s="67"/>
      <c r="B44" s="99"/>
      <c r="C44" s="99"/>
      <c r="D44" s="99"/>
      <c r="E44" s="99"/>
      <c r="F44" s="100"/>
      <c r="G44" s="100"/>
    </row>
  </sheetData>
  <sheetProtection/>
  <mergeCells count="1">
    <mergeCell ref="E1:F1"/>
  </mergeCells>
  <printOptions/>
  <pageMargins left="0.5" right="0.5" top="0.75" bottom="0.75" header="0.5" footer="0.5"/>
  <pageSetup fitToHeight="1" fitToWidth="1" horizontalDpi="600" verticalDpi="600" orientation="landscape" paperSize="5" scale="92" r:id="rId1"/>
  <headerFooter alignWithMargins="0">
    <oddFooter>&amp;L&amp;8&amp;D
&amp;Z&amp;F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11"/>
  <sheetViews>
    <sheetView zoomScalePageLayoutView="0" workbookViewId="0" topLeftCell="G1">
      <selection activeCell="R32" sqref="R32"/>
    </sheetView>
  </sheetViews>
  <sheetFormatPr defaultColWidth="9.140625" defaultRowHeight="12.75"/>
  <cols>
    <col min="2" max="2" width="15.28125" style="0" customWidth="1"/>
    <col min="3" max="4" width="14.7109375" style="0" customWidth="1"/>
    <col min="5" max="5" width="12.28125" style="0" customWidth="1"/>
    <col min="6" max="6" width="12.8515625" style="0" bestFit="1" customWidth="1"/>
    <col min="7" max="7" width="13.00390625" style="0" bestFit="1" customWidth="1"/>
    <col min="8" max="8" width="12.8515625" style="0" bestFit="1" customWidth="1"/>
    <col min="10" max="10" width="11.421875" style="0" customWidth="1"/>
    <col min="16" max="16" width="12.8515625" style="0" bestFit="1" customWidth="1"/>
    <col min="17" max="20" width="10.140625" style="0" bestFit="1" customWidth="1"/>
  </cols>
  <sheetData>
    <row r="1" spans="1:5" ht="15.75">
      <c r="A1" s="37"/>
      <c r="B1" s="37"/>
      <c r="C1" s="37"/>
      <c r="D1" s="37"/>
      <c r="E1" s="37"/>
    </row>
    <row r="2" spans="2:18" ht="38.25">
      <c r="B2" s="58" t="s">
        <v>128</v>
      </c>
      <c r="C2" s="58" t="s">
        <v>129</v>
      </c>
      <c r="D2" s="58" t="s">
        <v>130</v>
      </c>
      <c r="E2" s="58" t="s">
        <v>131</v>
      </c>
      <c r="F2" s="58" t="s">
        <v>81</v>
      </c>
      <c r="G2" s="58" t="s">
        <v>82</v>
      </c>
      <c r="P2" s="303" t="s">
        <v>83</v>
      </c>
      <c r="Q2" s="303"/>
      <c r="R2" s="303"/>
    </row>
    <row r="3" spans="1:18" ht="12.75">
      <c r="A3">
        <v>2005</v>
      </c>
      <c r="F3" s="60"/>
      <c r="G3" s="61">
        <f>F3</f>
        <v>0</v>
      </c>
      <c r="H3" s="61">
        <f aca="true" t="shared" si="0" ref="H3:H11">G3/$N$15</f>
        <v>0</v>
      </c>
      <c r="J3" s="327" t="s">
        <v>84</v>
      </c>
      <c r="K3" s="327"/>
      <c r="M3" s="59" t="s">
        <v>85</v>
      </c>
      <c r="N3" s="59">
        <v>1</v>
      </c>
      <c r="P3" s="304">
        <v>38450000</v>
      </c>
      <c r="Q3" s="304"/>
      <c r="R3" s="304"/>
    </row>
    <row r="4" spans="1:14" ht="13.5" thickBot="1">
      <c r="A4">
        <v>2006</v>
      </c>
      <c r="B4" s="61">
        <f>'[5]Summary - LDC'!$E$44*1000</f>
        <v>3041819.8540286077</v>
      </c>
      <c r="C4" s="61">
        <f>'[5]Summary - LDC'!$E$24*1000</f>
        <v>2723683.5890915343</v>
      </c>
      <c r="D4" s="117">
        <f>B4-C4</f>
        <v>318136.26493707346</v>
      </c>
      <c r="E4" s="118">
        <f>D4/C4</f>
        <v>0.11680367947702236</v>
      </c>
      <c r="F4" s="61">
        <f>'[5]Summary - LDC'!$E$24*1000</f>
        <v>2723683.5890915343</v>
      </c>
      <c r="G4" s="61">
        <f>F4</f>
        <v>2723683.5890915343</v>
      </c>
      <c r="H4" s="61">
        <f t="shared" si="0"/>
        <v>34919.020372968385</v>
      </c>
      <c r="J4" s="62">
        <f>G27</f>
        <v>2723683.5890915347</v>
      </c>
      <c r="K4" s="62">
        <f aca="true" t="shared" si="1" ref="K4:K11">F4-J4</f>
        <v>0</v>
      </c>
      <c r="M4" s="59" t="s">
        <v>86</v>
      </c>
      <c r="N4" s="59">
        <v>2</v>
      </c>
    </row>
    <row r="5" spans="1:20" ht="12.75">
      <c r="A5">
        <v>2007</v>
      </c>
      <c r="B5" s="61">
        <f>'[5]Summary - LDC'!$F$44*1000</f>
        <v>9963010.751323825</v>
      </c>
      <c r="C5" s="61">
        <f>'[5]Summary - LDC'!$F$24*1000</f>
        <v>4916914.058368537</v>
      </c>
      <c r="D5" s="117">
        <f aca="true" t="shared" si="2" ref="D5:D10">B5-C5</f>
        <v>5046096.692955288</v>
      </c>
      <c r="E5" s="118">
        <f aca="true" t="shared" si="3" ref="E5:E10">D5/C5</f>
        <v>1.0262731121702002</v>
      </c>
      <c r="F5" s="61">
        <f>'[5]Summary - LDC'!$F$24*1000</f>
        <v>4916914.058368537</v>
      </c>
      <c r="G5" s="61">
        <f>F5-H27</f>
        <v>-111424.87533891201</v>
      </c>
      <c r="H5" s="61">
        <f t="shared" si="0"/>
        <v>-1428.5240428065642</v>
      </c>
      <c r="J5" s="62">
        <f>G39</f>
        <v>4916914.058368535</v>
      </c>
      <c r="K5" s="62">
        <f t="shared" si="1"/>
        <v>0</v>
      </c>
      <c r="M5" s="59" t="s">
        <v>87</v>
      </c>
      <c r="N5" s="59">
        <v>3</v>
      </c>
      <c r="P5" s="328" t="s">
        <v>120</v>
      </c>
      <c r="Q5" s="329"/>
      <c r="R5" s="329"/>
      <c r="S5" s="329"/>
      <c r="T5" s="330"/>
    </row>
    <row r="6" spans="1:20" ht="12.75">
      <c r="A6">
        <v>2008</v>
      </c>
      <c r="B6" s="61">
        <f>'[5]Summary - LDC'!$G$44*1000</f>
        <v>10375831.832404135</v>
      </c>
      <c r="C6" s="61">
        <f>'[5]Summary - LDC'!$G$24*1000</f>
        <v>6715312.873401937</v>
      </c>
      <c r="D6" s="117">
        <f t="shared" si="2"/>
        <v>3660518.9590021977</v>
      </c>
      <c r="E6" s="118">
        <f t="shared" si="3"/>
        <v>0.5451002846793348</v>
      </c>
      <c r="F6" s="61">
        <f>'[5]Summary - LDC'!$G$24*1000</f>
        <v>6715312.873401937</v>
      </c>
      <c r="G6" s="61">
        <f>F6-H39</f>
        <v>1892681.401858637</v>
      </c>
      <c r="H6" s="61">
        <f t="shared" si="0"/>
        <v>24265.146177674837</v>
      </c>
      <c r="J6" s="62">
        <f>G51</f>
        <v>6715312.873401937</v>
      </c>
      <c r="K6" s="62">
        <f t="shared" si="1"/>
        <v>0</v>
      </c>
      <c r="M6" s="59" t="s">
        <v>88</v>
      </c>
      <c r="N6" s="59">
        <v>4</v>
      </c>
      <c r="P6" s="74">
        <v>2011</v>
      </c>
      <c r="Q6" s="59">
        <v>2012</v>
      </c>
      <c r="R6" s="59">
        <v>2013</v>
      </c>
      <c r="S6" s="59">
        <v>2014</v>
      </c>
      <c r="T6" s="75" t="s">
        <v>10</v>
      </c>
    </row>
    <row r="7" spans="1:20" ht="12.75">
      <c r="A7">
        <v>2009</v>
      </c>
      <c r="B7" s="61">
        <f>'[5]Summary - LDC'!$H$44*1000</f>
        <v>18969005.986506134</v>
      </c>
      <c r="C7" s="61">
        <f>'[5]Summary - LDC'!$H$24*1000</f>
        <v>12781165.28749761</v>
      </c>
      <c r="D7" s="117">
        <f t="shared" si="2"/>
        <v>6187840.699008524</v>
      </c>
      <c r="E7" s="118">
        <f t="shared" si="3"/>
        <v>0.48413744442076806</v>
      </c>
      <c r="F7" s="61">
        <f>'[5]Summary - LDC'!$H$24*1000</f>
        <v>12781165.28749761</v>
      </c>
      <c r="G7" s="61">
        <f>F7-H51</f>
        <v>4464352.76636913</v>
      </c>
      <c r="H7" s="61">
        <f t="shared" si="0"/>
        <v>57235.29187652731</v>
      </c>
      <c r="J7" s="62">
        <f>G63</f>
        <v>12781165.287497612</v>
      </c>
      <c r="K7" s="62">
        <f t="shared" si="1"/>
        <v>0</v>
      </c>
      <c r="M7" s="59" t="s">
        <v>89</v>
      </c>
      <c r="N7" s="59">
        <v>5</v>
      </c>
      <c r="P7" s="76">
        <v>0.1</v>
      </c>
      <c r="Q7" s="77">
        <v>0.1</v>
      </c>
      <c r="R7" s="77">
        <v>0.1</v>
      </c>
      <c r="S7" s="77">
        <v>0.1</v>
      </c>
      <c r="T7" s="78">
        <f>SUM(P7:S7)</f>
        <v>0.4</v>
      </c>
    </row>
    <row r="8" spans="1:20" ht="12.75">
      <c r="A8">
        <v>2010</v>
      </c>
      <c r="B8" s="61">
        <f>'[5]Summary - LDC'!$I$44*1000</f>
        <v>24045440.91167186</v>
      </c>
      <c r="C8" s="61">
        <f>'[5]Summary - LDC'!$I$24*1000</f>
        <v>15159042.797841245</v>
      </c>
      <c r="D8" s="117">
        <f t="shared" si="2"/>
        <v>8886398.113830613</v>
      </c>
      <c r="E8" s="118">
        <f t="shared" si="3"/>
        <v>0.5862110314179005</v>
      </c>
      <c r="F8" s="61">
        <f>'[5]Summary - LDC'!$I$24*1000</f>
        <v>15159042.797841245</v>
      </c>
      <c r="G8" s="61">
        <f>F8-H63</f>
        <v>-1399651.753507167</v>
      </c>
      <c r="H8" s="61">
        <f t="shared" si="0"/>
        <v>-17944.253250091886</v>
      </c>
      <c r="J8" s="62">
        <f>G75</f>
        <v>15159042.797841253</v>
      </c>
      <c r="K8" s="62">
        <f t="shared" si="1"/>
        <v>0</v>
      </c>
      <c r="M8" s="59" t="s">
        <v>90</v>
      </c>
      <c r="N8" s="59">
        <v>6</v>
      </c>
      <c r="P8" s="79"/>
      <c r="Q8" s="77">
        <v>0.1</v>
      </c>
      <c r="R8" s="77">
        <v>0.1</v>
      </c>
      <c r="S8" s="77">
        <v>0.1</v>
      </c>
      <c r="T8" s="78">
        <f>SUM(P8:S8)</f>
        <v>0.30000000000000004</v>
      </c>
    </row>
    <row r="9" spans="1:20" ht="12.75">
      <c r="A9">
        <v>2011</v>
      </c>
      <c r="B9" s="61">
        <f>'[5]Summary - LDC'!$J$44*1000</f>
        <v>23097069.524923027</v>
      </c>
      <c r="C9" s="61">
        <f>'[5]Summary - LDC'!$J$24*1000</f>
        <v>14195309.059850508</v>
      </c>
      <c r="D9" s="117">
        <f t="shared" si="2"/>
        <v>8901760.465072518</v>
      </c>
      <c r="E9" s="118">
        <f t="shared" si="3"/>
        <v>0.6270916982181058</v>
      </c>
      <c r="F9" s="61">
        <f>C9+P31</f>
        <v>16773116.588492712</v>
      </c>
      <c r="G9" s="61">
        <f>F9-H75</f>
        <v>2798394.505157519</v>
      </c>
      <c r="H9" s="61">
        <f t="shared" si="0"/>
        <v>35876.8526302246</v>
      </c>
      <c r="J9" s="62">
        <f>G87</f>
        <v>16773116.588492706</v>
      </c>
      <c r="K9" s="62">
        <f t="shared" si="1"/>
        <v>0</v>
      </c>
      <c r="M9" s="59" t="s">
        <v>91</v>
      </c>
      <c r="N9" s="59">
        <v>7</v>
      </c>
      <c r="P9" s="79"/>
      <c r="Q9" s="80"/>
      <c r="R9" s="77">
        <v>0.1</v>
      </c>
      <c r="S9" s="77">
        <v>0.1</v>
      </c>
      <c r="T9" s="78">
        <f>SUM(P9:S9)</f>
        <v>0.2</v>
      </c>
    </row>
    <row r="10" spans="1:20" ht="12.75">
      <c r="A10">
        <v>2012</v>
      </c>
      <c r="B10" s="61">
        <f>'[5]Summary - LDC'!$K$44*1000</f>
        <v>22601517.073246423</v>
      </c>
      <c r="C10" s="61">
        <f>'[5]Summary - LDC'!$K$24*1000</f>
        <v>13984072.561046861</v>
      </c>
      <c r="D10" s="117">
        <f t="shared" si="2"/>
        <v>8617444.512199562</v>
      </c>
      <c r="E10" s="118">
        <f t="shared" si="3"/>
        <v>0.6162328230621289</v>
      </c>
      <c r="F10" s="61">
        <f>C10+Q31</f>
        <v>21256710.069251064</v>
      </c>
      <c r="G10" s="61">
        <f>F10-H87</f>
        <v>2115721.207163539</v>
      </c>
      <c r="H10" s="61">
        <f t="shared" si="0"/>
        <v>27124.63086107101</v>
      </c>
      <c r="J10" s="62">
        <f>G99</f>
        <v>21256710.06925106</v>
      </c>
      <c r="K10" s="62">
        <f t="shared" si="1"/>
        <v>0</v>
      </c>
      <c r="M10" s="59" t="s">
        <v>92</v>
      </c>
      <c r="N10" s="59">
        <v>8</v>
      </c>
      <c r="P10" s="81"/>
      <c r="Q10" s="80"/>
      <c r="R10" s="80"/>
      <c r="S10" s="77">
        <v>0.1</v>
      </c>
      <c r="T10" s="78">
        <f>SUM(P10:S10)</f>
        <v>0.1</v>
      </c>
    </row>
    <row r="11" spans="1:20" ht="12.75">
      <c r="A11">
        <v>2013</v>
      </c>
      <c r="B11" s="61">
        <f>'[5]Summary - LDC'!$L$44*1000</f>
        <v>22466505.356910065</v>
      </c>
      <c r="C11" s="61">
        <f>'[5]Summary - LDC'!$L$24*1000</f>
        <v>13915351.044657195</v>
      </c>
      <c r="D11" s="117">
        <f>B11-C11</f>
        <v>8551154.31225287</v>
      </c>
      <c r="E11" s="118">
        <f>D11/C11</f>
        <v>0.6145122954362038</v>
      </c>
      <c r="F11" s="61">
        <f>C11+R31</f>
        <v>25882449.230674736</v>
      </c>
      <c r="G11" s="61">
        <f>F11-H99</f>
        <v>2835513.5245929956</v>
      </c>
      <c r="H11" s="61">
        <f t="shared" si="0"/>
        <v>36352.737494782</v>
      </c>
      <c r="J11" s="62">
        <f>G111</f>
        <v>25882449.230674744</v>
      </c>
      <c r="K11" s="62">
        <f t="shared" si="1"/>
        <v>0</v>
      </c>
      <c r="M11" s="59" t="s">
        <v>93</v>
      </c>
      <c r="N11" s="59">
        <v>9</v>
      </c>
      <c r="P11" s="76">
        <f>SUM(P7:P10)</f>
        <v>0.1</v>
      </c>
      <c r="Q11" s="77">
        <f>SUM(Q7:Q10)</f>
        <v>0.2</v>
      </c>
      <c r="R11" s="77">
        <f>SUM(R7:R10)</f>
        <v>0.30000000000000004</v>
      </c>
      <c r="S11" s="77">
        <f>SUM(S7:S10)</f>
        <v>0.4</v>
      </c>
      <c r="T11" s="78">
        <f>SUM(P11:S11)</f>
        <v>1</v>
      </c>
    </row>
    <row r="12" spans="1:20" ht="12.75">
      <c r="A12" t="s">
        <v>10</v>
      </c>
      <c r="B12" s="61">
        <f>SUM(B4:B11)</f>
        <v>134560201.29101408</v>
      </c>
      <c r="C12" s="61">
        <f>SUM(C4:C11)</f>
        <v>84390851.27175543</v>
      </c>
      <c r="D12" s="61">
        <f>SUM(D4:D11)</f>
        <v>50169350.019258656</v>
      </c>
      <c r="E12" s="118">
        <f>D12/C12</f>
        <v>0.594488019296112</v>
      </c>
      <c r="F12" s="61">
        <f>SUM(F4:F11)</f>
        <v>106208394.49461937</v>
      </c>
      <c r="G12" s="61"/>
      <c r="H12" s="61"/>
      <c r="M12" s="59" t="s">
        <v>94</v>
      </c>
      <c r="N12" s="59">
        <v>10</v>
      </c>
      <c r="P12" s="331"/>
      <c r="Q12" s="332"/>
      <c r="R12" s="332"/>
      <c r="S12" s="332"/>
      <c r="T12" s="333"/>
    </row>
    <row r="13" spans="6:20" ht="12.75">
      <c r="F13" s="61"/>
      <c r="M13" s="59" t="s">
        <v>95</v>
      </c>
      <c r="N13" s="59">
        <v>11</v>
      </c>
      <c r="P13" s="82">
        <f>P7*P3</f>
        <v>3845000</v>
      </c>
      <c r="Q13" s="65">
        <f>P13</f>
        <v>3845000</v>
      </c>
      <c r="R13" s="65">
        <f>Q13</f>
        <v>3845000</v>
      </c>
      <c r="S13" s="65">
        <f>R13</f>
        <v>3845000</v>
      </c>
      <c r="T13" s="83">
        <f>SUM(P13:S13)</f>
        <v>15380000</v>
      </c>
    </row>
    <row r="14" spans="6:20" ht="12.75">
      <c r="F14" s="61" t="s">
        <v>96</v>
      </c>
      <c r="M14" s="59" t="s">
        <v>97</v>
      </c>
      <c r="N14" s="59">
        <v>12</v>
      </c>
      <c r="P14" s="82">
        <f>P8*P4</f>
        <v>0</v>
      </c>
      <c r="Q14" s="65">
        <f>Q13</f>
        <v>3845000</v>
      </c>
      <c r="R14" s="65">
        <f>Q14</f>
        <v>3845000</v>
      </c>
      <c r="S14" s="65">
        <f>R14</f>
        <v>3845000</v>
      </c>
      <c r="T14" s="83">
        <f>SUM(P14:S14)</f>
        <v>11535000</v>
      </c>
    </row>
    <row r="15" spans="6:20" ht="12.75">
      <c r="F15" s="61"/>
      <c r="M15" s="59" t="s">
        <v>10</v>
      </c>
      <c r="N15" s="59">
        <f>SUM(N3:N14)</f>
        <v>78</v>
      </c>
      <c r="P15" s="82"/>
      <c r="Q15" s="65"/>
      <c r="R15" s="65">
        <f>R14</f>
        <v>3845000</v>
      </c>
      <c r="S15" s="65">
        <f>R15</f>
        <v>3845000</v>
      </c>
      <c r="T15" s="83">
        <f>SUM(P15:S15)</f>
        <v>7690000</v>
      </c>
    </row>
    <row r="16" spans="1:20" ht="12.75">
      <c r="A16" s="3">
        <v>38718</v>
      </c>
      <c r="B16" s="3"/>
      <c r="C16" s="3"/>
      <c r="D16" s="62"/>
      <c r="E16" s="61"/>
      <c r="F16" s="61">
        <f>$H$4</f>
        <v>34919.020372968385</v>
      </c>
      <c r="P16" s="82"/>
      <c r="Q16" s="65"/>
      <c r="R16" s="65">
        <f>Q16</f>
        <v>0</v>
      </c>
      <c r="S16" s="65">
        <f>S15</f>
        <v>3845000</v>
      </c>
      <c r="T16" s="83">
        <f>SUM(P16:S16)</f>
        <v>3845000</v>
      </c>
    </row>
    <row r="17" spans="1:20" ht="13.5" thickBot="1">
      <c r="A17" s="3">
        <v>38749</v>
      </c>
      <c r="B17" s="3"/>
      <c r="C17" s="3"/>
      <c r="D17" s="62"/>
      <c r="E17" s="61"/>
      <c r="F17" s="61">
        <f aca="true" t="shared" si="4" ref="F17:F27">F16+$H$4</f>
        <v>69838.04074593677</v>
      </c>
      <c r="P17" s="84">
        <f>SUM(P13:P16)</f>
        <v>3845000</v>
      </c>
      <c r="Q17" s="85">
        <f>SUM(Q13:Q16)</f>
        <v>7690000</v>
      </c>
      <c r="R17" s="85">
        <f>SUM(R13:R16)</f>
        <v>11535000</v>
      </c>
      <c r="S17" s="85">
        <f>SUM(S13:S16)</f>
        <v>15380000</v>
      </c>
      <c r="T17" s="86">
        <f>SUM(P17:S17)</f>
        <v>38450000</v>
      </c>
    </row>
    <row r="18" spans="1:6" ht="13.5" thickBot="1">
      <c r="A18" s="3">
        <v>38777</v>
      </c>
      <c r="B18" s="3"/>
      <c r="C18" s="3"/>
      <c r="D18" s="62"/>
      <c r="E18" s="61"/>
      <c r="F18" s="61">
        <f t="shared" si="4"/>
        <v>104757.06111890516</v>
      </c>
    </row>
    <row r="19" spans="1:20" ht="12.75">
      <c r="A19" s="3">
        <v>38808</v>
      </c>
      <c r="B19" s="3"/>
      <c r="C19" s="3"/>
      <c r="D19" s="62"/>
      <c r="E19" s="61"/>
      <c r="F19" s="61">
        <f t="shared" si="4"/>
        <v>139676.08149187354</v>
      </c>
      <c r="P19" s="328" t="s">
        <v>121</v>
      </c>
      <c r="Q19" s="329"/>
      <c r="R19" s="329"/>
      <c r="S19" s="329"/>
      <c r="T19" s="330"/>
    </row>
    <row r="20" spans="1:20" ht="12.75">
      <c r="A20" s="3">
        <v>38838</v>
      </c>
      <c r="B20" s="3"/>
      <c r="C20" s="3"/>
      <c r="D20" s="62"/>
      <c r="E20" s="61"/>
      <c r="F20" s="61">
        <f t="shared" si="4"/>
        <v>174595.10186484194</v>
      </c>
      <c r="P20" s="74">
        <v>2011</v>
      </c>
      <c r="Q20" s="59">
        <v>2012</v>
      </c>
      <c r="R20" s="59">
        <v>2013</v>
      </c>
      <c r="S20" s="59">
        <v>2014</v>
      </c>
      <c r="T20" s="75" t="s">
        <v>10</v>
      </c>
    </row>
    <row r="21" spans="1:21" ht="12.75">
      <c r="A21" s="3">
        <v>38869</v>
      </c>
      <c r="B21" s="3"/>
      <c r="C21" s="3"/>
      <c r="D21" s="62"/>
      <c r="E21" s="61"/>
      <c r="F21" s="61">
        <f t="shared" si="4"/>
        <v>209514.12223781034</v>
      </c>
      <c r="P21" s="122">
        <f>P27/$P$3</f>
        <v>0.06704310867730048</v>
      </c>
      <c r="Q21" s="125">
        <f>Q27/$P$3</f>
        <v>0.06704310867730048</v>
      </c>
      <c r="R21" s="125">
        <f>R27/$P$3</f>
        <v>0.06703350395041723</v>
      </c>
      <c r="S21" s="125">
        <f>S27/$P$3</f>
        <v>0.06626701790507292</v>
      </c>
      <c r="T21" s="123">
        <f>SUM(P21:S21)</f>
        <v>0.26738673921009115</v>
      </c>
      <c r="U21" s="119" t="s">
        <v>132</v>
      </c>
    </row>
    <row r="22" spans="1:20" ht="12.75">
      <c r="A22" s="3">
        <v>38899</v>
      </c>
      <c r="B22" s="3"/>
      <c r="C22" s="3"/>
      <c r="D22" s="62"/>
      <c r="E22" s="61"/>
      <c r="F22" s="61">
        <f t="shared" si="4"/>
        <v>244433.14261077874</v>
      </c>
      <c r="P22" s="124"/>
      <c r="Q22" s="125">
        <f>(100%-T21)/6</f>
        <v>0.12210221013165147</v>
      </c>
      <c r="R22" s="125">
        <f>Q22</f>
        <v>0.12210221013165147</v>
      </c>
      <c r="S22" s="125">
        <f>R22</f>
        <v>0.12210221013165147</v>
      </c>
      <c r="T22" s="123">
        <f>SUM(P22:S22)</f>
        <v>0.3663066303949544</v>
      </c>
    </row>
    <row r="23" spans="1:20" ht="12.75">
      <c r="A23" s="3">
        <v>38930</v>
      </c>
      <c r="B23" s="3"/>
      <c r="C23" s="3"/>
      <c r="D23" s="62"/>
      <c r="E23" s="61"/>
      <c r="F23" s="61">
        <f t="shared" si="4"/>
        <v>279352.16298374714</v>
      </c>
      <c r="P23" s="126"/>
      <c r="Q23" s="125"/>
      <c r="R23" s="125">
        <f>R22</f>
        <v>0.12210221013165147</v>
      </c>
      <c r="S23" s="125">
        <f>S22</f>
        <v>0.12210221013165147</v>
      </c>
      <c r="T23" s="123">
        <f>SUM(P23:S23)</f>
        <v>0.24420442026330294</v>
      </c>
    </row>
    <row r="24" spans="1:20" ht="12.75">
      <c r="A24" s="3">
        <v>38961</v>
      </c>
      <c r="B24" s="3"/>
      <c r="C24" s="3"/>
      <c r="D24" s="62"/>
      <c r="E24" s="61"/>
      <c r="F24" s="61">
        <f t="shared" si="4"/>
        <v>314271.18335671554</v>
      </c>
      <c r="P24" s="126"/>
      <c r="Q24" s="127"/>
      <c r="R24" s="125"/>
      <c r="S24" s="125">
        <f>S23</f>
        <v>0.12210221013165147</v>
      </c>
      <c r="T24" s="123">
        <f>SUM(P24:S24)</f>
        <v>0.12210221013165147</v>
      </c>
    </row>
    <row r="25" spans="1:20" ht="12.75">
      <c r="A25" s="3">
        <v>38991</v>
      </c>
      <c r="B25" s="3"/>
      <c r="C25" s="3"/>
      <c r="D25" s="62"/>
      <c r="E25" s="61"/>
      <c r="F25" s="61">
        <f t="shared" si="4"/>
        <v>349190.20372968394</v>
      </c>
      <c r="P25" s="124">
        <f>SUM(P21:P24)</f>
        <v>0.06704310867730048</v>
      </c>
      <c r="Q25" s="125">
        <f>SUM(Q21:Q24)</f>
        <v>0.18914531880895197</v>
      </c>
      <c r="R25" s="125">
        <f>SUM(R21:R24)</f>
        <v>0.31123792421372015</v>
      </c>
      <c r="S25" s="125">
        <f>SUM(S21:S24)</f>
        <v>0.4325736483000273</v>
      </c>
      <c r="T25" s="123">
        <f>SUM(P25:S25)</f>
        <v>1</v>
      </c>
    </row>
    <row r="26" spans="1:20" ht="12.75">
      <c r="A26" s="3">
        <v>39022</v>
      </c>
      <c r="B26" s="3"/>
      <c r="C26" s="3"/>
      <c r="D26" s="62"/>
      <c r="E26" s="61"/>
      <c r="F26" s="61">
        <f t="shared" si="4"/>
        <v>384109.22410265234</v>
      </c>
      <c r="G26" s="4" t="s">
        <v>84</v>
      </c>
      <c r="P26" s="325"/>
      <c r="Q26" s="303"/>
      <c r="R26" s="303"/>
      <c r="S26" s="303"/>
      <c r="T26" s="326"/>
    </row>
    <row r="27" spans="1:20" ht="12.75">
      <c r="A27" s="3">
        <v>39052</v>
      </c>
      <c r="B27" s="3"/>
      <c r="C27" s="3"/>
      <c r="D27" s="62"/>
      <c r="E27" s="61"/>
      <c r="F27" s="61">
        <f t="shared" si="4"/>
        <v>419028.24447562074</v>
      </c>
      <c r="G27" s="61">
        <f>SUM(F16:F27)</f>
        <v>2723683.5890915347</v>
      </c>
      <c r="H27" s="61">
        <f>F27*12</f>
        <v>5028338.933707449</v>
      </c>
      <c r="P27" s="120">
        <f>'[7]3.1.1 Summary - LDC'!B21*1000000</f>
        <v>2577807.5286422037</v>
      </c>
      <c r="Q27" s="121">
        <f>'[7]3.1.1 Summary - LDC'!C21*1000000</f>
        <v>2577807.5286422037</v>
      </c>
      <c r="R27" s="121">
        <f>'[7]3.1.1 Summary - LDC'!D21*1000000</f>
        <v>2577438.2268935423</v>
      </c>
      <c r="S27" s="121">
        <f>'[7]3.1.1 Summary - LDC'!E21*1000000</f>
        <v>2547966.8384500537</v>
      </c>
      <c r="T27" s="83">
        <f>SUM(P27:S27)</f>
        <v>10281020.122628003</v>
      </c>
    </row>
    <row r="28" spans="1:20" ht="12.75">
      <c r="A28" s="3">
        <v>39083</v>
      </c>
      <c r="B28" s="3"/>
      <c r="C28" s="3"/>
      <c r="D28" s="62"/>
      <c r="E28" s="61"/>
      <c r="F28" s="61">
        <f aca="true" t="shared" si="5" ref="F28:F39">F27+$H$5</f>
        <v>417599.72043281415</v>
      </c>
      <c r="P28" s="82"/>
      <c r="Q28" s="65">
        <f>P3*Q22</f>
        <v>4694829.979561999</v>
      </c>
      <c r="R28" s="65">
        <f>Q28</f>
        <v>4694829.979561999</v>
      </c>
      <c r="S28" s="65">
        <f>R28</f>
        <v>4694829.979561999</v>
      </c>
      <c r="T28" s="83">
        <f>SUM(P28:S28)</f>
        <v>14084489.938685998</v>
      </c>
    </row>
    <row r="29" spans="1:20" ht="12.75">
      <c r="A29" s="3">
        <v>39114</v>
      </c>
      <c r="B29" s="3"/>
      <c r="C29" s="3"/>
      <c r="D29" s="62"/>
      <c r="E29" s="61"/>
      <c r="F29" s="61">
        <f t="shared" si="5"/>
        <v>416171.19639000756</v>
      </c>
      <c r="P29" s="82"/>
      <c r="Q29" s="65"/>
      <c r="R29" s="65">
        <f>R28</f>
        <v>4694829.979561999</v>
      </c>
      <c r="S29" s="65">
        <f>R29</f>
        <v>4694829.979561999</v>
      </c>
      <c r="T29" s="83">
        <f>SUM(P29:S29)</f>
        <v>9389659.959123999</v>
      </c>
    </row>
    <row r="30" spans="1:20" ht="12.75">
      <c r="A30" s="3">
        <v>39142</v>
      </c>
      <c r="B30" s="3"/>
      <c r="C30" s="3"/>
      <c r="D30" s="62"/>
      <c r="E30" s="61"/>
      <c r="F30" s="61">
        <f t="shared" si="5"/>
        <v>414742.672347201</v>
      </c>
      <c r="P30" s="82"/>
      <c r="Q30" s="65"/>
      <c r="R30" s="65"/>
      <c r="S30" s="65">
        <f>S29</f>
        <v>4694829.979561999</v>
      </c>
      <c r="T30" s="83">
        <f>SUM(P30:S30)</f>
        <v>4694829.979561999</v>
      </c>
    </row>
    <row r="31" spans="1:20" ht="12.75">
      <c r="A31" s="3">
        <v>39173</v>
      </c>
      <c r="B31" s="3"/>
      <c r="C31" s="3"/>
      <c r="D31" s="62"/>
      <c r="E31" s="61"/>
      <c r="F31" s="61">
        <f t="shared" si="5"/>
        <v>413314.1483043944</v>
      </c>
      <c r="P31" s="82">
        <f>SUM(P27:P30)</f>
        <v>2577807.5286422037</v>
      </c>
      <c r="Q31" s="65">
        <f>SUM(Q27:Q30)</f>
        <v>7272637.508204203</v>
      </c>
      <c r="R31" s="65">
        <f>SUM(R27:R30)</f>
        <v>11967098.186017541</v>
      </c>
      <c r="S31" s="65">
        <f>SUM(S27:S30)</f>
        <v>16632456.777136052</v>
      </c>
      <c r="T31" s="87">
        <f>SUM(P31:S31)</f>
        <v>38450000</v>
      </c>
    </row>
    <row r="32" spans="1:20" ht="12.75">
      <c r="A32" s="3">
        <v>39203</v>
      </c>
      <c r="B32" s="3"/>
      <c r="C32" s="3"/>
      <c r="D32" s="62"/>
      <c r="E32" s="61"/>
      <c r="F32" s="61">
        <f t="shared" si="5"/>
        <v>411885.6242615878</v>
      </c>
      <c r="P32" s="79"/>
      <c r="Q32" s="88">
        <f>SUM(Q28:Q30)</f>
        <v>4694829.979561999</v>
      </c>
      <c r="R32" s="88">
        <f>SUM(R28:R30)</f>
        <v>9389659.959123999</v>
      </c>
      <c r="S32" s="80"/>
      <c r="T32" s="89"/>
    </row>
    <row r="33" spans="1:20" ht="13.5" thickBot="1">
      <c r="A33" s="3">
        <v>39234</v>
      </c>
      <c r="B33" s="3"/>
      <c r="C33" s="3"/>
      <c r="D33" s="62"/>
      <c r="E33" s="61"/>
      <c r="F33" s="61">
        <f t="shared" si="5"/>
        <v>410457.1002187812</v>
      </c>
      <c r="P33" s="90" t="s">
        <v>122</v>
      </c>
      <c r="Q33" s="91"/>
      <c r="R33" s="92"/>
      <c r="S33" s="93"/>
      <c r="T33" s="94"/>
    </row>
    <row r="34" spans="1:6" ht="12.75">
      <c r="A34" s="3">
        <v>39264</v>
      </c>
      <c r="B34" s="3"/>
      <c r="C34" s="3"/>
      <c r="D34" s="62"/>
      <c r="E34" s="61"/>
      <c r="F34" s="61">
        <f t="shared" si="5"/>
        <v>409028.5761759746</v>
      </c>
    </row>
    <row r="35" spans="1:6" ht="12.75">
      <c r="A35" s="3">
        <v>39295</v>
      </c>
      <c r="B35" s="3"/>
      <c r="C35" s="3"/>
      <c r="D35" s="62"/>
      <c r="E35" s="61"/>
      <c r="F35" s="61">
        <f t="shared" si="5"/>
        <v>407600.05213316804</v>
      </c>
    </row>
    <row r="36" spans="1:6" ht="12.75">
      <c r="A36" s="3">
        <v>39326</v>
      </c>
      <c r="B36" s="3"/>
      <c r="C36" s="3"/>
      <c r="D36" s="62"/>
      <c r="E36" s="61"/>
      <c r="F36" s="61">
        <f t="shared" si="5"/>
        <v>406171.52809036145</v>
      </c>
    </row>
    <row r="37" spans="1:6" ht="12.75">
      <c r="A37" s="3">
        <v>39356</v>
      </c>
      <c r="B37" s="3"/>
      <c r="C37" s="3"/>
      <c r="D37" s="62"/>
      <c r="E37" s="61"/>
      <c r="F37" s="61">
        <f t="shared" si="5"/>
        <v>404743.00404755486</v>
      </c>
    </row>
    <row r="38" spans="1:7" ht="12.75">
      <c r="A38" s="3">
        <v>39387</v>
      </c>
      <c r="B38" s="3"/>
      <c r="C38" s="3"/>
      <c r="D38" s="62"/>
      <c r="E38" s="61"/>
      <c r="F38" s="61">
        <f t="shared" si="5"/>
        <v>403314.4800047483</v>
      </c>
      <c r="G38" s="4" t="s">
        <v>84</v>
      </c>
    </row>
    <row r="39" spans="1:8" ht="12.75">
      <c r="A39" s="3">
        <v>39417</v>
      </c>
      <c r="B39" s="3"/>
      <c r="C39" s="3"/>
      <c r="D39" s="62"/>
      <c r="E39" s="61"/>
      <c r="F39" s="61">
        <f t="shared" si="5"/>
        <v>401885.9559619417</v>
      </c>
      <c r="G39" s="61">
        <f>SUM(F28:F39)</f>
        <v>4916914.058368535</v>
      </c>
      <c r="H39" s="61">
        <f>F39*12</f>
        <v>4822631.4715433</v>
      </c>
    </row>
    <row r="40" spans="1:6" ht="12.75">
      <c r="A40" s="3">
        <v>39448</v>
      </c>
      <c r="B40" s="3"/>
      <c r="C40" s="3"/>
      <c r="D40" s="62"/>
      <c r="E40" s="61"/>
      <c r="F40" s="61">
        <f aca="true" t="shared" si="6" ref="F40:F51">F39+$H$6</f>
        <v>426151.1021396165</v>
      </c>
    </row>
    <row r="41" spans="1:6" ht="12.75">
      <c r="A41" s="3">
        <v>39479</v>
      </c>
      <c r="B41" s="3"/>
      <c r="C41" s="3"/>
      <c r="D41" s="62"/>
      <c r="E41" s="61"/>
      <c r="F41" s="61">
        <f t="shared" si="6"/>
        <v>450416.2483172913</v>
      </c>
    </row>
    <row r="42" spans="1:6" ht="12.75">
      <c r="A42" s="3">
        <v>39508</v>
      </c>
      <c r="B42" s="3"/>
      <c r="C42" s="3"/>
      <c r="D42" s="62"/>
      <c r="E42" s="61"/>
      <c r="F42" s="61">
        <f t="shared" si="6"/>
        <v>474681.39449496614</v>
      </c>
    </row>
    <row r="43" spans="1:6" ht="12.75">
      <c r="A43" s="3">
        <v>39539</v>
      </c>
      <c r="B43" s="3"/>
      <c r="C43" s="3"/>
      <c r="D43" s="62"/>
      <c r="E43" s="61"/>
      <c r="F43" s="61">
        <f t="shared" si="6"/>
        <v>498946.54067264096</v>
      </c>
    </row>
    <row r="44" spans="1:6" ht="12.75">
      <c r="A44" s="3">
        <v>39569</v>
      </c>
      <c r="B44" s="3"/>
      <c r="C44" s="3"/>
      <c r="D44" s="62"/>
      <c r="E44" s="61"/>
      <c r="F44" s="61">
        <f t="shared" si="6"/>
        <v>523211.6868503158</v>
      </c>
    </row>
    <row r="45" spans="1:6" ht="12.75">
      <c r="A45" s="3">
        <v>39600</v>
      </c>
      <c r="B45" s="3"/>
      <c r="C45" s="3"/>
      <c r="D45" s="62"/>
      <c r="E45" s="61"/>
      <c r="F45" s="61">
        <f t="shared" si="6"/>
        <v>547476.8330279907</v>
      </c>
    </row>
    <row r="46" spans="1:6" ht="12.75">
      <c r="A46" s="3">
        <v>39630</v>
      </c>
      <c r="B46" s="3"/>
      <c r="C46" s="3"/>
      <c r="D46" s="62"/>
      <c r="E46" s="61"/>
      <c r="F46" s="61">
        <f t="shared" si="6"/>
        <v>571741.9792056655</v>
      </c>
    </row>
    <row r="47" spans="1:6" ht="12.75">
      <c r="A47" s="3">
        <v>39661</v>
      </c>
      <c r="B47" s="3"/>
      <c r="C47" s="3"/>
      <c r="D47" s="62"/>
      <c r="E47" s="61"/>
      <c r="F47" s="61">
        <f t="shared" si="6"/>
        <v>596007.1253833404</v>
      </c>
    </row>
    <row r="48" spans="1:6" ht="12.75">
      <c r="A48" s="3">
        <v>39692</v>
      </c>
      <c r="B48" s="3"/>
      <c r="C48" s="3"/>
      <c r="D48" s="62"/>
      <c r="E48" s="61"/>
      <c r="F48" s="61">
        <f t="shared" si="6"/>
        <v>620272.2715610153</v>
      </c>
    </row>
    <row r="49" spans="1:6" ht="12.75">
      <c r="A49" s="3">
        <v>39722</v>
      </c>
      <c r="B49" s="3"/>
      <c r="C49" s="3"/>
      <c r="D49" s="62"/>
      <c r="E49" s="61"/>
      <c r="F49" s="61">
        <f t="shared" si="6"/>
        <v>644537.4177386902</v>
      </c>
    </row>
    <row r="50" spans="1:6" ht="12.75">
      <c r="A50" s="3">
        <v>39753</v>
      </c>
      <c r="B50" s="3"/>
      <c r="C50" s="3"/>
      <c r="D50" s="62"/>
      <c r="E50" s="61"/>
      <c r="F50" s="61">
        <f t="shared" si="6"/>
        <v>668802.563916365</v>
      </c>
    </row>
    <row r="51" spans="1:8" ht="12.75">
      <c r="A51" s="3">
        <v>39783</v>
      </c>
      <c r="B51" s="3"/>
      <c r="C51" s="3"/>
      <c r="D51" s="62"/>
      <c r="E51" s="61"/>
      <c r="F51" s="61">
        <f t="shared" si="6"/>
        <v>693067.7100940399</v>
      </c>
      <c r="G51" s="61">
        <f>SUM(F40:F51)</f>
        <v>6715312.873401937</v>
      </c>
      <c r="H51" s="61">
        <f>F51*12</f>
        <v>8316812.521128479</v>
      </c>
    </row>
    <row r="52" spans="1:6" ht="12.75">
      <c r="A52" s="3">
        <v>39814</v>
      </c>
      <c r="B52" s="3"/>
      <c r="C52" s="3"/>
      <c r="D52" s="62"/>
      <c r="E52" s="61"/>
      <c r="F52" s="61">
        <f aca="true" t="shared" si="7" ref="F52:F63">F51+$H$7</f>
        <v>750303.0019705673</v>
      </c>
    </row>
    <row r="53" spans="1:6" ht="12.75">
      <c r="A53" s="3">
        <v>39845</v>
      </c>
      <c r="B53" s="3"/>
      <c r="C53" s="3"/>
      <c r="D53" s="62"/>
      <c r="E53" s="61"/>
      <c r="F53" s="61">
        <f t="shared" si="7"/>
        <v>807538.2938470946</v>
      </c>
    </row>
    <row r="54" spans="1:6" ht="12.75">
      <c r="A54" s="3">
        <v>39873</v>
      </c>
      <c r="B54" s="3"/>
      <c r="C54" s="3"/>
      <c r="D54" s="62"/>
      <c r="E54" s="61"/>
      <c r="F54" s="61">
        <f t="shared" si="7"/>
        <v>864773.585723622</v>
      </c>
    </row>
    <row r="55" spans="1:6" ht="12.75">
      <c r="A55" s="3">
        <v>39904</v>
      </c>
      <c r="B55" s="3"/>
      <c r="C55" s="3"/>
      <c r="D55" s="62"/>
      <c r="E55" s="61"/>
      <c r="F55" s="61">
        <f t="shared" si="7"/>
        <v>922008.8776001494</v>
      </c>
    </row>
    <row r="56" spans="1:6" ht="12.75">
      <c r="A56" s="3">
        <v>39934</v>
      </c>
      <c r="B56" s="3"/>
      <c r="C56" s="3"/>
      <c r="D56" s="62"/>
      <c r="E56" s="61"/>
      <c r="F56" s="61">
        <f t="shared" si="7"/>
        <v>979244.1694766767</v>
      </c>
    </row>
    <row r="57" spans="1:6" ht="12.75">
      <c r="A57" s="3">
        <v>39965</v>
      </c>
      <c r="B57" s="3"/>
      <c r="C57" s="3"/>
      <c r="D57" s="62"/>
      <c r="E57" s="61"/>
      <c r="F57" s="61">
        <f t="shared" si="7"/>
        <v>1036479.4613532041</v>
      </c>
    </row>
    <row r="58" spans="1:6" ht="12.75">
      <c r="A58" s="3">
        <v>39995</v>
      </c>
      <c r="B58" s="3"/>
      <c r="C58" s="3"/>
      <c r="D58" s="62"/>
      <c r="E58" s="61"/>
      <c r="F58" s="61">
        <f t="shared" si="7"/>
        <v>1093714.7532297315</v>
      </c>
    </row>
    <row r="59" spans="1:6" ht="12.75">
      <c r="A59" s="3">
        <v>40026</v>
      </c>
      <c r="B59" s="3"/>
      <c r="C59" s="3"/>
      <c r="D59" s="62"/>
      <c r="E59" s="61"/>
      <c r="F59" s="61">
        <f t="shared" si="7"/>
        <v>1150950.0451062587</v>
      </c>
    </row>
    <row r="60" spans="1:6" ht="12.75">
      <c r="A60" s="3">
        <v>40057</v>
      </c>
      <c r="B60" s="3"/>
      <c r="C60" s="3"/>
      <c r="D60" s="62"/>
      <c r="E60" s="61"/>
      <c r="F60" s="61">
        <f t="shared" si="7"/>
        <v>1208185.336982786</v>
      </c>
    </row>
    <row r="61" spans="1:6" ht="12.75">
      <c r="A61" s="3">
        <v>40087</v>
      </c>
      <c r="B61" s="3"/>
      <c r="C61" s="3"/>
      <c r="D61" s="62"/>
      <c r="E61" s="61"/>
      <c r="F61" s="61">
        <f t="shared" si="7"/>
        <v>1265420.6288593132</v>
      </c>
    </row>
    <row r="62" spans="1:6" ht="12.75">
      <c r="A62" s="3">
        <v>40118</v>
      </c>
      <c r="B62" s="3"/>
      <c r="C62" s="3"/>
      <c r="D62" s="62"/>
      <c r="E62" s="61"/>
      <c r="F62" s="61">
        <f t="shared" si="7"/>
        <v>1322655.9207358405</v>
      </c>
    </row>
    <row r="63" spans="1:8" ht="12.75">
      <c r="A63" s="3">
        <v>40148</v>
      </c>
      <c r="B63" s="3"/>
      <c r="C63" s="3"/>
      <c r="D63" s="62"/>
      <c r="E63" s="61"/>
      <c r="F63" s="61">
        <f t="shared" si="7"/>
        <v>1379891.2126123677</v>
      </c>
      <c r="G63" s="61">
        <f>SUM(F52:F63)</f>
        <v>12781165.287497612</v>
      </c>
      <c r="H63" s="61">
        <f>F63*12</f>
        <v>16558694.551348412</v>
      </c>
    </row>
    <row r="64" spans="1:6" ht="12.75">
      <c r="A64" s="3">
        <v>40179</v>
      </c>
      <c r="B64" s="3"/>
      <c r="C64" s="3"/>
      <c r="D64" s="62"/>
      <c r="E64" s="61"/>
      <c r="F64" s="61">
        <f aca="true" t="shared" si="8" ref="F64:F75">F63+$H$8</f>
        <v>1361946.959362276</v>
      </c>
    </row>
    <row r="65" spans="1:6" ht="12.75">
      <c r="A65" s="3">
        <v>40210</v>
      </c>
      <c r="B65" s="3"/>
      <c r="C65" s="3"/>
      <c r="D65" s="62"/>
      <c r="E65" s="61"/>
      <c r="F65" s="61">
        <f t="shared" si="8"/>
        <v>1344002.706112184</v>
      </c>
    </row>
    <row r="66" spans="1:6" ht="12.75">
      <c r="A66" s="3">
        <v>40238</v>
      </c>
      <c r="B66" s="3"/>
      <c r="C66" s="3"/>
      <c r="D66" s="62"/>
      <c r="E66" s="61"/>
      <c r="F66" s="61">
        <f t="shared" si="8"/>
        <v>1326058.4528620923</v>
      </c>
    </row>
    <row r="67" spans="1:6" ht="12.75">
      <c r="A67" s="3">
        <v>40269</v>
      </c>
      <c r="B67" s="3"/>
      <c r="C67" s="3"/>
      <c r="D67" s="62"/>
      <c r="E67" s="61"/>
      <c r="F67" s="61">
        <f t="shared" si="8"/>
        <v>1308114.1996120005</v>
      </c>
    </row>
    <row r="68" spans="1:6" ht="12.75">
      <c r="A68" s="3">
        <v>40299</v>
      </c>
      <c r="B68" s="3"/>
      <c r="C68" s="3"/>
      <c r="D68" s="62"/>
      <c r="E68" s="61"/>
      <c r="F68" s="61">
        <f t="shared" si="8"/>
        <v>1290169.9463619087</v>
      </c>
    </row>
    <row r="69" spans="1:6" ht="12.75">
      <c r="A69" s="3">
        <v>40330</v>
      </c>
      <c r="B69" s="3"/>
      <c r="C69" s="3"/>
      <c r="D69" s="62"/>
      <c r="E69" s="61"/>
      <c r="F69" s="61">
        <f t="shared" si="8"/>
        <v>1272225.693111817</v>
      </c>
    </row>
    <row r="70" spans="1:6" ht="12.75">
      <c r="A70" s="3">
        <v>40360</v>
      </c>
      <c r="B70" s="3"/>
      <c r="C70" s="3"/>
      <c r="D70" s="62"/>
      <c r="E70" s="61"/>
      <c r="F70" s="61">
        <f t="shared" si="8"/>
        <v>1254281.439861725</v>
      </c>
    </row>
    <row r="71" spans="1:6" ht="12.75">
      <c r="A71" s="3">
        <v>40391</v>
      </c>
      <c r="B71" s="3"/>
      <c r="C71" s="3"/>
      <c r="D71" s="62"/>
      <c r="E71" s="61"/>
      <c r="F71" s="61">
        <f t="shared" si="8"/>
        <v>1236337.1866116333</v>
      </c>
    </row>
    <row r="72" spans="1:6" ht="12.75">
      <c r="A72" s="3">
        <v>40422</v>
      </c>
      <c r="B72" s="3"/>
      <c r="C72" s="3"/>
      <c r="D72" s="62"/>
      <c r="E72" s="61"/>
      <c r="F72" s="61">
        <f t="shared" si="8"/>
        <v>1218392.9333615415</v>
      </c>
    </row>
    <row r="73" spans="1:6" ht="12.75">
      <c r="A73" s="3">
        <v>40452</v>
      </c>
      <c r="B73" s="3"/>
      <c r="C73" s="3"/>
      <c r="D73" s="62"/>
      <c r="E73" s="61"/>
      <c r="F73" s="61">
        <f t="shared" si="8"/>
        <v>1200448.6801114497</v>
      </c>
    </row>
    <row r="74" spans="1:6" ht="12.75">
      <c r="A74" s="3">
        <v>40483</v>
      </c>
      <c r="B74" s="3"/>
      <c r="C74" s="3"/>
      <c r="D74" s="62"/>
      <c r="E74" s="61"/>
      <c r="F74" s="61">
        <f t="shared" si="8"/>
        <v>1182504.4268613579</v>
      </c>
    </row>
    <row r="75" spans="1:8" ht="12.75">
      <c r="A75" s="3">
        <v>40513</v>
      </c>
      <c r="B75" s="3"/>
      <c r="C75" s="3"/>
      <c r="D75" s="62"/>
      <c r="E75" s="61"/>
      <c r="F75" s="61">
        <f t="shared" si="8"/>
        <v>1164560.173611266</v>
      </c>
      <c r="G75" s="61">
        <f>SUM(F64:F75)</f>
        <v>15159042.797841253</v>
      </c>
      <c r="H75" s="61">
        <f>F75*12</f>
        <v>13974722.083335193</v>
      </c>
    </row>
    <row r="76" spans="1:6" ht="12.75">
      <c r="A76" s="3">
        <v>40544</v>
      </c>
      <c r="B76" s="3"/>
      <c r="C76" s="3"/>
      <c r="D76" s="62"/>
      <c r="E76" s="61"/>
      <c r="F76" s="61">
        <f aca="true" t="shared" si="9" ref="F76:F87">F75+$H$9</f>
        <v>1200437.0262414906</v>
      </c>
    </row>
    <row r="77" spans="1:6" ht="12.75">
      <c r="A77" s="3">
        <v>40575</v>
      </c>
      <c r="B77" s="3"/>
      <c r="C77" s="3"/>
      <c r="D77" s="62"/>
      <c r="E77" s="61"/>
      <c r="F77" s="61">
        <f t="shared" si="9"/>
        <v>1236313.8788717152</v>
      </c>
    </row>
    <row r="78" spans="1:6" ht="12.75">
      <c r="A78" s="3">
        <v>40603</v>
      </c>
      <c r="B78" s="3"/>
      <c r="C78" s="3"/>
      <c r="D78" s="62"/>
      <c r="E78" s="61"/>
      <c r="F78" s="61">
        <f t="shared" si="9"/>
        <v>1272190.7315019397</v>
      </c>
    </row>
    <row r="79" spans="1:6" ht="12.75">
      <c r="A79" s="3">
        <v>40634</v>
      </c>
      <c r="B79" s="3"/>
      <c r="C79" s="3"/>
      <c r="D79" s="62"/>
      <c r="E79" s="61"/>
      <c r="F79" s="61">
        <f t="shared" si="9"/>
        <v>1308067.5841321643</v>
      </c>
    </row>
    <row r="80" spans="1:6" ht="12.75">
      <c r="A80" s="3">
        <v>40664</v>
      </c>
      <c r="B80" s="3"/>
      <c r="C80" s="3"/>
      <c r="D80" s="62"/>
      <c r="E80" s="61"/>
      <c r="F80" s="61">
        <f t="shared" si="9"/>
        <v>1343944.4367623888</v>
      </c>
    </row>
    <row r="81" spans="1:6" ht="12.75">
      <c r="A81" s="3">
        <v>40695</v>
      </c>
      <c r="B81" s="3"/>
      <c r="C81" s="3"/>
      <c r="D81" s="62"/>
      <c r="E81" s="61"/>
      <c r="F81" s="61">
        <f t="shared" si="9"/>
        <v>1379821.2893926133</v>
      </c>
    </row>
    <row r="82" spans="1:6" ht="12.75">
      <c r="A82" s="3">
        <v>40725</v>
      </c>
      <c r="B82" s="3"/>
      <c r="C82" s="3"/>
      <c r="D82" s="62"/>
      <c r="E82" s="61"/>
      <c r="F82" s="61">
        <f t="shared" si="9"/>
        <v>1415698.142022838</v>
      </c>
    </row>
    <row r="83" spans="1:6" ht="12.75">
      <c r="A83" s="3">
        <v>40756</v>
      </c>
      <c r="B83" s="3"/>
      <c r="C83" s="3"/>
      <c r="D83" s="62"/>
      <c r="E83" s="61"/>
      <c r="F83" s="61">
        <f t="shared" si="9"/>
        <v>1451574.9946530624</v>
      </c>
    </row>
    <row r="84" spans="1:6" ht="12.75">
      <c r="A84" s="3">
        <v>40787</v>
      </c>
      <c r="B84" s="3"/>
      <c r="C84" s="3"/>
      <c r="D84" s="62"/>
      <c r="E84" s="61"/>
      <c r="F84" s="61">
        <f t="shared" si="9"/>
        <v>1487451.847283287</v>
      </c>
    </row>
    <row r="85" spans="1:6" ht="12.75">
      <c r="A85" s="3">
        <v>40817</v>
      </c>
      <c r="B85" s="3"/>
      <c r="C85" s="3"/>
      <c r="D85" s="62"/>
      <c r="E85" s="61"/>
      <c r="F85" s="61">
        <f t="shared" si="9"/>
        <v>1523328.6999135115</v>
      </c>
    </row>
    <row r="86" spans="1:6" ht="12.75">
      <c r="A86" s="3">
        <v>40848</v>
      </c>
      <c r="B86" s="3"/>
      <c r="C86" s="3"/>
      <c r="D86" s="62"/>
      <c r="E86" s="61"/>
      <c r="F86" s="61">
        <f t="shared" si="9"/>
        <v>1559205.552543736</v>
      </c>
    </row>
    <row r="87" spans="1:8" ht="12.75">
      <c r="A87" s="3">
        <v>40878</v>
      </c>
      <c r="B87" s="3"/>
      <c r="C87" s="3"/>
      <c r="D87" s="62"/>
      <c r="E87" s="61"/>
      <c r="F87" s="61">
        <f t="shared" si="9"/>
        <v>1595082.4051739606</v>
      </c>
      <c r="G87" s="61">
        <f>SUM(F76:F87)</f>
        <v>16773116.588492706</v>
      </c>
      <c r="H87" s="61">
        <f>F87*12</f>
        <v>19140988.862087525</v>
      </c>
    </row>
    <row r="88" spans="1:6" ht="12.75">
      <c r="A88" s="3">
        <v>40909</v>
      </c>
      <c r="B88" s="3"/>
      <c r="C88" s="3"/>
      <c r="D88" s="62"/>
      <c r="E88" s="61"/>
      <c r="F88" s="61">
        <f aca="true" t="shared" si="10" ref="F88:F99">F87+$H$10</f>
        <v>1622207.0360350315</v>
      </c>
    </row>
    <row r="89" spans="1:6" ht="12.75">
      <c r="A89" s="3">
        <v>40940</v>
      </c>
      <c r="B89" s="3"/>
      <c r="C89" s="3"/>
      <c r="D89" s="62"/>
      <c r="E89" s="61"/>
      <c r="F89" s="61">
        <f t="shared" si="10"/>
        <v>1649331.6668961025</v>
      </c>
    </row>
    <row r="90" spans="1:6" ht="12.75">
      <c r="A90" s="3">
        <v>40969</v>
      </c>
      <c r="B90" s="3"/>
      <c r="C90" s="3"/>
      <c r="D90" s="62"/>
      <c r="E90" s="61"/>
      <c r="F90" s="61">
        <f t="shared" si="10"/>
        <v>1676456.2977571734</v>
      </c>
    </row>
    <row r="91" spans="1:6" ht="12.75">
      <c r="A91" s="3">
        <v>41000</v>
      </c>
      <c r="B91" s="3"/>
      <c r="C91" s="3"/>
      <c r="D91" s="62"/>
      <c r="E91" s="61"/>
      <c r="F91" s="61">
        <f t="shared" si="10"/>
        <v>1703580.9286182444</v>
      </c>
    </row>
    <row r="92" spans="1:6" ht="12.75">
      <c r="A92" s="3">
        <v>41030</v>
      </c>
      <c r="B92" s="3"/>
      <c r="C92" s="3"/>
      <c r="D92" s="62"/>
      <c r="E92" s="61"/>
      <c r="F92" s="61">
        <f t="shared" si="10"/>
        <v>1730705.5594793153</v>
      </c>
    </row>
    <row r="93" spans="1:6" ht="12.75">
      <c r="A93" s="3">
        <v>41061</v>
      </c>
      <c r="B93" s="3"/>
      <c r="C93" s="3"/>
      <c r="D93" s="62"/>
      <c r="E93" s="61"/>
      <c r="F93" s="61">
        <f t="shared" si="10"/>
        <v>1757830.1903403862</v>
      </c>
    </row>
    <row r="94" spans="1:6" ht="12.75">
      <c r="A94" s="3">
        <v>41091</v>
      </c>
      <c r="B94" s="3"/>
      <c r="C94" s="3"/>
      <c r="D94" s="62"/>
      <c r="E94" s="61"/>
      <c r="F94" s="61">
        <f t="shared" si="10"/>
        <v>1784954.8212014572</v>
      </c>
    </row>
    <row r="95" spans="1:6" ht="12.75">
      <c r="A95" s="3">
        <v>41122</v>
      </c>
      <c r="B95" s="3"/>
      <c r="C95" s="3"/>
      <c r="D95" s="62"/>
      <c r="E95" s="61"/>
      <c r="F95" s="61">
        <f t="shared" si="10"/>
        <v>1812079.452062528</v>
      </c>
    </row>
    <row r="96" spans="1:6" ht="12.75">
      <c r="A96" s="3">
        <v>41153</v>
      </c>
      <c r="B96" s="3"/>
      <c r="C96" s="3"/>
      <c r="D96" s="62"/>
      <c r="E96" s="61"/>
      <c r="F96" s="61">
        <f t="shared" si="10"/>
        <v>1839204.082923599</v>
      </c>
    </row>
    <row r="97" spans="1:6" ht="12.75">
      <c r="A97" s="3">
        <v>41183</v>
      </c>
      <c r="B97" s="3"/>
      <c r="C97" s="3"/>
      <c r="D97" s="62"/>
      <c r="E97" s="61"/>
      <c r="F97" s="61">
        <f t="shared" si="10"/>
        <v>1866328.71378467</v>
      </c>
    </row>
    <row r="98" spans="1:6" ht="12.75">
      <c r="A98" s="3">
        <v>41214</v>
      </c>
      <c r="B98" s="3"/>
      <c r="C98" s="3"/>
      <c r="D98" s="62"/>
      <c r="E98" s="61"/>
      <c r="F98" s="61">
        <f t="shared" si="10"/>
        <v>1893453.344645741</v>
      </c>
    </row>
    <row r="99" spans="1:8" ht="12.75">
      <c r="A99" s="3">
        <v>41244</v>
      </c>
      <c r="B99" s="3"/>
      <c r="C99" s="3"/>
      <c r="D99" s="62"/>
      <c r="E99" s="61"/>
      <c r="F99" s="61">
        <f t="shared" si="10"/>
        <v>1920577.9755068119</v>
      </c>
      <c r="G99" s="61">
        <f>SUM(F88:F99)</f>
        <v>21256710.06925106</v>
      </c>
      <c r="H99" s="61">
        <f>F99*12</f>
        <v>23046935.70608174</v>
      </c>
    </row>
    <row r="100" spans="1:6" ht="12.75">
      <c r="A100" s="3">
        <v>41275</v>
      </c>
      <c r="B100" s="3"/>
      <c r="C100" s="3"/>
      <c r="D100" s="62"/>
      <c r="E100" s="61"/>
      <c r="F100" s="61">
        <f aca="true" t="shared" si="11" ref="F100:F111">F99+$H$11</f>
        <v>1956930.713001594</v>
      </c>
    </row>
    <row r="101" spans="1:6" ht="12.75">
      <c r="A101" s="3">
        <v>41306</v>
      </c>
      <c r="B101" s="3"/>
      <c r="C101" s="3"/>
      <c r="D101" s="62"/>
      <c r="E101" s="61"/>
      <c r="F101" s="61">
        <f t="shared" si="11"/>
        <v>1993283.450496376</v>
      </c>
    </row>
    <row r="102" spans="1:6" ht="12.75">
      <c r="A102" s="3">
        <v>41334</v>
      </c>
      <c r="B102" s="3"/>
      <c r="C102" s="3"/>
      <c r="D102" s="62"/>
      <c r="E102" s="61"/>
      <c r="F102" s="61">
        <f t="shared" si="11"/>
        <v>2029636.187991158</v>
      </c>
    </row>
    <row r="103" spans="1:6" ht="12.75">
      <c r="A103" s="3">
        <v>41365</v>
      </c>
      <c r="B103" s="3"/>
      <c r="C103" s="3"/>
      <c r="D103" s="62"/>
      <c r="E103" s="61"/>
      <c r="F103" s="61">
        <f t="shared" si="11"/>
        <v>2065988.9254859402</v>
      </c>
    </row>
    <row r="104" spans="1:6" ht="12.75">
      <c r="A104" s="3">
        <v>41395</v>
      </c>
      <c r="B104" s="3"/>
      <c r="C104" s="3"/>
      <c r="D104" s="62"/>
      <c r="E104" s="61"/>
      <c r="F104" s="61">
        <f t="shared" si="11"/>
        <v>2102341.6629807223</v>
      </c>
    </row>
    <row r="105" spans="1:6" ht="12.75">
      <c r="A105" s="3">
        <v>41426</v>
      </c>
      <c r="B105" s="3"/>
      <c r="C105" s="3"/>
      <c r="D105" s="62"/>
      <c r="E105" s="61"/>
      <c r="F105" s="61">
        <f t="shared" si="11"/>
        <v>2138694.4004755043</v>
      </c>
    </row>
    <row r="106" spans="1:6" ht="12.75">
      <c r="A106" s="3">
        <v>41456</v>
      </c>
      <c r="B106" s="3"/>
      <c r="C106" s="3"/>
      <c r="D106" s="62"/>
      <c r="E106" s="61"/>
      <c r="F106" s="61">
        <f t="shared" si="11"/>
        <v>2175047.1379702864</v>
      </c>
    </row>
    <row r="107" spans="1:6" ht="12.75">
      <c r="A107" s="3">
        <v>41487</v>
      </c>
      <c r="B107" s="3"/>
      <c r="C107" s="3"/>
      <c r="D107" s="62"/>
      <c r="E107" s="61"/>
      <c r="F107" s="61">
        <f t="shared" si="11"/>
        <v>2211399.8754650685</v>
      </c>
    </row>
    <row r="108" spans="1:6" ht="12.75">
      <c r="A108" s="3">
        <v>41518</v>
      </c>
      <c r="B108" s="3"/>
      <c r="C108" s="3"/>
      <c r="D108" s="62"/>
      <c r="E108" s="61"/>
      <c r="F108" s="61">
        <f t="shared" si="11"/>
        <v>2247752.6129598506</v>
      </c>
    </row>
    <row r="109" spans="1:6" ht="12.75">
      <c r="A109" s="3">
        <v>41548</v>
      </c>
      <c r="B109" s="3"/>
      <c r="C109" s="3"/>
      <c r="D109" s="62"/>
      <c r="E109" s="61"/>
      <c r="F109" s="61">
        <f t="shared" si="11"/>
        <v>2284105.3504546327</v>
      </c>
    </row>
    <row r="110" spans="1:6" ht="12.75">
      <c r="A110" s="3">
        <v>41579</v>
      </c>
      <c r="B110" s="3"/>
      <c r="C110" s="3"/>
      <c r="D110" s="62"/>
      <c r="E110" s="61"/>
      <c r="F110" s="61">
        <f t="shared" si="11"/>
        <v>2320458.0879494147</v>
      </c>
    </row>
    <row r="111" spans="1:8" ht="12.75">
      <c r="A111" s="3">
        <v>41609</v>
      </c>
      <c r="B111" s="3"/>
      <c r="C111" s="3"/>
      <c r="D111" s="62"/>
      <c r="E111" s="61"/>
      <c r="F111" s="61">
        <f t="shared" si="11"/>
        <v>2356810.825444197</v>
      </c>
      <c r="G111" s="61">
        <f>SUM(F100:F111)</f>
        <v>25882449.230674744</v>
      </c>
      <c r="H111" s="61">
        <f>F111*12</f>
        <v>28281729.90533036</v>
      </c>
    </row>
  </sheetData>
  <sheetProtection/>
  <mergeCells count="7">
    <mergeCell ref="P26:T26"/>
    <mergeCell ref="J3:K3"/>
    <mergeCell ref="P2:R2"/>
    <mergeCell ref="P3:R3"/>
    <mergeCell ref="P5:T5"/>
    <mergeCell ref="P19:T19"/>
    <mergeCell ref="P12:T12"/>
  </mergeCells>
  <printOptions/>
  <pageMargins left="0.75" right="0.75" top="1" bottom="1" header="0.5" footer="0.5"/>
  <pageSetup fitToHeight="1" fitToWidth="1" horizontalDpi="600" verticalDpi="600" orientation="landscape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AF31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128" customWidth="1"/>
    <col min="2" max="2" width="23.00390625" style="128" customWidth="1"/>
    <col min="3" max="3" width="22.7109375" style="128" hidden="1" customWidth="1"/>
    <col min="4" max="4" width="12.421875" style="128" customWidth="1"/>
    <col min="5" max="5" width="12.57421875" style="128" customWidth="1"/>
    <col min="6" max="6" width="12.140625" style="128" customWidth="1"/>
    <col min="7" max="7" width="13.00390625" style="128" customWidth="1"/>
    <col min="8" max="8" width="14.00390625" style="128" customWidth="1"/>
    <col min="9" max="9" width="12.57421875" style="128" customWidth="1"/>
    <col min="10" max="10" width="13.57421875" style="128" customWidth="1"/>
    <col min="11" max="12" width="13.140625" style="128" customWidth="1"/>
    <col min="13" max="14" width="9.140625" style="128" customWidth="1"/>
    <col min="15" max="15" width="11.00390625" style="128" customWidth="1"/>
    <col min="16" max="19" width="9.140625" style="128" customWidth="1"/>
    <col min="20" max="20" width="22.7109375" style="128" bestFit="1" customWidth="1"/>
    <col min="21" max="16384" width="9.140625" style="128" customWidth="1"/>
  </cols>
  <sheetData>
    <row r="2" spans="1:10" ht="15">
      <c r="A2" s="275" t="s">
        <v>199</v>
      </c>
      <c r="B2" s="276"/>
      <c r="C2" s="276"/>
      <c r="D2" s="276"/>
      <c r="E2" s="276"/>
      <c r="F2" s="276"/>
      <c r="G2" s="276"/>
      <c r="H2" s="276"/>
      <c r="I2" s="277"/>
      <c r="J2" s="132"/>
    </row>
    <row r="3" spans="1:10" ht="45">
      <c r="A3" s="278" t="s">
        <v>133</v>
      </c>
      <c r="B3" s="279"/>
      <c r="C3" s="133"/>
      <c r="D3" s="134" t="s">
        <v>134</v>
      </c>
      <c r="E3" s="134" t="s">
        <v>135</v>
      </c>
      <c r="F3" s="134" t="s">
        <v>136</v>
      </c>
      <c r="G3" s="134" t="s">
        <v>137</v>
      </c>
      <c r="H3" s="134" t="s">
        <v>138</v>
      </c>
      <c r="I3" s="134" t="s">
        <v>139</v>
      </c>
      <c r="J3" s="135"/>
    </row>
    <row r="4" spans="1:10" ht="15">
      <c r="A4" s="275" t="s">
        <v>140</v>
      </c>
      <c r="B4" s="276"/>
      <c r="C4" s="276"/>
      <c r="D4" s="276"/>
      <c r="E4" s="276"/>
      <c r="F4" s="276"/>
      <c r="G4" s="276"/>
      <c r="H4" s="276"/>
      <c r="I4" s="277"/>
      <c r="J4" s="132"/>
    </row>
    <row r="5" spans="1:17" ht="15">
      <c r="A5" s="285"/>
      <c r="B5" s="280"/>
      <c r="C5" s="130"/>
      <c r="D5" s="136"/>
      <c r="E5" s="136"/>
      <c r="F5" s="136"/>
      <c r="G5" s="136"/>
      <c r="H5" s="136"/>
      <c r="I5" s="136"/>
      <c r="J5" s="132"/>
      <c r="O5"/>
      <c r="P5"/>
      <c r="Q5"/>
    </row>
    <row r="6" spans="1:17" ht="15">
      <c r="A6" s="137" t="s">
        <v>141</v>
      </c>
      <c r="B6" s="130"/>
      <c r="C6" s="130"/>
      <c r="D6" s="245">
        <f>D308/1000000</f>
        <v>793.061816</v>
      </c>
      <c r="E6" s="136"/>
      <c r="F6" s="136"/>
      <c r="G6" s="246">
        <f>D307</f>
        <v>43841</v>
      </c>
      <c r="H6" s="136"/>
      <c r="I6" s="136"/>
      <c r="J6" s="132"/>
      <c r="O6"/>
      <c r="P6"/>
      <c r="Q6"/>
    </row>
    <row r="7" spans="1:17" ht="15">
      <c r="A7" s="285"/>
      <c r="B7" s="280"/>
      <c r="C7" s="130"/>
      <c r="D7" s="136"/>
      <c r="E7" s="136"/>
      <c r="F7" s="136"/>
      <c r="G7" s="136"/>
      <c r="H7" s="136"/>
      <c r="I7" s="136"/>
      <c r="J7" s="132"/>
      <c r="O7"/>
      <c r="P7"/>
      <c r="Q7"/>
    </row>
    <row r="8" spans="1:17" ht="15">
      <c r="A8" s="137" t="s">
        <v>51</v>
      </c>
      <c r="B8" s="138"/>
      <c r="C8" s="138"/>
      <c r="D8" s="139">
        <f>Summary!B8/1000000</f>
        <v>797.901871</v>
      </c>
      <c r="E8" s="136"/>
      <c r="F8" s="136"/>
      <c r="G8" s="141">
        <f>Summary!B49</f>
        <v>41829.66666666667</v>
      </c>
      <c r="H8" s="136"/>
      <c r="I8" s="136"/>
      <c r="J8" s="142"/>
      <c r="K8" s="143"/>
      <c r="O8"/>
      <c r="P8"/>
      <c r="Q8"/>
    </row>
    <row r="9" spans="1:17" ht="14.25">
      <c r="A9" s="137" t="s">
        <v>52</v>
      </c>
      <c r="B9" s="138"/>
      <c r="C9" s="138"/>
      <c r="D9" s="139">
        <f>Summary!C8/1000000</f>
        <v>826.955665</v>
      </c>
      <c r="E9" s="144">
        <f aca="true" t="shared" si="0" ref="E9:E17">D9-D8</f>
        <v>29.053793999999925</v>
      </c>
      <c r="F9" s="140">
        <f aca="true" t="shared" si="1" ref="F9:F17">E9/D8</f>
        <v>0.03641274078426108</v>
      </c>
      <c r="G9" s="141">
        <f>Summary!C49</f>
        <v>42207.66666666666</v>
      </c>
      <c r="H9" s="144">
        <f aca="true" t="shared" si="2" ref="H9:H17">G9-G8</f>
        <v>377.99999999998545</v>
      </c>
      <c r="I9" s="140">
        <f aca="true" t="shared" si="3" ref="I9:I17">H9/G8</f>
        <v>0.009036648630556912</v>
      </c>
      <c r="J9" s="142"/>
      <c r="K9" s="143"/>
      <c r="O9"/>
      <c r="P9"/>
      <c r="Q9"/>
    </row>
    <row r="10" spans="1:11" ht="14.25">
      <c r="A10" s="137" t="s">
        <v>53</v>
      </c>
      <c r="B10" s="138"/>
      <c r="C10" s="138"/>
      <c r="D10" s="139">
        <f>Summary!D8/1000000</f>
        <v>815.253266</v>
      </c>
      <c r="E10" s="144">
        <f t="shared" si="0"/>
        <v>-11.7023989999999</v>
      </c>
      <c r="F10" s="140">
        <f t="shared" si="1"/>
        <v>-0.014151180644006956</v>
      </c>
      <c r="G10" s="141">
        <f>Summary!D49</f>
        <v>42890.333333333336</v>
      </c>
      <c r="H10" s="144">
        <f t="shared" si="2"/>
        <v>682.6666666666788</v>
      </c>
      <c r="I10" s="140">
        <f t="shared" si="3"/>
        <v>0.016173996825221616</v>
      </c>
      <c r="J10" s="142"/>
      <c r="K10" s="143"/>
    </row>
    <row r="11" spans="1:11" ht="14.25">
      <c r="A11" s="137" t="s">
        <v>54</v>
      </c>
      <c r="B11" s="138"/>
      <c r="C11" s="138"/>
      <c r="D11" s="139">
        <f>Summary!E8/1000000</f>
        <v>816.675455</v>
      </c>
      <c r="E11" s="144">
        <f t="shared" si="0"/>
        <v>1.422189000000003</v>
      </c>
      <c r="F11" s="140">
        <f t="shared" si="1"/>
        <v>0.0017444750721182672</v>
      </c>
      <c r="G11" s="141">
        <f>Summary!E49</f>
        <v>43173.58333333333</v>
      </c>
      <c r="H11" s="144">
        <f t="shared" si="2"/>
        <v>283.2499999999927</v>
      </c>
      <c r="I11" s="140">
        <f t="shared" si="3"/>
        <v>0.0066040521951331544</v>
      </c>
      <c r="J11" s="142"/>
      <c r="K11" s="143"/>
    </row>
    <row r="12" spans="1:11" ht="14.25">
      <c r="A12" s="137" t="s">
        <v>142</v>
      </c>
      <c r="B12" s="138"/>
      <c r="C12" s="138"/>
      <c r="D12" s="139">
        <f>Summary!F8/1000000</f>
        <v>819.736763</v>
      </c>
      <c r="E12" s="144">
        <f t="shared" si="0"/>
        <v>3.06130799999994</v>
      </c>
      <c r="F12" s="140">
        <f t="shared" si="1"/>
        <v>0.003748500069712441</v>
      </c>
      <c r="G12" s="141">
        <f>Summary!F49</f>
        <v>43235.166666666664</v>
      </c>
      <c r="H12" s="144">
        <f t="shared" si="2"/>
        <v>61.58333333333576</v>
      </c>
      <c r="I12" s="140">
        <f t="shared" si="3"/>
        <v>0.0014264123702187278</v>
      </c>
      <c r="J12" s="142"/>
      <c r="K12" s="143"/>
    </row>
    <row r="13" spans="1:11" ht="14.25">
      <c r="A13" s="137" t="s">
        <v>143</v>
      </c>
      <c r="B13" s="138"/>
      <c r="C13" s="138"/>
      <c r="D13" s="139">
        <f>Summary!G8/1000000</f>
        <v>795.296447</v>
      </c>
      <c r="E13" s="144">
        <f t="shared" si="0"/>
        <v>-24.440316000000053</v>
      </c>
      <c r="F13" s="140">
        <f t="shared" si="1"/>
        <v>-0.029814834594651517</v>
      </c>
      <c r="G13" s="141">
        <f>Summary!G49</f>
        <v>43318.75</v>
      </c>
      <c r="H13" s="144">
        <f t="shared" si="2"/>
        <v>83.58333333333576</v>
      </c>
      <c r="I13" s="140">
        <f t="shared" si="3"/>
        <v>0.001933225653499715</v>
      </c>
      <c r="J13" s="142"/>
      <c r="K13" s="143"/>
    </row>
    <row r="14" spans="1:11" ht="15" customHeight="1">
      <c r="A14" s="137" t="s">
        <v>73</v>
      </c>
      <c r="B14" s="138"/>
      <c r="C14" s="145"/>
      <c r="D14" s="139">
        <f>Summary!H8/1000000</f>
        <v>799.977085</v>
      </c>
      <c r="E14" s="144">
        <f t="shared" si="0"/>
        <v>4.6806380000000445</v>
      </c>
      <c r="F14" s="140">
        <f t="shared" si="1"/>
        <v>0.005885400365682816</v>
      </c>
      <c r="G14" s="141">
        <f>Summary!H49</f>
        <v>43633.833333333336</v>
      </c>
      <c r="H14" s="144">
        <f t="shared" si="2"/>
        <v>315.08333333333576</v>
      </c>
      <c r="I14" s="140">
        <f t="shared" si="3"/>
        <v>0.0072736016928774665</v>
      </c>
      <c r="K14" s="143"/>
    </row>
    <row r="15" spans="1:11" s="148" customFormat="1" ht="15">
      <c r="A15" s="137" t="s">
        <v>78</v>
      </c>
      <c r="B15" s="146"/>
      <c r="C15" s="130"/>
      <c r="D15" s="139">
        <f>Summary!I8/1000000</f>
        <v>818.499218</v>
      </c>
      <c r="E15" s="144">
        <f t="shared" si="0"/>
        <v>18.522133000000053</v>
      </c>
      <c r="F15" s="140">
        <f t="shared" si="1"/>
        <v>0.023153329448180448</v>
      </c>
      <c r="G15" s="141">
        <f>Summary!I49</f>
        <v>44025.5</v>
      </c>
      <c r="H15" s="144">
        <f t="shared" si="2"/>
        <v>391.66666666666424</v>
      </c>
      <c r="I15" s="140">
        <f t="shared" si="3"/>
        <v>0.00897621494024127</v>
      </c>
      <c r="J15" s="142"/>
      <c r="K15" s="147"/>
    </row>
    <row r="16" spans="1:11" s="148" customFormat="1" ht="15">
      <c r="A16" s="129" t="s">
        <v>144</v>
      </c>
      <c r="B16" s="130"/>
      <c r="C16" s="132"/>
      <c r="D16" s="149">
        <f>Summary!J8/1000000</f>
        <v>819.6590958495788</v>
      </c>
      <c r="E16" s="152">
        <f t="shared" si="0"/>
        <v>1.15987784957872</v>
      </c>
      <c r="F16" s="150">
        <f t="shared" si="1"/>
        <v>0.0014170787510498514</v>
      </c>
      <c r="G16" s="151">
        <f>Summary!J49</f>
        <v>44306.330766216044</v>
      </c>
      <c r="H16" s="152">
        <f t="shared" si="2"/>
        <v>280.83076621604414</v>
      </c>
      <c r="I16" s="150">
        <f t="shared" si="3"/>
        <v>0.00637882059751835</v>
      </c>
      <c r="J16" s="153"/>
      <c r="K16" s="147"/>
    </row>
    <row r="17" spans="1:11" s="148" customFormat="1" ht="15">
      <c r="A17" s="136" t="s">
        <v>145</v>
      </c>
      <c r="B17" s="136"/>
      <c r="C17" s="132"/>
      <c r="D17" s="149">
        <f>Summary!K8/1000000</f>
        <v>818.7549419658915</v>
      </c>
      <c r="E17" s="152">
        <f t="shared" si="0"/>
        <v>-0.904153883687286</v>
      </c>
      <c r="F17" s="150">
        <f t="shared" si="1"/>
        <v>-0.0011030852805337665</v>
      </c>
      <c r="G17" s="151">
        <f>Summary!K49</f>
        <v>44592.2284578239</v>
      </c>
      <c r="H17" s="152">
        <f t="shared" si="2"/>
        <v>285.89769160785363</v>
      </c>
      <c r="I17" s="150">
        <f t="shared" si="3"/>
        <v>0.006452750355618549</v>
      </c>
      <c r="J17" s="153"/>
      <c r="K17" s="147"/>
    </row>
    <row r="18" spans="1:11" ht="14.25">
      <c r="A18"/>
      <c r="B18"/>
      <c r="C18"/>
      <c r="D18"/>
      <c r="E18"/>
      <c r="F18"/>
      <c r="G18"/>
      <c r="H18"/>
      <c r="I18"/>
      <c r="J18"/>
      <c r="K18" s="143"/>
    </row>
    <row r="19" spans="1:13" ht="15">
      <c r="A19" s="275" t="s">
        <v>202</v>
      </c>
      <c r="B19" s="276"/>
      <c r="C19" s="276"/>
      <c r="D19" s="276"/>
      <c r="E19" s="276"/>
      <c r="F19" s="276"/>
      <c r="G19" s="276"/>
      <c r="H19" s="276"/>
      <c r="I19" s="276"/>
      <c r="J19" s="276"/>
      <c r="K19" s="277"/>
      <c r="L19" s="154"/>
      <c r="M19" s="155"/>
    </row>
    <row r="20" spans="1:11" ht="45">
      <c r="A20" s="278" t="s">
        <v>133</v>
      </c>
      <c r="B20" s="279"/>
      <c r="C20" s="133"/>
      <c r="D20" s="156" t="str">
        <f>Summary!A11</f>
        <v>Residential </v>
      </c>
      <c r="E20" s="156" t="str">
        <f>Summary!A15</f>
        <v>General Service
&lt; 50 kW</v>
      </c>
      <c r="F20" s="156" t="str">
        <f>Summary!A19</f>
        <v>General Service
&gt; 50 kW</v>
      </c>
      <c r="G20" s="156" t="str">
        <f>Summary!A24</f>
        <v>Large User</v>
      </c>
      <c r="H20" s="156" t="str">
        <f>Summary!A29</f>
        <v>Street Lighting </v>
      </c>
      <c r="I20" s="156" t="str">
        <f>Summary!A34</f>
        <v>Sentinel Lighting</v>
      </c>
      <c r="J20" s="156" t="str">
        <f>Summary!A39</f>
        <v>Unmetered Scattered Loads </v>
      </c>
      <c r="K20" s="156" t="s">
        <v>10</v>
      </c>
    </row>
    <row r="21" spans="1:11" ht="14.25" customHeight="1">
      <c r="A21" s="294" t="s">
        <v>147</v>
      </c>
      <c r="B21" s="294"/>
      <c r="C21" s="294"/>
      <c r="D21" s="294"/>
      <c r="E21" s="294"/>
      <c r="F21" s="294"/>
      <c r="G21" s="294"/>
      <c r="H21" s="294"/>
      <c r="I21" s="294"/>
      <c r="J21" s="294"/>
      <c r="K21" s="294"/>
    </row>
    <row r="22" spans="1:11" ht="14.25" customHeight="1">
      <c r="A22" s="317"/>
      <c r="B22" s="318"/>
      <c r="C22" s="157"/>
      <c r="D22" s="158"/>
      <c r="E22" s="158"/>
      <c r="F22" s="158"/>
      <c r="G22" s="158"/>
      <c r="H22" s="159"/>
      <c r="I22" s="158"/>
      <c r="J22" s="158"/>
      <c r="K22" s="160"/>
    </row>
    <row r="23" spans="1:13" ht="14.25" customHeight="1">
      <c r="A23" s="137" t="str">
        <f>A6</f>
        <v>2009 Board Approved</v>
      </c>
      <c r="B23" s="130"/>
      <c r="C23" s="130"/>
      <c r="D23" s="245">
        <f>D277/1000000</f>
        <v>301.495708</v>
      </c>
      <c r="E23" s="245">
        <f>D281/1000000</f>
        <v>121.412816</v>
      </c>
      <c r="F23" s="245">
        <f>D285/1000000</f>
        <v>297.62417</v>
      </c>
      <c r="G23" s="245">
        <f>D289/1000000</f>
        <v>63.699061</v>
      </c>
      <c r="H23" s="247">
        <f>D300/1000000</f>
        <v>6.261525</v>
      </c>
      <c r="I23" s="247">
        <f>D295/1000000</f>
        <v>0.659151</v>
      </c>
      <c r="J23" s="247">
        <f>D305/1000000</f>
        <v>1.909385</v>
      </c>
      <c r="K23" s="139">
        <f>SUM(D23:J23)</f>
        <v>793.061816</v>
      </c>
      <c r="L23" s="161"/>
      <c r="M23" s="161"/>
    </row>
    <row r="24" spans="1:13" ht="14.25" customHeight="1">
      <c r="A24" s="198"/>
      <c r="B24" s="280"/>
      <c r="C24" s="280"/>
      <c r="D24" s="280"/>
      <c r="E24" s="280"/>
      <c r="F24" s="280"/>
      <c r="G24" s="280"/>
      <c r="H24" s="280"/>
      <c r="I24" s="280"/>
      <c r="J24" s="280"/>
      <c r="K24" s="281"/>
      <c r="L24" s="161"/>
      <c r="M24" s="161"/>
    </row>
    <row r="25" spans="1:13" ht="14.25">
      <c r="A25" s="137" t="str">
        <f aca="true" t="shared" si="4" ref="A25:A34">A8</f>
        <v>2004 Actual </v>
      </c>
      <c r="B25" s="138"/>
      <c r="C25" s="138"/>
      <c r="D25" s="139">
        <f>Summary!B13/1000000</f>
        <v>285.749014</v>
      </c>
      <c r="E25" s="139">
        <f>Summary!B17/1000000</f>
        <v>121.813571</v>
      </c>
      <c r="F25" s="139">
        <f>Summary!B21/1000000</f>
        <v>320.036669</v>
      </c>
      <c r="G25" s="139">
        <f>Summary!B26/1000000</f>
        <v>63.311617</v>
      </c>
      <c r="H25" s="139">
        <f>Summary!B31/1000000</f>
        <v>5.980324</v>
      </c>
      <c r="I25" s="139">
        <f>Summary!B36/1000000</f>
        <v>1.010676</v>
      </c>
      <c r="J25" s="139">
        <f>Summary!B41/1000000</f>
        <v>0</v>
      </c>
      <c r="K25" s="139">
        <f aca="true" t="shared" si="5" ref="K25:K34">SUM(D25:J25)</f>
        <v>797.9018709999999</v>
      </c>
      <c r="L25" s="161"/>
      <c r="M25" s="161"/>
    </row>
    <row r="26" spans="1:13" ht="14.25">
      <c r="A26" s="137" t="str">
        <f t="shared" si="4"/>
        <v>2005 Actual </v>
      </c>
      <c r="B26" s="138"/>
      <c r="C26" s="138"/>
      <c r="D26" s="139">
        <f>Summary!C13/1000000</f>
        <v>296.433964</v>
      </c>
      <c r="E26" s="139">
        <f>Summary!C17/1000000</f>
        <v>126.304848</v>
      </c>
      <c r="F26" s="139">
        <f>Summary!C21/1000000</f>
        <v>330.743565</v>
      </c>
      <c r="G26" s="139">
        <f>Summary!C26/1000000</f>
        <v>66.520715</v>
      </c>
      <c r="H26" s="139">
        <f>Summary!C31/1000000</f>
        <v>5.985582</v>
      </c>
      <c r="I26" s="139">
        <f>Summary!C36/1000000</f>
        <v>0.966991</v>
      </c>
      <c r="J26" s="139">
        <f>Summary!C41/1000000</f>
        <v>0</v>
      </c>
      <c r="K26" s="139">
        <f t="shared" si="5"/>
        <v>826.9556650000001</v>
      </c>
      <c r="L26" s="161"/>
      <c r="M26" s="161"/>
    </row>
    <row r="27" spans="1:13" ht="12.75" customHeight="1">
      <c r="A27" s="137" t="str">
        <f t="shared" si="4"/>
        <v>2006 Actual </v>
      </c>
      <c r="B27" s="138"/>
      <c r="C27" s="138"/>
      <c r="D27" s="139">
        <f>Summary!D13/1000000</f>
        <v>290.175501</v>
      </c>
      <c r="E27" s="139">
        <f>Summary!D17/1000000</f>
        <v>124.353936</v>
      </c>
      <c r="F27" s="139">
        <f>Summary!D21/1000000</f>
        <v>327.027328</v>
      </c>
      <c r="G27" s="139">
        <f>Summary!D26/1000000</f>
        <v>65.100158</v>
      </c>
      <c r="H27" s="139">
        <f>Summary!D31/1000000</f>
        <v>6.283519</v>
      </c>
      <c r="I27" s="139">
        <f>Summary!D36/1000000</f>
        <v>1.093025</v>
      </c>
      <c r="J27" s="139">
        <f>Summary!D41/1000000</f>
        <v>1.219799</v>
      </c>
      <c r="K27" s="139">
        <f t="shared" si="5"/>
        <v>815.2532659999999</v>
      </c>
      <c r="L27" s="161"/>
      <c r="M27" s="161"/>
    </row>
    <row r="28" spans="1:13" ht="14.25">
      <c r="A28" s="137" t="str">
        <f t="shared" si="4"/>
        <v>2007 Actual </v>
      </c>
      <c r="B28" s="138"/>
      <c r="C28" s="138"/>
      <c r="D28" s="139">
        <f>Summary!E13/1000000</f>
        <v>285.387602</v>
      </c>
      <c r="E28" s="139">
        <f>Summary!E17/1000000</f>
        <v>124.661008</v>
      </c>
      <c r="F28" s="139">
        <f>Summary!E21/1000000</f>
        <v>333.067762</v>
      </c>
      <c r="G28" s="139">
        <f>Summary!E26/1000000</f>
        <v>63.4501</v>
      </c>
      <c r="H28" s="139">
        <f>Summary!E31/1000000</f>
        <v>6.588942</v>
      </c>
      <c r="I28" s="139">
        <f>Summary!E36/1000000</f>
        <v>1.308319</v>
      </c>
      <c r="J28" s="139">
        <f>Summary!E41/1000000</f>
        <v>2.211722</v>
      </c>
      <c r="K28" s="139">
        <f t="shared" si="5"/>
        <v>816.6754549999999</v>
      </c>
      <c r="L28" s="161"/>
      <c r="M28" s="161"/>
    </row>
    <row r="29" spans="1:13" ht="14.25">
      <c r="A29" s="137" t="str">
        <f t="shared" si="4"/>
        <v>2008 Actual </v>
      </c>
      <c r="B29" s="138"/>
      <c r="C29" s="138"/>
      <c r="D29" s="139">
        <f>Summary!F13/1000000</f>
        <v>288.170301</v>
      </c>
      <c r="E29" s="139">
        <f>Summary!F17/1000000</f>
        <v>121.586473</v>
      </c>
      <c r="F29" s="139">
        <f>Summary!F21/1000000</f>
        <v>338.999213</v>
      </c>
      <c r="G29" s="139">
        <f>Summary!F26/1000000</f>
        <v>63.280466</v>
      </c>
      <c r="H29" s="139">
        <f>Summary!F31/1000000</f>
        <v>5.640742</v>
      </c>
      <c r="I29" s="139">
        <f>Summary!F36/1000000</f>
        <v>0.633264</v>
      </c>
      <c r="J29" s="139">
        <f>Summary!F41/1000000</f>
        <v>1.426304</v>
      </c>
      <c r="K29" s="139">
        <f t="shared" si="5"/>
        <v>819.7367630000001</v>
      </c>
      <c r="L29" s="161"/>
      <c r="M29" s="161"/>
    </row>
    <row r="30" spans="1:13" ht="14.25">
      <c r="A30" s="137" t="str">
        <f t="shared" si="4"/>
        <v>2009 Actual</v>
      </c>
      <c r="B30" s="138"/>
      <c r="C30" s="138"/>
      <c r="D30" s="139">
        <f>Summary!G13/1000000</f>
        <v>284.464847</v>
      </c>
      <c r="E30" s="139">
        <f>Summary!G17/1000000</f>
        <v>117.206107</v>
      </c>
      <c r="F30" s="139">
        <f>Summary!G21/1000000</f>
        <v>327.169221</v>
      </c>
      <c r="G30" s="139">
        <f>Summary!G26/1000000</f>
        <v>58.518018</v>
      </c>
      <c r="H30" s="139">
        <f>Summary!G31/1000000</f>
        <v>5.539999</v>
      </c>
      <c r="I30" s="139">
        <f>Summary!G36/1000000</f>
        <v>0.796438</v>
      </c>
      <c r="J30" s="139">
        <f>Summary!G41/1000000</f>
        <v>1.601817</v>
      </c>
      <c r="K30" s="139">
        <f t="shared" si="5"/>
        <v>795.296447</v>
      </c>
      <c r="L30" s="161"/>
      <c r="M30" s="161"/>
    </row>
    <row r="31" spans="1:13" s="163" customFormat="1" ht="14.25" customHeight="1">
      <c r="A31" s="137" t="str">
        <f t="shared" si="4"/>
        <v>2010 Actual </v>
      </c>
      <c r="B31" s="138"/>
      <c r="C31" s="162"/>
      <c r="D31" s="139">
        <f>Summary!H13/1000000</f>
        <v>287.709082</v>
      </c>
      <c r="E31" s="139">
        <f>Summary!H17/1000000</f>
        <v>117.506264</v>
      </c>
      <c r="F31" s="139">
        <f>Summary!H21/1000000</f>
        <v>331.296296</v>
      </c>
      <c r="G31" s="139">
        <f>Summary!H26/1000000</f>
        <v>55.529141</v>
      </c>
      <c r="H31" s="139">
        <f>Summary!H31/1000000</f>
        <v>5.582044</v>
      </c>
      <c r="I31" s="139">
        <f>Summary!H36/1000000</f>
        <v>0.788608</v>
      </c>
      <c r="J31" s="139">
        <f>Summary!H41/1000000</f>
        <v>1.56565</v>
      </c>
      <c r="K31" s="139">
        <f t="shared" si="5"/>
        <v>799.9770849999999</v>
      </c>
      <c r="L31" s="161"/>
      <c r="M31" s="161"/>
    </row>
    <row r="32" spans="1:13" s="148" customFormat="1" ht="15" customHeight="1">
      <c r="A32" s="137" t="str">
        <f t="shared" si="4"/>
        <v>2011 Actual </v>
      </c>
      <c r="B32" s="138"/>
      <c r="C32" s="130"/>
      <c r="D32" s="139">
        <f>Summary!I13/1000000</f>
        <v>293.541684</v>
      </c>
      <c r="E32" s="139">
        <f>Summary!I17/1000000</f>
        <v>114.708317</v>
      </c>
      <c r="F32" s="139">
        <f>Summary!I21/1000000</f>
        <v>345.543415</v>
      </c>
      <c r="G32" s="139">
        <f>Summary!I26/1000000</f>
        <v>56.661879</v>
      </c>
      <c r="H32" s="139">
        <f>Summary!I31/1000000</f>
        <v>5.614216</v>
      </c>
      <c r="I32" s="139">
        <f>Summary!I36/1000000</f>
        <v>0.768502</v>
      </c>
      <c r="J32" s="139">
        <f>Summary!I41/1000000</f>
        <v>1.661205</v>
      </c>
      <c r="K32" s="139">
        <f t="shared" si="5"/>
        <v>818.499218</v>
      </c>
      <c r="L32" s="161"/>
      <c r="M32" s="161"/>
    </row>
    <row r="33" spans="1:13" s="148" customFormat="1" ht="15" customHeight="1">
      <c r="A33" s="129" t="str">
        <f t="shared" si="4"/>
        <v>2012 Bridge</v>
      </c>
      <c r="B33" s="130"/>
      <c r="C33" s="130"/>
      <c r="D33" s="149">
        <f>Summary!J13/1000000</f>
        <v>294.3335183800358</v>
      </c>
      <c r="E33" s="149">
        <f>Summary!J17/1000000</f>
        <v>113.59700356461161</v>
      </c>
      <c r="F33" s="149">
        <f>Summary!J21/1000000</f>
        <v>348.57378054216275</v>
      </c>
      <c r="G33" s="149">
        <f>Summary!J26/1000000</f>
        <v>55.262515828510324</v>
      </c>
      <c r="H33" s="149">
        <f>Summary!J31/1000000</f>
        <v>5.513077022506365</v>
      </c>
      <c r="I33" s="149">
        <f>Summary!J36/1000000</f>
        <v>0.7322747120112196</v>
      </c>
      <c r="J33" s="149">
        <f>Summary!J41/1000000</f>
        <v>1.6469257997406481</v>
      </c>
      <c r="K33" s="149">
        <f t="shared" si="5"/>
        <v>819.6590958495786</v>
      </c>
      <c r="L33" s="161"/>
      <c r="M33" s="161"/>
    </row>
    <row r="34" spans="1:13" s="148" customFormat="1" ht="15">
      <c r="A34" s="129" t="str">
        <f t="shared" si="4"/>
        <v>2013 Test</v>
      </c>
      <c r="B34" s="130"/>
      <c r="C34" s="164"/>
      <c r="D34" s="149">
        <f>Summary!K13/1000000</f>
        <v>294.2401072388403</v>
      </c>
      <c r="E34" s="149">
        <f>Summary!K17/1000000</f>
        <v>112.15820535641586</v>
      </c>
      <c r="F34" s="149">
        <f>Summary!K21/1000000</f>
        <v>350.71560499935043</v>
      </c>
      <c r="G34" s="149">
        <f>Summary!K26/1000000</f>
        <v>53.89686198977807</v>
      </c>
      <c r="H34" s="149">
        <f>Summary!K31/1000000</f>
        <v>5.413674628692462</v>
      </c>
      <c r="I34" s="149">
        <f>Summary!K36/1000000</f>
        <v>0.697744174543366</v>
      </c>
      <c r="J34" s="149">
        <f>Summary!K41/1000000</f>
        <v>1.6327435782709412</v>
      </c>
      <c r="K34" s="149">
        <f t="shared" si="5"/>
        <v>818.7549419658914</v>
      </c>
      <c r="L34" s="161"/>
      <c r="M34" s="161"/>
    </row>
    <row r="35" spans="1:11" ht="14.25">
      <c r="A35" s="319"/>
      <c r="B35" s="320"/>
      <c r="C35" s="320"/>
      <c r="D35" s="320"/>
      <c r="E35" s="320"/>
      <c r="F35" s="320"/>
      <c r="G35" s="320"/>
      <c r="H35" s="320"/>
      <c r="I35" s="320"/>
      <c r="J35" s="165"/>
      <c r="K35" s="166"/>
    </row>
    <row r="36" spans="1:11" ht="15">
      <c r="A36" s="294" t="s">
        <v>148</v>
      </c>
      <c r="B36" s="294"/>
      <c r="C36" s="294"/>
      <c r="D36" s="294"/>
      <c r="E36" s="294"/>
      <c r="F36" s="294"/>
      <c r="G36" s="294"/>
      <c r="H36" s="294"/>
      <c r="I36" s="294"/>
      <c r="J36" s="294"/>
      <c r="K36" s="294"/>
    </row>
    <row r="37" spans="1:13" ht="14.25">
      <c r="A37" s="167" t="str">
        <f>A23</f>
        <v>2009 Board Approved</v>
      </c>
      <c r="B37" s="167"/>
      <c r="C37" s="167"/>
      <c r="D37" s="168">
        <f>D276</f>
        <v>30883</v>
      </c>
      <c r="E37" s="168">
        <f>D280</f>
        <v>3638</v>
      </c>
      <c r="F37" s="168">
        <f>D284</f>
        <v>368</v>
      </c>
      <c r="G37" s="168">
        <f>D288</f>
        <v>2</v>
      </c>
      <c r="H37" s="168">
        <f>D299</f>
        <v>8540</v>
      </c>
      <c r="I37" s="168">
        <f>D294</f>
        <v>401</v>
      </c>
      <c r="J37" s="168">
        <f>D304</f>
        <v>9</v>
      </c>
      <c r="K37" s="168">
        <f>SUM(D37:J37)</f>
        <v>43841</v>
      </c>
      <c r="L37" s="248"/>
      <c r="M37" s="170"/>
    </row>
    <row r="38" spans="1:13" ht="14.25">
      <c r="A38" s="282"/>
      <c r="B38" s="283"/>
      <c r="C38" s="283"/>
      <c r="D38" s="283"/>
      <c r="E38" s="283"/>
      <c r="F38" s="283"/>
      <c r="G38" s="283"/>
      <c r="H38" s="283"/>
      <c r="I38" s="283"/>
      <c r="J38" s="283"/>
      <c r="K38" s="284"/>
      <c r="L38" s="248"/>
      <c r="M38" s="170"/>
    </row>
    <row r="39" spans="1:13" ht="14.25">
      <c r="A39" s="167" t="str">
        <f aca="true" t="shared" si="6" ref="A39:A48">A25</f>
        <v>2004 Actual </v>
      </c>
      <c r="B39" s="167"/>
      <c r="C39" s="167"/>
      <c r="D39" s="168">
        <f>Summary!B12</f>
        <v>29047.25</v>
      </c>
      <c r="E39" s="168">
        <f>Summary!B16</f>
        <v>3650.4166666666665</v>
      </c>
      <c r="F39" s="168">
        <f>Summary!B20</f>
        <v>384.1666666666667</v>
      </c>
      <c r="G39" s="168">
        <f>Summary!B25</f>
        <v>2</v>
      </c>
      <c r="H39" s="168">
        <f>Summary!B30</f>
        <v>8065.083333333333</v>
      </c>
      <c r="I39" s="168">
        <f>Summary!B35</f>
        <v>680.75</v>
      </c>
      <c r="J39" s="168">
        <f>Summary!B40</f>
        <v>0</v>
      </c>
      <c r="K39" s="168">
        <f aca="true" t="shared" si="7" ref="K39:K48">SUM(D39:J39)</f>
        <v>41829.66666666667</v>
      </c>
      <c r="L39" s="248"/>
      <c r="M39" s="170"/>
    </row>
    <row r="40" spans="1:13" ht="14.25">
      <c r="A40" s="167" t="str">
        <f t="shared" si="6"/>
        <v>2005 Actual </v>
      </c>
      <c r="B40" s="167"/>
      <c r="C40" s="167"/>
      <c r="D40" s="168">
        <f>Summary!C12</f>
        <v>29322.083333333332</v>
      </c>
      <c r="E40" s="168">
        <f>Summary!C16</f>
        <v>3642</v>
      </c>
      <c r="F40" s="168">
        <f>Summary!C20</f>
        <v>384.5</v>
      </c>
      <c r="G40" s="168">
        <f>Summary!C25</f>
        <v>2</v>
      </c>
      <c r="H40" s="168">
        <f>Summary!C30</f>
        <v>8182.416666666667</v>
      </c>
      <c r="I40" s="168">
        <f>Summary!C35</f>
        <v>674.6666666666666</v>
      </c>
      <c r="J40" s="168">
        <f>Summary!C40</f>
        <v>0</v>
      </c>
      <c r="K40" s="168">
        <f t="shared" si="7"/>
        <v>42207.66666666666</v>
      </c>
      <c r="L40" s="248"/>
      <c r="M40" s="170"/>
    </row>
    <row r="41" spans="1:13" ht="14.25">
      <c r="A41" s="167" t="str">
        <f t="shared" si="6"/>
        <v>2006 Actual </v>
      </c>
      <c r="B41" s="167"/>
      <c r="C41" s="167"/>
      <c r="D41" s="168">
        <f>Summary!D12</f>
        <v>29575.666666666668</v>
      </c>
      <c r="E41" s="168">
        <f>Summary!D16</f>
        <v>3611.75</v>
      </c>
      <c r="F41" s="168">
        <f>Summary!D20</f>
        <v>377.4166666666667</v>
      </c>
      <c r="G41" s="168">
        <f>Summary!D25</f>
        <v>2</v>
      </c>
      <c r="H41" s="168">
        <f>Summary!D30</f>
        <v>8255.416666666666</v>
      </c>
      <c r="I41" s="168">
        <f>Summary!D35</f>
        <v>685.0833333333334</v>
      </c>
      <c r="J41" s="168">
        <f>Summary!D40</f>
        <v>383</v>
      </c>
      <c r="K41" s="168">
        <f t="shared" si="7"/>
        <v>42890.333333333336</v>
      </c>
      <c r="L41" s="248"/>
      <c r="M41" s="170"/>
    </row>
    <row r="42" spans="1:13" ht="12.75" customHeight="1">
      <c r="A42" s="167" t="str">
        <f t="shared" si="6"/>
        <v>2007 Actual </v>
      </c>
      <c r="B42" s="167"/>
      <c r="C42" s="167"/>
      <c r="D42" s="168">
        <f>Summary!E12</f>
        <v>29947.333333333332</v>
      </c>
      <c r="E42" s="168">
        <f>Summary!E16</f>
        <v>3617.5833333333335</v>
      </c>
      <c r="F42" s="168">
        <f>Summary!E20</f>
        <v>375.1666666666667</v>
      </c>
      <c r="G42" s="168">
        <f>Summary!E25</f>
        <v>2</v>
      </c>
      <c r="H42" s="168">
        <f>Summary!E30</f>
        <v>8283.666666666666</v>
      </c>
      <c r="I42" s="168">
        <f>Summary!E35</f>
        <v>564.8333333333334</v>
      </c>
      <c r="J42" s="168">
        <f>Summary!E40</f>
        <v>383</v>
      </c>
      <c r="K42" s="168">
        <f t="shared" si="7"/>
        <v>43173.58333333333</v>
      </c>
      <c r="L42" s="248"/>
      <c r="M42" s="170"/>
    </row>
    <row r="43" spans="1:13" ht="14.25">
      <c r="A43" s="167" t="str">
        <f t="shared" si="6"/>
        <v>2008 Actual </v>
      </c>
      <c r="B43" s="167"/>
      <c r="C43" s="167"/>
      <c r="D43" s="168">
        <f>Summary!F12</f>
        <v>30248.5</v>
      </c>
      <c r="E43" s="168">
        <f>Summary!F16</f>
        <v>3633.25</v>
      </c>
      <c r="F43" s="168">
        <f>Summary!F20</f>
        <v>369.4166666666667</v>
      </c>
      <c r="G43" s="168">
        <f>Summary!F25</f>
        <v>2</v>
      </c>
      <c r="H43" s="168">
        <f>Summary!F30</f>
        <v>8148.166666666667</v>
      </c>
      <c r="I43" s="168">
        <f>Summary!F35</f>
        <v>450.8333333333333</v>
      </c>
      <c r="J43" s="168">
        <f>Summary!F40</f>
        <v>383</v>
      </c>
      <c r="K43" s="168">
        <f t="shared" si="7"/>
        <v>43235.166666666664</v>
      </c>
      <c r="L43" s="248"/>
      <c r="M43" s="170"/>
    </row>
    <row r="44" spans="1:13" ht="14.25">
      <c r="A44" s="167" t="str">
        <f t="shared" si="6"/>
        <v>2009 Actual</v>
      </c>
      <c r="B44" s="167"/>
      <c r="C44" s="167"/>
      <c r="D44" s="168">
        <f>Summary!G12</f>
        <v>30524.166666666668</v>
      </c>
      <c r="E44" s="168">
        <f>Summary!G16</f>
        <v>3619.0833333333335</v>
      </c>
      <c r="F44" s="168">
        <f>Summary!G20</f>
        <v>363</v>
      </c>
      <c r="G44" s="168">
        <f>Summary!G25</f>
        <v>2</v>
      </c>
      <c r="H44" s="168">
        <f>Summary!G30</f>
        <v>8002.333333333333</v>
      </c>
      <c r="I44" s="168">
        <f>Summary!G35</f>
        <v>425.1666666666667</v>
      </c>
      <c r="J44" s="168">
        <f>Summary!G40</f>
        <v>383</v>
      </c>
      <c r="K44" s="168">
        <f t="shared" si="7"/>
        <v>43318.75</v>
      </c>
      <c r="L44" s="248"/>
      <c r="M44" s="170"/>
    </row>
    <row r="45" spans="1:13" s="163" customFormat="1" ht="12.75" customHeight="1">
      <c r="A45" s="167" t="str">
        <f t="shared" si="6"/>
        <v>2010 Actual </v>
      </c>
      <c r="B45" s="171"/>
      <c r="C45" s="172"/>
      <c r="D45" s="168">
        <f>Summary!H12</f>
        <v>30790.5</v>
      </c>
      <c r="E45" s="168">
        <f>Summary!H16</f>
        <v>3599.5833333333335</v>
      </c>
      <c r="F45" s="168">
        <f>Summary!H20</f>
        <v>372</v>
      </c>
      <c r="G45" s="168">
        <f>Summary!H25</f>
        <v>2</v>
      </c>
      <c r="H45" s="168">
        <f>Summary!H30</f>
        <v>8064.166666666667</v>
      </c>
      <c r="I45" s="168">
        <f>Summary!H35</f>
        <v>422.5</v>
      </c>
      <c r="J45" s="168">
        <f>Summary!H40</f>
        <v>383.0833333333333</v>
      </c>
      <c r="K45" s="168">
        <f t="shared" si="7"/>
        <v>43633.833333333336</v>
      </c>
      <c r="L45" s="248"/>
      <c r="M45" s="170"/>
    </row>
    <row r="46" spans="1:13" s="163" customFormat="1" ht="12.75" customHeight="1">
      <c r="A46" s="167" t="str">
        <f t="shared" si="6"/>
        <v>2011 Actual </v>
      </c>
      <c r="B46" s="169"/>
      <c r="C46" s="172"/>
      <c r="D46" s="168">
        <f>Summary!I12</f>
        <v>31134.916666666668</v>
      </c>
      <c r="E46" s="168">
        <f>Summary!I16</f>
        <v>3569.5833333333335</v>
      </c>
      <c r="F46" s="168">
        <f>Summary!I20</f>
        <v>388.75</v>
      </c>
      <c r="G46" s="168">
        <f>Summary!I25</f>
        <v>2</v>
      </c>
      <c r="H46" s="168">
        <f>Summary!I30</f>
        <v>8130.75</v>
      </c>
      <c r="I46" s="168">
        <f>Summary!I35</f>
        <v>415.5</v>
      </c>
      <c r="J46" s="168">
        <f>Summary!I40</f>
        <v>384</v>
      </c>
      <c r="K46" s="168">
        <f t="shared" si="7"/>
        <v>44025.5</v>
      </c>
      <c r="L46" s="248"/>
      <c r="M46" s="170"/>
    </row>
    <row r="47" spans="1:13" s="148" customFormat="1" ht="12.75" customHeight="1">
      <c r="A47" s="136" t="str">
        <f t="shared" si="6"/>
        <v>2012 Bridge</v>
      </c>
      <c r="B47" s="173"/>
      <c r="C47" s="136"/>
      <c r="D47" s="174">
        <f>Summary!J12</f>
        <v>31445.159759078786</v>
      </c>
      <c r="E47" s="174">
        <f>Summary!J16</f>
        <v>3558.18276593255</v>
      </c>
      <c r="F47" s="174">
        <f>Summary!J20</f>
        <v>389.4092105970397</v>
      </c>
      <c r="G47" s="174">
        <f>Summary!J25</f>
        <v>2</v>
      </c>
      <c r="H47" s="174">
        <f>Summary!J30</f>
        <v>8140.1744972835795</v>
      </c>
      <c r="I47" s="174">
        <f>Summary!J35</f>
        <v>387.2042202260511</v>
      </c>
      <c r="J47" s="174">
        <f>Summary!J40</f>
        <v>384.20031309803426</v>
      </c>
      <c r="K47" s="174">
        <f t="shared" si="7"/>
        <v>44306.330766216044</v>
      </c>
      <c r="L47" s="249"/>
      <c r="M47" s="250"/>
    </row>
    <row r="48" spans="1:13" s="148" customFormat="1" ht="15">
      <c r="A48" s="136" t="str">
        <f t="shared" si="6"/>
        <v>2013 Test</v>
      </c>
      <c r="B48" s="136"/>
      <c r="C48" s="251"/>
      <c r="D48" s="174">
        <f>Summary!K12</f>
        <v>31758.494260965992</v>
      </c>
      <c r="E48" s="174">
        <f>Summary!K16</f>
        <v>3546.8186097666144</v>
      </c>
      <c r="F48" s="174">
        <f>Summary!K20</f>
        <v>390.0695390297354</v>
      </c>
      <c r="G48" s="174">
        <f>Summary!K25</f>
        <v>2</v>
      </c>
      <c r="H48" s="174">
        <f>Summary!K30</f>
        <v>8149.609918669985</v>
      </c>
      <c r="I48" s="174">
        <f>Summary!K35</f>
        <v>360.8353987024411</v>
      </c>
      <c r="J48" s="174">
        <f>Summary!K40</f>
        <v>384.4007306891342</v>
      </c>
      <c r="K48" s="174">
        <f t="shared" si="7"/>
        <v>44592.2284578239</v>
      </c>
      <c r="L48" s="249"/>
      <c r="M48" s="250"/>
    </row>
    <row r="50" spans="1:11" ht="15">
      <c r="A50" s="275" t="s">
        <v>204</v>
      </c>
      <c r="B50" s="276"/>
      <c r="C50" s="276"/>
      <c r="D50" s="276"/>
      <c r="E50" s="276"/>
      <c r="F50" s="276"/>
      <c r="G50" s="276"/>
      <c r="H50" s="276"/>
      <c r="I50" s="276"/>
      <c r="J50" s="277"/>
      <c r="K50" s="154"/>
    </row>
    <row r="51" spans="1:10" ht="45">
      <c r="A51" s="315" t="s">
        <v>133</v>
      </c>
      <c r="B51" s="316"/>
      <c r="C51" s="133"/>
      <c r="D51" s="156" t="str">
        <f>D20</f>
        <v>Residential </v>
      </c>
      <c r="E51" s="156" t="str">
        <f aca="true" t="shared" si="8" ref="E51:J51">E20</f>
        <v>General Service
&lt; 50 kW</v>
      </c>
      <c r="F51" s="156" t="str">
        <f t="shared" si="8"/>
        <v>General Service
&gt; 50 kW</v>
      </c>
      <c r="G51" s="156" t="str">
        <f t="shared" si="8"/>
        <v>Large User</v>
      </c>
      <c r="H51" s="156" t="str">
        <f t="shared" si="8"/>
        <v>Street Lighting </v>
      </c>
      <c r="I51" s="156" t="str">
        <f t="shared" si="8"/>
        <v>Sentinel Lighting</v>
      </c>
      <c r="J51" s="156" t="str">
        <f t="shared" si="8"/>
        <v>Unmetered Scattered Loads </v>
      </c>
    </row>
    <row r="52" spans="1:10" ht="15">
      <c r="A52" s="275" t="s">
        <v>149</v>
      </c>
      <c r="B52" s="276"/>
      <c r="C52" s="276"/>
      <c r="D52" s="276"/>
      <c r="E52" s="276"/>
      <c r="F52" s="276"/>
      <c r="G52" s="276"/>
      <c r="H52" s="276"/>
      <c r="I52" s="276"/>
      <c r="J52" s="277"/>
    </row>
    <row r="53" spans="1:10" ht="15">
      <c r="A53" s="285"/>
      <c r="B53" s="280"/>
      <c r="C53" s="280"/>
      <c r="D53" s="280"/>
      <c r="E53" s="280"/>
      <c r="F53" s="280"/>
      <c r="G53" s="280"/>
      <c r="H53" s="280"/>
      <c r="I53" s="280"/>
      <c r="J53" s="281"/>
    </row>
    <row r="54" spans="1:10" ht="15">
      <c r="A54" s="176" t="str">
        <f>A37</f>
        <v>2009 Board Approved</v>
      </c>
      <c r="B54" s="177"/>
      <c r="C54" s="177"/>
      <c r="D54" s="141">
        <f>D23/D37*1000000</f>
        <v>9762.51361590519</v>
      </c>
      <c r="E54" s="141">
        <f aca="true" t="shared" si="9" ref="E54:J54">E23/E37*1000000</f>
        <v>33373.50632215503</v>
      </c>
      <c r="F54" s="141">
        <f t="shared" si="9"/>
        <v>808761.3315217391</v>
      </c>
      <c r="G54" s="141">
        <f t="shared" si="9"/>
        <v>31849530.5</v>
      </c>
      <c r="H54" s="141">
        <f t="shared" si="9"/>
        <v>733.1996487119437</v>
      </c>
      <c r="I54" s="141">
        <f t="shared" si="9"/>
        <v>1643.7680798004988</v>
      </c>
      <c r="J54" s="141">
        <f t="shared" si="9"/>
        <v>212153.8888888889</v>
      </c>
    </row>
    <row r="55" spans="1:10" ht="15">
      <c r="A55" s="285"/>
      <c r="B55" s="280"/>
      <c r="C55" s="280"/>
      <c r="D55" s="280"/>
      <c r="E55" s="280"/>
      <c r="F55" s="280"/>
      <c r="G55" s="280"/>
      <c r="H55" s="280"/>
      <c r="I55" s="281"/>
      <c r="J55" s="252"/>
    </row>
    <row r="56" spans="1:10" ht="14.25">
      <c r="A56" s="137" t="str">
        <f aca="true" t="shared" si="10" ref="A56:A65">A8</f>
        <v>2004 Actual </v>
      </c>
      <c r="B56" s="138"/>
      <c r="C56" s="138"/>
      <c r="D56" s="141">
        <f aca="true" t="shared" si="11" ref="D56:I56">D25/D39*1000000</f>
        <v>9837.38612088924</v>
      </c>
      <c r="E56" s="141">
        <f t="shared" si="11"/>
        <v>33369.77176121447</v>
      </c>
      <c r="F56" s="141">
        <f t="shared" si="11"/>
        <v>833067.2511930586</v>
      </c>
      <c r="G56" s="141">
        <f t="shared" si="11"/>
        <v>31655808.5</v>
      </c>
      <c r="H56" s="141">
        <f t="shared" si="11"/>
        <v>741.5080232690301</v>
      </c>
      <c r="I56" s="141">
        <f t="shared" si="11"/>
        <v>1484.6507528461254</v>
      </c>
      <c r="J56" s="141"/>
    </row>
    <row r="57" spans="1:10" ht="14.25">
      <c r="A57" s="137" t="str">
        <f t="shared" si="10"/>
        <v>2005 Actual </v>
      </c>
      <c r="B57" s="138"/>
      <c r="C57" s="138"/>
      <c r="D57" s="141">
        <f aca="true" t="shared" si="12" ref="D57:J65">D26/D40*1000000</f>
        <v>10109.580572094412</v>
      </c>
      <c r="E57" s="141">
        <f t="shared" si="12"/>
        <v>34680.07907742999</v>
      </c>
      <c r="F57" s="141">
        <f t="shared" si="12"/>
        <v>860191.3263979194</v>
      </c>
      <c r="G57" s="141">
        <f t="shared" si="12"/>
        <v>33260357.499999996</v>
      </c>
      <c r="H57" s="141">
        <f t="shared" si="12"/>
        <v>731.5176241737873</v>
      </c>
      <c r="I57" s="141">
        <f t="shared" si="12"/>
        <v>1433.2870553359685</v>
      </c>
      <c r="J57" s="141"/>
    </row>
    <row r="58" spans="1:10" ht="14.25">
      <c r="A58" s="137" t="str">
        <f t="shared" si="10"/>
        <v>2006 Actual </v>
      </c>
      <c r="B58" s="138"/>
      <c r="C58" s="138"/>
      <c r="D58" s="141">
        <f t="shared" si="12"/>
        <v>9811.291974258116</v>
      </c>
      <c r="E58" s="141">
        <f t="shared" si="12"/>
        <v>34430.3830553056</v>
      </c>
      <c r="F58" s="141">
        <f t="shared" si="12"/>
        <v>866488.8355045264</v>
      </c>
      <c r="G58" s="141">
        <f t="shared" si="12"/>
        <v>32550078.999999996</v>
      </c>
      <c r="H58" s="141">
        <f t="shared" si="12"/>
        <v>761.1389289860193</v>
      </c>
      <c r="I58" s="141">
        <f t="shared" si="12"/>
        <v>1595.4628390706725</v>
      </c>
      <c r="J58" s="141">
        <f t="shared" si="12"/>
        <v>3184.8537859007834</v>
      </c>
    </row>
    <row r="59" spans="1:10" ht="14.25">
      <c r="A59" s="137" t="str">
        <f t="shared" si="10"/>
        <v>2007 Actual </v>
      </c>
      <c r="B59" s="138"/>
      <c r="C59" s="138"/>
      <c r="D59" s="141">
        <f t="shared" si="12"/>
        <v>9529.649896484942</v>
      </c>
      <c r="E59" s="141">
        <f t="shared" si="12"/>
        <v>34459.74743728548</v>
      </c>
      <c r="F59" s="141">
        <f t="shared" si="12"/>
        <v>887786.1270546423</v>
      </c>
      <c r="G59" s="141">
        <f t="shared" si="12"/>
        <v>31725050</v>
      </c>
      <c r="H59" s="141">
        <f t="shared" si="12"/>
        <v>795.413705685888</v>
      </c>
      <c r="I59" s="141">
        <f t="shared" si="12"/>
        <v>2316.2921215697843</v>
      </c>
      <c r="J59" s="141">
        <f t="shared" si="12"/>
        <v>5774.731070496084</v>
      </c>
    </row>
    <row r="60" spans="1:10" ht="14.25">
      <c r="A60" s="137" t="str">
        <f t="shared" si="10"/>
        <v>2008 Actual </v>
      </c>
      <c r="B60" s="138"/>
      <c r="C60" s="138"/>
      <c r="D60" s="141">
        <f t="shared" si="12"/>
        <v>9526.763343636874</v>
      </c>
      <c r="E60" s="141">
        <f t="shared" si="12"/>
        <v>33464.93442510149</v>
      </c>
      <c r="F60" s="141">
        <f t="shared" si="12"/>
        <v>917660.8517933679</v>
      </c>
      <c r="G60" s="141">
        <f t="shared" si="12"/>
        <v>31640233</v>
      </c>
      <c r="H60" s="141">
        <f t="shared" si="12"/>
        <v>692.2713084742988</v>
      </c>
      <c r="I60" s="141">
        <f t="shared" si="12"/>
        <v>1404.652125693161</v>
      </c>
      <c r="J60" s="141">
        <f t="shared" si="12"/>
        <v>3724.0313315926896</v>
      </c>
    </row>
    <row r="61" spans="1:10" ht="14.25">
      <c r="A61" s="137" t="str">
        <f t="shared" si="10"/>
        <v>2009 Actual</v>
      </c>
      <c r="B61" s="138"/>
      <c r="C61" s="138"/>
      <c r="D61" s="141">
        <f t="shared" si="12"/>
        <v>9319.332124819131</v>
      </c>
      <c r="E61" s="141">
        <f t="shared" si="12"/>
        <v>32385.578392318494</v>
      </c>
      <c r="F61" s="141">
        <f t="shared" si="12"/>
        <v>901292.6198347107</v>
      </c>
      <c r="G61" s="141">
        <f t="shared" si="12"/>
        <v>29259009</v>
      </c>
      <c r="H61" s="141">
        <f t="shared" si="12"/>
        <v>692.2979547631941</v>
      </c>
      <c r="I61" s="141">
        <f t="shared" si="12"/>
        <v>1873.237161897295</v>
      </c>
      <c r="J61" s="141">
        <f t="shared" si="12"/>
        <v>4182.289817232376</v>
      </c>
    </row>
    <row r="62" spans="1:10" s="163" customFormat="1" ht="14.25">
      <c r="A62" s="137" t="str">
        <f t="shared" si="10"/>
        <v>2010 Actual </v>
      </c>
      <c r="B62" s="138"/>
      <c r="C62" s="138"/>
      <c r="D62" s="141">
        <f t="shared" si="12"/>
        <v>9344.08606550722</v>
      </c>
      <c r="E62" s="141">
        <f t="shared" si="12"/>
        <v>32644.40717675657</v>
      </c>
      <c r="F62" s="141">
        <f t="shared" si="12"/>
        <v>890581.440860215</v>
      </c>
      <c r="G62" s="141">
        <f t="shared" si="12"/>
        <v>27764570.5</v>
      </c>
      <c r="H62" s="141">
        <f t="shared" si="12"/>
        <v>692.2034514828975</v>
      </c>
      <c r="I62" s="141">
        <f t="shared" si="12"/>
        <v>1866.5278106508877</v>
      </c>
      <c r="J62" s="141">
        <f t="shared" si="12"/>
        <v>4086.9697628888407</v>
      </c>
    </row>
    <row r="63" spans="1:11" s="148" customFormat="1" ht="15">
      <c r="A63" s="137" t="str">
        <f t="shared" si="10"/>
        <v>2011 Actual </v>
      </c>
      <c r="B63" s="138"/>
      <c r="C63" s="130"/>
      <c r="D63" s="141">
        <f t="shared" si="12"/>
        <v>9428.054269188664</v>
      </c>
      <c r="E63" s="141">
        <f t="shared" si="12"/>
        <v>32134.93180810085</v>
      </c>
      <c r="F63" s="141">
        <f t="shared" si="12"/>
        <v>888857.659163987</v>
      </c>
      <c r="G63" s="141">
        <f t="shared" si="12"/>
        <v>28330939.5</v>
      </c>
      <c r="H63" s="141">
        <f t="shared" si="12"/>
        <v>690.491775051502</v>
      </c>
      <c r="I63" s="141">
        <f t="shared" si="12"/>
        <v>1849.583634175692</v>
      </c>
      <c r="J63" s="141">
        <f t="shared" si="12"/>
        <v>4326.0546875</v>
      </c>
      <c r="K63" s="128"/>
    </row>
    <row r="64" spans="1:10" s="148" customFormat="1" ht="15">
      <c r="A64" s="136" t="str">
        <f t="shared" si="10"/>
        <v>2012 Bridge</v>
      </c>
      <c r="B64" s="136"/>
      <c r="C64" s="130"/>
      <c r="D64" s="151">
        <f t="shared" si="12"/>
        <v>9360.216982044634</v>
      </c>
      <c r="E64" s="151">
        <f t="shared" si="12"/>
        <v>31925.56735765073</v>
      </c>
      <c r="F64" s="151">
        <f t="shared" si="12"/>
        <v>895134.9147795751</v>
      </c>
      <c r="G64" s="151">
        <f t="shared" si="12"/>
        <v>27631257.91425516</v>
      </c>
      <c r="H64" s="151">
        <f t="shared" si="12"/>
        <v>677.2676709014173</v>
      </c>
      <c r="I64" s="151">
        <f t="shared" si="12"/>
        <v>1891.184738595347</v>
      </c>
      <c r="J64" s="151">
        <f t="shared" si="12"/>
        <v>4286.633153576871</v>
      </c>
    </row>
    <row r="65" spans="1:10" s="148" customFormat="1" ht="15">
      <c r="A65" s="136" t="str">
        <f t="shared" si="10"/>
        <v>2013 Test</v>
      </c>
      <c r="B65" s="136"/>
      <c r="C65" s="130"/>
      <c r="D65" s="151">
        <f t="shared" si="12"/>
        <v>9264.926253146943</v>
      </c>
      <c r="E65" s="151">
        <f t="shared" si="12"/>
        <v>31622.1994120517</v>
      </c>
      <c r="F65" s="151">
        <f t="shared" si="12"/>
        <v>899110.4659741581</v>
      </c>
      <c r="G65" s="151">
        <f t="shared" si="12"/>
        <v>26948430.994889032</v>
      </c>
      <c r="H65" s="151">
        <f t="shared" si="12"/>
        <v>664.2863502325732</v>
      </c>
      <c r="I65" s="151">
        <f t="shared" si="12"/>
        <v>1933.6910321228015</v>
      </c>
      <c r="J65" s="151">
        <f t="shared" si="12"/>
        <v>4247.503836280022</v>
      </c>
    </row>
    <row r="66" spans="1:10" ht="15">
      <c r="A66" s="312"/>
      <c r="B66" s="313"/>
      <c r="C66" s="313"/>
      <c r="D66" s="313"/>
      <c r="E66" s="313"/>
      <c r="F66" s="313"/>
      <c r="G66" s="313"/>
      <c r="H66" s="313"/>
      <c r="I66" s="313"/>
      <c r="J66" s="314"/>
    </row>
    <row r="67" spans="1:10" ht="15">
      <c r="A67" s="312" t="s">
        <v>150</v>
      </c>
      <c r="B67" s="313"/>
      <c r="C67" s="313"/>
      <c r="D67" s="313"/>
      <c r="E67" s="313"/>
      <c r="F67" s="313"/>
      <c r="G67" s="313"/>
      <c r="H67" s="313"/>
      <c r="I67" s="313"/>
      <c r="J67" s="314"/>
    </row>
    <row r="68" spans="1:10" ht="15">
      <c r="A68" s="312"/>
      <c r="B68" s="313"/>
      <c r="C68" s="313"/>
      <c r="D68" s="313"/>
      <c r="E68" s="313"/>
      <c r="F68" s="313"/>
      <c r="G68" s="313"/>
      <c r="H68" s="313"/>
      <c r="I68" s="313"/>
      <c r="J68" s="314"/>
    </row>
    <row r="69" spans="1:10" ht="15">
      <c r="A69" s="180" t="s">
        <v>151</v>
      </c>
      <c r="B69" s="178"/>
      <c r="C69" s="178"/>
      <c r="D69" s="140">
        <f>D54/D61-1</f>
        <v>0.047555069950322215</v>
      </c>
      <c r="E69" s="140">
        <f aca="true" t="shared" si="13" ref="E69:J69">E54/E61-1</f>
        <v>0.030505180974963242</v>
      </c>
      <c r="F69" s="140">
        <f t="shared" si="13"/>
        <v>-0.10266509042306482</v>
      </c>
      <c r="G69" s="140">
        <f t="shared" si="13"/>
        <v>0.08853756803588264</v>
      </c>
      <c r="H69" s="140">
        <f t="shared" si="13"/>
        <v>0.059081055587894005</v>
      </c>
      <c r="I69" s="140">
        <f t="shared" si="13"/>
        <v>-0.12249868130118668</v>
      </c>
      <c r="J69" s="140">
        <f t="shared" si="13"/>
        <v>49.726730609329564</v>
      </c>
    </row>
    <row r="70" spans="1:10" ht="15">
      <c r="A70" s="312"/>
      <c r="B70" s="313"/>
      <c r="C70" s="313"/>
      <c r="D70" s="313"/>
      <c r="E70" s="313"/>
      <c r="F70" s="313"/>
      <c r="G70" s="313"/>
      <c r="H70" s="313"/>
      <c r="I70" s="313"/>
      <c r="J70" s="314"/>
    </row>
    <row r="71" spans="1:10" ht="14.25">
      <c r="A71" s="181" t="str">
        <f aca="true" t="shared" si="14" ref="A71:A80">A56</f>
        <v>2004 Actual </v>
      </c>
      <c r="B71" s="181"/>
      <c r="C71" s="181"/>
      <c r="D71" s="140"/>
      <c r="E71" s="140"/>
      <c r="F71" s="140"/>
      <c r="G71" s="140"/>
      <c r="H71" s="140"/>
      <c r="I71" s="140"/>
      <c r="J71" s="253"/>
    </row>
    <row r="72" spans="1:10" ht="14.25">
      <c r="A72" s="181" t="str">
        <f t="shared" si="14"/>
        <v>2005 Actual </v>
      </c>
      <c r="B72" s="181"/>
      <c r="C72" s="181"/>
      <c r="D72" s="140">
        <f aca="true" t="shared" si="15" ref="D72:I73">D57/D56-1</f>
        <v>0.027669387768279208</v>
      </c>
      <c r="E72" s="140">
        <f t="shared" si="15"/>
        <v>0.03926629542424642</v>
      </c>
      <c r="F72" s="140">
        <f t="shared" si="15"/>
        <v>0.032559286379359786</v>
      </c>
      <c r="G72" s="140">
        <f t="shared" si="15"/>
        <v>0.05068734857932933</v>
      </c>
      <c r="H72" s="140">
        <f t="shared" si="15"/>
        <v>-0.013473082936040104</v>
      </c>
      <c r="I72" s="140">
        <f t="shared" si="15"/>
        <v>-0.03459648500611412</v>
      </c>
      <c r="J72" s="140"/>
    </row>
    <row r="73" spans="1:10" ht="14.25">
      <c r="A73" s="181" t="str">
        <f t="shared" si="14"/>
        <v>2006 Actual </v>
      </c>
      <c r="B73" s="181"/>
      <c r="C73" s="181"/>
      <c r="D73" s="140">
        <f t="shared" si="15"/>
        <v>-0.02950553642746223</v>
      </c>
      <c r="E73" s="140">
        <f t="shared" si="15"/>
        <v>-0.007199984220534583</v>
      </c>
      <c r="F73" s="140">
        <f t="shared" si="15"/>
        <v>0.0073210562735828155</v>
      </c>
      <c r="G73" s="140">
        <f t="shared" si="15"/>
        <v>-0.021355107202320367</v>
      </c>
      <c r="H73" s="140">
        <f t="shared" si="15"/>
        <v>0.04049294758371369</v>
      </c>
      <c r="I73" s="140">
        <f t="shared" si="15"/>
        <v>0.11314954888550877</v>
      </c>
      <c r="J73" s="140"/>
    </row>
    <row r="74" spans="1:10" ht="14.25">
      <c r="A74" s="181" t="str">
        <f t="shared" si="14"/>
        <v>2007 Actual </v>
      </c>
      <c r="B74" s="181"/>
      <c r="C74" s="181"/>
      <c r="D74" s="140">
        <f aca="true" t="shared" si="16" ref="D74:D80">D59/D58-1</f>
        <v>-0.028705911363367753</v>
      </c>
      <c r="E74" s="140">
        <f aca="true" t="shared" si="17" ref="E74:J74">E59/E58-1</f>
        <v>0.0008528624829038378</v>
      </c>
      <c r="F74" s="140">
        <f t="shared" si="17"/>
        <v>0.02457884127002652</v>
      </c>
      <c r="G74" s="140">
        <f t="shared" si="17"/>
        <v>-0.025346451540102177</v>
      </c>
      <c r="H74" s="140">
        <f t="shared" si="17"/>
        <v>0.04503090749218286</v>
      </c>
      <c r="I74" s="140">
        <f t="shared" si="17"/>
        <v>0.45179948090735933</v>
      </c>
      <c r="J74" s="140">
        <f t="shared" si="17"/>
        <v>0.8131856150070627</v>
      </c>
    </row>
    <row r="75" spans="1:10" ht="14.25">
      <c r="A75" s="181" t="str">
        <f t="shared" si="14"/>
        <v>2008 Actual </v>
      </c>
      <c r="B75" s="181"/>
      <c r="C75" s="181"/>
      <c r="D75" s="140">
        <f t="shared" si="16"/>
        <v>-0.000302902297505403</v>
      </c>
      <c r="E75" s="140">
        <f aca="true" t="shared" si="18" ref="E75:J75">E60/E59-1</f>
        <v>-0.028868842233811587</v>
      </c>
      <c r="F75" s="140">
        <f t="shared" si="18"/>
        <v>0.033650812767078486</v>
      </c>
      <c r="G75" s="140">
        <f t="shared" si="18"/>
        <v>-0.0026735024846296085</v>
      </c>
      <c r="H75" s="140">
        <f t="shared" si="18"/>
        <v>-0.12967138543665035</v>
      </c>
      <c r="I75" s="140">
        <f t="shared" si="18"/>
        <v>-0.3935772985571405</v>
      </c>
      <c r="J75" s="140">
        <f t="shared" si="18"/>
        <v>-0.3551160588898604</v>
      </c>
    </row>
    <row r="76" spans="1:11" s="148" customFormat="1" ht="15">
      <c r="A76" s="181" t="str">
        <f t="shared" si="14"/>
        <v>2009 Actual</v>
      </c>
      <c r="B76" s="181"/>
      <c r="C76" s="182"/>
      <c r="D76" s="140">
        <f t="shared" si="16"/>
        <v>-0.021773524893561103</v>
      </c>
      <c r="E76" s="140">
        <f aca="true" t="shared" si="19" ref="E76:J76">E61/E60-1</f>
        <v>-0.032253343726064254</v>
      </c>
      <c r="F76" s="140">
        <f t="shared" si="19"/>
        <v>-0.017836907749381514</v>
      </c>
      <c r="G76" s="140">
        <f t="shared" si="19"/>
        <v>-0.07525936992941862</v>
      </c>
      <c r="H76" s="140">
        <f t="shared" si="19"/>
        <v>3.8491106837845734E-05</v>
      </c>
      <c r="I76" s="140">
        <f t="shared" si="19"/>
        <v>0.333595078548647</v>
      </c>
      <c r="J76" s="140">
        <f t="shared" si="19"/>
        <v>0.12305441196266709</v>
      </c>
      <c r="K76" s="128"/>
    </row>
    <row r="77" spans="1:17" s="148" customFormat="1" ht="15">
      <c r="A77" s="181" t="str">
        <f t="shared" si="14"/>
        <v>2010 Actual </v>
      </c>
      <c r="B77" s="182"/>
      <c r="C77" s="182"/>
      <c r="D77" s="140">
        <f t="shared" si="16"/>
        <v>0.0026561925636454653</v>
      </c>
      <c r="E77" s="140">
        <f aca="true" t="shared" si="20" ref="E77:J77">E62/E61-1</f>
        <v>0.007992100104022404</v>
      </c>
      <c r="F77" s="140">
        <f t="shared" si="20"/>
        <v>-0.011884241298303455</v>
      </c>
      <c r="G77" s="140">
        <f t="shared" si="20"/>
        <v>-0.0510761830655303</v>
      </c>
      <c r="H77" s="140">
        <f t="shared" si="20"/>
        <v>-0.00013650665821896002</v>
      </c>
      <c r="I77" s="140">
        <f t="shared" si="20"/>
        <v>-0.0035816880974173237</v>
      </c>
      <c r="J77" s="140">
        <f t="shared" si="20"/>
        <v>-0.022791355575308536</v>
      </c>
      <c r="K77" s="143"/>
      <c r="L77" s="183"/>
      <c r="M77" s="183"/>
      <c r="N77" s="183"/>
      <c r="O77" s="183"/>
      <c r="P77" s="183"/>
      <c r="Q77" s="183"/>
    </row>
    <row r="78" spans="1:17" s="148" customFormat="1" ht="15">
      <c r="A78" s="181" t="str">
        <f t="shared" si="14"/>
        <v>2011 Actual </v>
      </c>
      <c r="B78" s="182"/>
      <c r="C78" s="182"/>
      <c r="D78" s="140">
        <f t="shared" si="16"/>
        <v>0.008986240397699907</v>
      </c>
      <c r="E78" s="140">
        <f aca="true" t="shared" si="21" ref="E78:J78">E63/E62-1</f>
        <v>-0.015606819443744535</v>
      </c>
      <c r="F78" s="140">
        <f t="shared" si="21"/>
        <v>-0.0019355688510227509</v>
      </c>
      <c r="G78" s="140">
        <f t="shared" si="21"/>
        <v>0.020398982941227217</v>
      </c>
      <c r="H78" s="140">
        <f t="shared" si="21"/>
        <v>-0.0024727938407828054</v>
      </c>
      <c r="I78" s="140">
        <f t="shared" si="21"/>
        <v>-0.009077912677490252</v>
      </c>
      <c r="J78" s="140">
        <f t="shared" si="21"/>
        <v>0.058499313301051625</v>
      </c>
      <c r="K78" s="143"/>
      <c r="L78" s="184"/>
      <c r="M78" s="184"/>
      <c r="N78" s="184"/>
      <c r="O78" s="184"/>
      <c r="P78" s="184"/>
      <c r="Q78" s="184"/>
    </row>
    <row r="79" spans="1:11" s="148" customFormat="1" ht="15">
      <c r="A79" s="182" t="str">
        <f t="shared" si="14"/>
        <v>2012 Bridge</v>
      </c>
      <c r="B79" s="182"/>
      <c r="C79" s="182"/>
      <c r="D79" s="150">
        <f t="shared" si="16"/>
        <v>-0.00719525844963842</v>
      </c>
      <c r="E79" s="150">
        <f aca="true" t="shared" si="22" ref="E79:J79">E64/E63-1</f>
        <v>-0.006515167099167218</v>
      </c>
      <c r="F79" s="150">
        <f t="shared" si="22"/>
        <v>0.0070621606855389985</v>
      </c>
      <c r="G79" s="150">
        <f t="shared" si="22"/>
        <v>-0.024696730785960685</v>
      </c>
      <c r="H79" s="150">
        <f t="shared" si="22"/>
        <v>-0.019151718569129006</v>
      </c>
      <c r="I79" s="150">
        <f t="shared" si="22"/>
        <v>0.022492145611028524</v>
      </c>
      <c r="J79" s="150">
        <f t="shared" si="22"/>
        <v>-0.009112583351531867</v>
      </c>
      <c r="K79" s="147"/>
    </row>
    <row r="80" spans="1:11" s="148" customFormat="1" ht="15">
      <c r="A80" s="182" t="str">
        <f t="shared" si="14"/>
        <v>2013 Test</v>
      </c>
      <c r="B80" s="182"/>
      <c r="C80" s="254"/>
      <c r="D80" s="150">
        <f t="shared" si="16"/>
        <v>-0.010180397428872001</v>
      </c>
      <c r="E80" s="150">
        <f aca="true" t="shared" si="23" ref="E80:J80">E65/E64-1</f>
        <v>-0.009502350959044947</v>
      </c>
      <c r="F80" s="150">
        <f t="shared" si="23"/>
        <v>0.004441287150062756</v>
      </c>
      <c r="G80" s="150">
        <f t="shared" si="23"/>
        <v>-0.024712118481361456</v>
      </c>
      <c r="H80" s="150">
        <f t="shared" si="23"/>
        <v>-0.019167193750096567</v>
      </c>
      <c r="I80" s="150">
        <f t="shared" si="23"/>
        <v>0.02247601340048111</v>
      </c>
      <c r="J80" s="150">
        <f t="shared" si="23"/>
        <v>-0.009128216923390942</v>
      </c>
      <c r="K80" s="147"/>
    </row>
    <row r="81" spans="1:11" s="148" customFormat="1" ht="15">
      <c r="A81" s="185"/>
      <c r="B81" s="179"/>
      <c r="C81" s="179"/>
      <c r="D81" s="142"/>
      <c r="E81" s="142"/>
      <c r="F81" s="142"/>
      <c r="G81" s="142"/>
      <c r="H81" s="142"/>
      <c r="I81" s="142"/>
      <c r="J81" s="142"/>
      <c r="K81" s="143"/>
    </row>
    <row r="82" spans="1:4" ht="15">
      <c r="A82" s="275" t="s">
        <v>206</v>
      </c>
      <c r="B82" s="276"/>
      <c r="C82" s="276"/>
      <c r="D82" s="277"/>
    </row>
    <row r="83" spans="1:11" ht="15">
      <c r="A83" s="278" t="s">
        <v>152</v>
      </c>
      <c r="B83" s="279"/>
      <c r="C83" s="133"/>
      <c r="D83" s="134" t="s">
        <v>153</v>
      </c>
      <c r="K83" s="155"/>
    </row>
    <row r="84" spans="1:11" ht="14.25">
      <c r="A84" s="286" t="s">
        <v>23</v>
      </c>
      <c r="B84" s="311"/>
      <c r="C84" s="138"/>
      <c r="D84" s="186">
        <f>'Purchased Power Model '!O6</f>
        <v>0.9239744818863767</v>
      </c>
      <c r="K84"/>
    </row>
    <row r="85" spans="1:11" ht="14.25">
      <c r="A85" s="137" t="s">
        <v>24</v>
      </c>
      <c r="B85" s="138"/>
      <c r="C85" s="138"/>
      <c r="D85" s="186">
        <f>'Purchased Power Model '!O7</f>
        <v>0.9188491660584919</v>
      </c>
      <c r="K85"/>
    </row>
    <row r="86" spans="1:11" ht="14.25">
      <c r="A86" s="286" t="s">
        <v>154</v>
      </c>
      <c r="B86" s="311"/>
      <c r="C86" s="138"/>
      <c r="D86" s="187">
        <f>'Purchased Power Model '!R13</f>
        <v>180.27659424603922</v>
      </c>
      <c r="K86"/>
    </row>
    <row r="87" spans="1:11" ht="14.25">
      <c r="A87" s="137" t="s">
        <v>155</v>
      </c>
      <c r="B87" s="138"/>
      <c r="C87" s="138"/>
      <c r="D87" s="187"/>
      <c r="K87"/>
    </row>
    <row r="88" spans="1:11" ht="14.25">
      <c r="A88" s="188" t="str">
        <f>'Purchased Power Model '!N19</f>
        <v>Heating Degree Days</v>
      </c>
      <c r="B88" s="138"/>
      <c r="C88" s="138"/>
      <c r="D88" s="189">
        <f>'Purchased Power Model '!Q19</f>
        <v>24.898150378118377</v>
      </c>
      <c r="K88"/>
    </row>
    <row r="89" spans="1:11" ht="14.25">
      <c r="A89" s="188" t="str">
        <f>'Purchased Power Model '!N20</f>
        <v>Cooling Degree Days</v>
      </c>
      <c r="B89" s="138"/>
      <c r="C89" s="138"/>
      <c r="D89" s="189">
        <f>'Purchased Power Model '!Q20</f>
        <v>9.777055437091883</v>
      </c>
      <c r="K89"/>
    </row>
    <row r="90" spans="1:11" ht="14.25">
      <c r="A90" s="188" t="str">
        <f>'Purchased Power Model '!N21</f>
        <v>Ontario Real GDP Monthly %</v>
      </c>
      <c r="B90" s="138"/>
      <c r="C90" s="138"/>
      <c r="D90" s="189">
        <f>'Purchased Power Model '!Q21</f>
        <v>3.895104064783387</v>
      </c>
      <c r="K90"/>
    </row>
    <row r="91" spans="1:11" ht="14.25">
      <c r="A91" s="188" t="str">
        <f>'Purchased Power Model '!N22</f>
        <v>Number of Days in Month</v>
      </c>
      <c r="B91" s="138"/>
      <c r="C91" s="138"/>
      <c r="D91" s="189">
        <f>'Purchased Power Model '!Q22</f>
        <v>5.182024210888989</v>
      </c>
      <c r="K91"/>
    </row>
    <row r="92" spans="1:4" ht="14.25">
      <c r="A92" s="188" t="str">
        <f>'Purchased Power Model '!N23</f>
        <v>Spring Fall Flag</v>
      </c>
      <c r="B92" s="267"/>
      <c r="C92" s="138"/>
      <c r="D92" s="189">
        <f>'Purchased Power Model '!Q23</f>
        <v>-7.171310984160319</v>
      </c>
    </row>
    <row r="93" spans="1:4" ht="14.25">
      <c r="A93" s="188" t="str">
        <f>'Purchased Power Model '!N24</f>
        <v>Number of Peak Hours</v>
      </c>
      <c r="B93" s="138"/>
      <c r="C93" s="138"/>
      <c r="D93" s="189">
        <f>'Purchased Power Model '!Q24</f>
        <v>3.0730651780035094</v>
      </c>
    </row>
    <row r="94" spans="1:4" ht="14.25">
      <c r="A94" s="188" t="str">
        <f>'Purchased Power Model '!N18</f>
        <v>Intercept</v>
      </c>
      <c r="B94" s="138"/>
      <c r="C94" s="138"/>
      <c r="D94" s="189">
        <f>'Purchased Power Model '!Q18</f>
        <v>-2.1585600096147135</v>
      </c>
    </row>
    <row r="95" ht="14.25">
      <c r="K95" s="155"/>
    </row>
    <row r="96" spans="1:11" ht="15">
      <c r="A96" s="275" t="s">
        <v>207</v>
      </c>
      <c r="B96" s="276"/>
      <c r="C96" s="276"/>
      <c r="D96" s="276"/>
      <c r="E96" s="276"/>
      <c r="F96" s="277"/>
      <c r="K96" s="143"/>
    </row>
    <row r="97" spans="1:11" ht="30">
      <c r="A97" s="278" t="s">
        <v>133</v>
      </c>
      <c r="B97" s="279"/>
      <c r="C97" s="133"/>
      <c r="D97" s="134" t="s">
        <v>156</v>
      </c>
      <c r="E97" s="134" t="s">
        <v>157</v>
      </c>
      <c r="F97" s="134" t="s">
        <v>9</v>
      </c>
      <c r="K97" s="143"/>
    </row>
    <row r="98" spans="1:11" ht="15">
      <c r="A98" s="275" t="s">
        <v>158</v>
      </c>
      <c r="B98" s="276"/>
      <c r="C98" s="276"/>
      <c r="D98" s="276"/>
      <c r="E98" s="276"/>
      <c r="F98" s="277"/>
      <c r="K98" s="143"/>
    </row>
    <row r="99" spans="1:11" ht="14.25">
      <c r="A99" s="286">
        <v>2004</v>
      </c>
      <c r="B99" s="311"/>
      <c r="C99" s="138"/>
      <c r="D99" s="139">
        <f>'Purchased Power Model '!B127/1000000</f>
        <v>818.498048</v>
      </c>
      <c r="E99" s="139">
        <f>'Purchased Power Model '!K127/1000000</f>
        <v>825.3134943734067</v>
      </c>
      <c r="F99" s="190">
        <f aca="true" t="shared" si="24" ref="F99:F106">E99/D99-1</f>
        <v>0.008326771688778267</v>
      </c>
      <c r="G99"/>
      <c r="K99" s="143"/>
    </row>
    <row r="100" spans="1:11" ht="14.25">
      <c r="A100" s="286">
        <v>2005</v>
      </c>
      <c r="B100" s="311"/>
      <c r="C100" s="138"/>
      <c r="D100" s="139">
        <f>'Purchased Power Model '!B128/1000000</f>
        <v>860.938404</v>
      </c>
      <c r="E100" s="139">
        <f>'Purchased Power Model '!K128/1000000</f>
        <v>850.0012897891199</v>
      </c>
      <c r="F100" s="190">
        <f t="shared" si="24"/>
        <v>-0.012703712786031107</v>
      </c>
      <c r="G100"/>
      <c r="K100" s="143"/>
    </row>
    <row r="101" spans="1:11" ht="14.25">
      <c r="A101" s="286">
        <v>2006</v>
      </c>
      <c r="B101" s="311"/>
      <c r="C101" s="138"/>
      <c r="D101" s="139">
        <f>'Purchased Power Model '!B129/1000000</f>
        <v>835.9963282</v>
      </c>
      <c r="E101" s="139">
        <f>'Purchased Power Model '!K129/1000000</f>
        <v>837.4521530790619</v>
      </c>
      <c r="F101" s="190">
        <f t="shared" si="24"/>
        <v>0.0017414249679736926</v>
      </c>
      <c r="G101"/>
      <c r="K101" s="143"/>
    </row>
    <row r="102" spans="1:11" ht="14.25">
      <c r="A102" s="286">
        <v>2007</v>
      </c>
      <c r="B102" s="311"/>
      <c r="C102" s="138"/>
      <c r="D102" s="139">
        <f>'Purchased Power Model '!B130/1000000</f>
        <v>857.670889</v>
      </c>
      <c r="E102" s="139">
        <f>'Purchased Power Model '!K130/1000000</f>
        <v>845.5406319974012</v>
      </c>
      <c r="F102" s="190">
        <f t="shared" si="24"/>
        <v>-0.01414325373307479</v>
      </c>
      <c r="G102"/>
      <c r="K102" s="143"/>
    </row>
    <row r="103" spans="1:11" ht="14.25">
      <c r="A103" s="286">
        <v>2008</v>
      </c>
      <c r="B103" s="311"/>
      <c r="C103" s="138"/>
      <c r="D103" s="139">
        <f>'Purchased Power Model '!B131/1000000</f>
        <v>852.04144581</v>
      </c>
      <c r="E103" s="139">
        <f>'Purchased Power Model '!K131/1000000</f>
        <v>853.9374987130793</v>
      </c>
      <c r="F103" s="190">
        <f t="shared" si="24"/>
        <v>0.002225305954778767</v>
      </c>
      <c r="G103"/>
      <c r="K103" s="143"/>
    </row>
    <row r="104" spans="1:11" ht="14.25">
      <c r="A104" s="286">
        <v>2009</v>
      </c>
      <c r="B104" s="311"/>
      <c r="C104" s="138"/>
      <c r="D104" s="139">
        <f>'Purchased Power Model '!B132/1000000</f>
        <v>834.0493831</v>
      </c>
      <c r="E104" s="139">
        <f>'Purchased Power Model '!K132/1000000</f>
        <v>838.345000849142</v>
      </c>
      <c r="F104" s="190">
        <f t="shared" si="24"/>
        <v>0.0051503158400239</v>
      </c>
      <c r="G104"/>
      <c r="K104" s="143"/>
    </row>
    <row r="105" spans="1:11" ht="14.25">
      <c r="A105" s="286">
        <v>2010</v>
      </c>
      <c r="B105" s="311"/>
      <c r="C105" s="138"/>
      <c r="D105" s="139">
        <f>'Purchased Power Model '!B133/1000000</f>
        <v>838.046263</v>
      </c>
      <c r="E105" s="139">
        <f>'Purchased Power Model '!K133/1000000</f>
        <v>842.9183144571482</v>
      </c>
      <c r="F105" s="190">
        <f t="shared" si="24"/>
        <v>0.005813582939571349</v>
      </c>
      <c r="G105"/>
      <c r="K105" s="143"/>
    </row>
    <row r="106" spans="1:7" ht="12.75" customHeight="1">
      <c r="A106" s="286">
        <v>2011</v>
      </c>
      <c r="B106" s="311"/>
      <c r="C106" s="191"/>
      <c r="D106" s="139">
        <f>'Purchased Power Model '!B134/1000000</f>
        <v>848.819242</v>
      </c>
      <c r="E106" s="139">
        <f>'Purchased Power Model '!K134/1000000</f>
        <v>852.5516198516409</v>
      </c>
      <c r="F106" s="190">
        <f t="shared" si="24"/>
        <v>0.004397140954117251</v>
      </c>
      <c r="G106"/>
    </row>
    <row r="107" spans="1:6" s="148" customFormat="1" ht="12.75" customHeight="1">
      <c r="A107" s="275" t="s">
        <v>74</v>
      </c>
      <c r="B107" s="276"/>
      <c r="C107" s="192"/>
      <c r="D107" s="193"/>
      <c r="E107" s="149">
        <f>'Purchased Power Model '!K135/1000000</f>
        <v>859.7464400202109</v>
      </c>
      <c r="F107" s="194"/>
    </row>
    <row r="108" spans="1:11" s="148" customFormat="1" ht="15">
      <c r="A108" s="275" t="s">
        <v>79</v>
      </c>
      <c r="B108" s="276"/>
      <c r="C108" s="130"/>
      <c r="D108" s="193"/>
      <c r="E108" s="149">
        <f>'Purchased Power Model '!K136/1000000</f>
        <v>866.5875504760335</v>
      </c>
      <c r="F108" s="194"/>
      <c r="K108" s="195"/>
    </row>
    <row r="109" spans="1:11" s="148" customFormat="1" ht="15">
      <c r="A109" s="129" t="s">
        <v>213</v>
      </c>
      <c r="B109" s="130"/>
      <c r="C109" s="130"/>
      <c r="D109" s="193"/>
      <c r="E109" s="149">
        <f>'Purchased Power Model '!L155/1000000</f>
        <v>867.5985868252262</v>
      </c>
      <c r="F109" s="194"/>
      <c r="K109" s="195"/>
    </row>
    <row r="110" spans="1:11" s="143" customFormat="1" ht="15">
      <c r="A110" s="129" t="s">
        <v>159</v>
      </c>
      <c r="B110" s="138"/>
      <c r="C110" s="138"/>
      <c r="D110" s="187"/>
      <c r="E110" s="149">
        <f>'Purchased Power Model '!L170/1000000</f>
        <v>865.2890441280713</v>
      </c>
      <c r="F110" s="190"/>
      <c r="K110" s="196"/>
    </row>
    <row r="111" ht="14.25">
      <c r="K111"/>
    </row>
    <row r="112" ht="14.25">
      <c r="K112"/>
    </row>
    <row r="113" ht="14.25">
      <c r="K113"/>
    </row>
    <row r="114" spans="1:12" ht="15">
      <c r="A114" s="275" t="s">
        <v>208</v>
      </c>
      <c r="B114" s="276"/>
      <c r="C114" s="276"/>
      <c r="D114" s="276"/>
      <c r="E114" s="276"/>
      <c r="F114" s="276"/>
      <c r="G114" s="276"/>
      <c r="H114" s="276"/>
      <c r="I114" s="276"/>
      <c r="J114" s="276"/>
      <c r="K114" s="277"/>
      <c r="L114" s="155"/>
    </row>
    <row r="115" spans="1:11" ht="45">
      <c r="A115" s="296" t="s">
        <v>133</v>
      </c>
      <c r="B115" s="296"/>
      <c r="C115" s="197"/>
      <c r="D115" s="156" t="str">
        <f>D51</f>
        <v>Residential </v>
      </c>
      <c r="E115" s="156" t="str">
        <f aca="true" t="shared" si="25" ref="E115:J115">E51</f>
        <v>General Service
&lt; 50 kW</v>
      </c>
      <c r="F115" s="156" t="str">
        <f t="shared" si="25"/>
        <v>General Service
&gt; 50 kW</v>
      </c>
      <c r="G115" s="156" t="str">
        <f t="shared" si="25"/>
        <v>Large User</v>
      </c>
      <c r="H115" s="156" t="str">
        <f t="shared" si="25"/>
        <v>Street Lighting </v>
      </c>
      <c r="I115" s="156" t="str">
        <f t="shared" si="25"/>
        <v>Sentinel Lighting</v>
      </c>
      <c r="J115" s="156" t="str">
        <f t="shared" si="25"/>
        <v>Unmetered Scattered Loads </v>
      </c>
      <c r="K115" s="156" t="s">
        <v>10</v>
      </c>
    </row>
    <row r="116" spans="1:11" ht="15">
      <c r="A116" s="275" t="s">
        <v>148</v>
      </c>
      <c r="B116" s="276"/>
      <c r="C116" s="276"/>
      <c r="D116" s="276"/>
      <c r="E116" s="276"/>
      <c r="F116" s="276"/>
      <c r="G116" s="276"/>
      <c r="H116" s="276"/>
      <c r="I116" s="276"/>
      <c r="J116" s="276"/>
      <c r="K116" s="277"/>
    </row>
    <row r="117" spans="1:12" ht="14.25">
      <c r="A117" s="310">
        <f aca="true" t="shared" si="26" ref="A117:A124">A99</f>
        <v>2004</v>
      </c>
      <c r="B117" s="310"/>
      <c r="C117" s="271"/>
      <c r="D117" s="272">
        <f>D39</f>
        <v>29047.25</v>
      </c>
      <c r="E117" s="272">
        <f aca="true" t="shared" si="27" ref="E117:J117">E39</f>
        <v>3650.4166666666665</v>
      </c>
      <c r="F117" s="272">
        <f t="shared" si="27"/>
        <v>384.1666666666667</v>
      </c>
      <c r="G117" s="272">
        <f t="shared" si="27"/>
        <v>2</v>
      </c>
      <c r="H117" s="272">
        <f t="shared" si="27"/>
        <v>8065.083333333333</v>
      </c>
      <c r="I117" s="272">
        <f t="shared" si="27"/>
        <v>680.75</v>
      </c>
      <c r="J117" s="272">
        <f t="shared" si="27"/>
        <v>0</v>
      </c>
      <c r="K117" s="272">
        <f>SUM(D117:J117)</f>
        <v>41829.66666666667</v>
      </c>
      <c r="L117" s="170"/>
    </row>
    <row r="118" spans="1:12" ht="14.25">
      <c r="A118" s="295">
        <f t="shared" si="26"/>
        <v>2005</v>
      </c>
      <c r="B118" s="295"/>
      <c r="C118" s="167"/>
      <c r="D118" s="272">
        <f aca="true" t="shared" si="28" ref="D118:J124">D40</f>
        <v>29322.083333333332</v>
      </c>
      <c r="E118" s="272">
        <f t="shared" si="28"/>
        <v>3642</v>
      </c>
      <c r="F118" s="272">
        <f t="shared" si="28"/>
        <v>384.5</v>
      </c>
      <c r="G118" s="272">
        <f t="shared" si="28"/>
        <v>2</v>
      </c>
      <c r="H118" s="272">
        <f t="shared" si="28"/>
        <v>8182.416666666667</v>
      </c>
      <c r="I118" s="272">
        <f t="shared" si="28"/>
        <v>674.6666666666666</v>
      </c>
      <c r="J118" s="272">
        <f t="shared" si="28"/>
        <v>0</v>
      </c>
      <c r="K118" s="272">
        <f aca="true" t="shared" si="29" ref="K118:K124">SUM(D118:J118)</f>
        <v>42207.66666666666</v>
      </c>
      <c r="L118" s="170"/>
    </row>
    <row r="119" spans="1:12" ht="14.25">
      <c r="A119" s="295">
        <f t="shared" si="26"/>
        <v>2006</v>
      </c>
      <c r="B119" s="295"/>
      <c r="C119" s="167"/>
      <c r="D119" s="272">
        <f t="shared" si="28"/>
        <v>29575.666666666668</v>
      </c>
      <c r="E119" s="272">
        <f t="shared" si="28"/>
        <v>3611.75</v>
      </c>
      <c r="F119" s="272">
        <f t="shared" si="28"/>
        <v>377.4166666666667</v>
      </c>
      <c r="G119" s="272">
        <f t="shared" si="28"/>
        <v>2</v>
      </c>
      <c r="H119" s="272">
        <f t="shared" si="28"/>
        <v>8255.416666666666</v>
      </c>
      <c r="I119" s="272">
        <f t="shared" si="28"/>
        <v>685.0833333333334</v>
      </c>
      <c r="J119" s="272">
        <f t="shared" si="28"/>
        <v>383</v>
      </c>
      <c r="K119" s="272">
        <f t="shared" si="29"/>
        <v>42890.333333333336</v>
      </c>
      <c r="L119" s="170"/>
    </row>
    <row r="120" spans="1:12" ht="14.25">
      <c r="A120" s="295">
        <f t="shared" si="26"/>
        <v>2007</v>
      </c>
      <c r="B120" s="295"/>
      <c r="C120" s="167"/>
      <c r="D120" s="272">
        <f t="shared" si="28"/>
        <v>29947.333333333332</v>
      </c>
      <c r="E120" s="272">
        <f t="shared" si="28"/>
        <v>3617.5833333333335</v>
      </c>
      <c r="F120" s="272">
        <f t="shared" si="28"/>
        <v>375.1666666666667</v>
      </c>
      <c r="G120" s="272">
        <f t="shared" si="28"/>
        <v>2</v>
      </c>
      <c r="H120" s="272">
        <f t="shared" si="28"/>
        <v>8283.666666666666</v>
      </c>
      <c r="I120" s="272">
        <f t="shared" si="28"/>
        <v>564.8333333333334</v>
      </c>
      <c r="J120" s="272">
        <f t="shared" si="28"/>
        <v>383</v>
      </c>
      <c r="K120" s="272">
        <f t="shared" si="29"/>
        <v>43173.58333333333</v>
      </c>
      <c r="L120" s="170"/>
    </row>
    <row r="121" spans="1:12" ht="14.25">
      <c r="A121" s="295">
        <f t="shared" si="26"/>
        <v>2008</v>
      </c>
      <c r="B121" s="295"/>
      <c r="C121" s="167"/>
      <c r="D121" s="272">
        <f t="shared" si="28"/>
        <v>30248.5</v>
      </c>
      <c r="E121" s="272">
        <f t="shared" si="28"/>
        <v>3633.25</v>
      </c>
      <c r="F121" s="272">
        <f t="shared" si="28"/>
        <v>369.4166666666667</v>
      </c>
      <c r="G121" s="272">
        <f t="shared" si="28"/>
        <v>2</v>
      </c>
      <c r="H121" s="272">
        <f t="shared" si="28"/>
        <v>8148.166666666667</v>
      </c>
      <c r="I121" s="272">
        <f t="shared" si="28"/>
        <v>450.8333333333333</v>
      </c>
      <c r="J121" s="272">
        <f t="shared" si="28"/>
        <v>383</v>
      </c>
      <c r="K121" s="272">
        <f t="shared" si="29"/>
        <v>43235.166666666664</v>
      </c>
      <c r="L121" s="170"/>
    </row>
    <row r="122" spans="1:12" ht="14.25">
      <c r="A122" s="295">
        <f t="shared" si="26"/>
        <v>2009</v>
      </c>
      <c r="B122" s="295"/>
      <c r="C122" s="167"/>
      <c r="D122" s="272">
        <f t="shared" si="28"/>
        <v>30524.166666666668</v>
      </c>
      <c r="E122" s="272">
        <f t="shared" si="28"/>
        <v>3619.0833333333335</v>
      </c>
      <c r="F122" s="272">
        <f t="shared" si="28"/>
        <v>363</v>
      </c>
      <c r="G122" s="272">
        <f t="shared" si="28"/>
        <v>2</v>
      </c>
      <c r="H122" s="272">
        <f t="shared" si="28"/>
        <v>8002.333333333333</v>
      </c>
      <c r="I122" s="272">
        <f t="shared" si="28"/>
        <v>425.1666666666667</v>
      </c>
      <c r="J122" s="272">
        <f t="shared" si="28"/>
        <v>383</v>
      </c>
      <c r="K122" s="272">
        <f t="shared" si="29"/>
        <v>43318.75</v>
      </c>
      <c r="L122" s="170"/>
    </row>
    <row r="123" spans="1:12" ht="14.25">
      <c r="A123" s="295">
        <f t="shared" si="26"/>
        <v>2010</v>
      </c>
      <c r="B123" s="295"/>
      <c r="C123" s="167"/>
      <c r="D123" s="272">
        <f t="shared" si="28"/>
        <v>30790.5</v>
      </c>
      <c r="E123" s="272">
        <f t="shared" si="28"/>
        <v>3599.5833333333335</v>
      </c>
      <c r="F123" s="272">
        <f t="shared" si="28"/>
        <v>372</v>
      </c>
      <c r="G123" s="272">
        <f t="shared" si="28"/>
        <v>2</v>
      </c>
      <c r="H123" s="272">
        <f t="shared" si="28"/>
        <v>8064.166666666667</v>
      </c>
      <c r="I123" s="272">
        <f t="shared" si="28"/>
        <v>422.5</v>
      </c>
      <c r="J123" s="272">
        <f t="shared" si="28"/>
        <v>383.0833333333333</v>
      </c>
      <c r="K123" s="272">
        <f t="shared" si="29"/>
        <v>43633.833333333336</v>
      </c>
      <c r="L123" s="170"/>
    </row>
    <row r="124" spans="1:12" ht="14.25">
      <c r="A124" s="295">
        <f t="shared" si="26"/>
        <v>2011</v>
      </c>
      <c r="B124" s="295"/>
      <c r="C124" s="200"/>
      <c r="D124" s="272">
        <f t="shared" si="28"/>
        <v>31134.916666666668</v>
      </c>
      <c r="E124" s="272">
        <f t="shared" si="28"/>
        <v>3569.5833333333335</v>
      </c>
      <c r="F124" s="272">
        <f t="shared" si="28"/>
        <v>388.75</v>
      </c>
      <c r="G124" s="272">
        <f t="shared" si="28"/>
        <v>2</v>
      </c>
      <c r="H124" s="272">
        <f t="shared" si="28"/>
        <v>8130.75</v>
      </c>
      <c r="I124" s="272">
        <f t="shared" si="28"/>
        <v>415.5</v>
      </c>
      <c r="J124" s="272">
        <f t="shared" si="28"/>
        <v>384</v>
      </c>
      <c r="K124" s="272">
        <f t="shared" si="29"/>
        <v>44025.5</v>
      </c>
      <c r="L124" s="170"/>
    </row>
    <row r="126" spans="1:11" ht="15">
      <c r="A126" s="275" t="s">
        <v>209</v>
      </c>
      <c r="B126" s="276"/>
      <c r="C126" s="276"/>
      <c r="D126" s="276"/>
      <c r="E126" s="276"/>
      <c r="F126" s="276"/>
      <c r="G126" s="276"/>
      <c r="H126" s="276"/>
      <c r="I126" s="276"/>
      <c r="J126" s="277"/>
      <c r="K126" s="143"/>
    </row>
    <row r="127" spans="1:11" ht="45">
      <c r="A127" s="292" t="s">
        <v>133</v>
      </c>
      <c r="B127" s="293"/>
      <c r="C127" s="197"/>
      <c r="D127" s="156" t="str">
        <f>D115</f>
        <v>Residential </v>
      </c>
      <c r="E127" s="156" t="str">
        <f aca="true" t="shared" si="30" ref="E127:J127">E115</f>
        <v>General Service
&lt; 50 kW</v>
      </c>
      <c r="F127" s="156" t="str">
        <f t="shared" si="30"/>
        <v>General Service
&gt; 50 kW</v>
      </c>
      <c r="G127" s="156" t="str">
        <f t="shared" si="30"/>
        <v>Large User</v>
      </c>
      <c r="H127" s="156" t="str">
        <f t="shared" si="30"/>
        <v>Street Lighting </v>
      </c>
      <c r="I127" s="156" t="str">
        <f t="shared" si="30"/>
        <v>Sentinel Lighting</v>
      </c>
      <c r="J127" s="156" t="str">
        <f t="shared" si="30"/>
        <v>Unmetered Scattered Loads </v>
      </c>
      <c r="K127"/>
    </row>
    <row r="128" spans="1:10" ht="15">
      <c r="A128" s="275" t="s">
        <v>160</v>
      </c>
      <c r="B128" s="276"/>
      <c r="C128" s="276"/>
      <c r="D128" s="276"/>
      <c r="E128" s="276"/>
      <c r="F128" s="276"/>
      <c r="G128" s="276"/>
      <c r="H128" s="276"/>
      <c r="I128" s="276"/>
      <c r="J128" s="277"/>
    </row>
    <row r="129" spans="1:10" ht="14.25">
      <c r="A129" s="295">
        <f aca="true" t="shared" si="31" ref="A129:A136">A117</f>
        <v>2004</v>
      </c>
      <c r="B129" s="295"/>
      <c r="C129" s="167"/>
      <c r="D129" s="201"/>
      <c r="E129" s="201"/>
      <c r="F129" s="201"/>
      <c r="G129" s="201"/>
      <c r="H129" s="201"/>
      <c r="I129" s="201"/>
      <c r="J129" s="273"/>
    </row>
    <row r="130" spans="1:10" ht="14.25">
      <c r="A130" s="295">
        <f t="shared" si="31"/>
        <v>2005</v>
      </c>
      <c r="B130" s="295"/>
      <c r="C130" s="167"/>
      <c r="D130" s="201">
        <f aca="true" t="shared" si="32" ref="D130:I130">D118/D117-1</f>
        <v>0.009461595618632801</v>
      </c>
      <c r="E130" s="201">
        <f t="shared" si="32"/>
        <v>-0.002305672868394004</v>
      </c>
      <c r="F130" s="201">
        <f t="shared" si="32"/>
        <v>0.0008676789587851452</v>
      </c>
      <c r="G130" s="201">
        <f t="shared" si="32"/>
        <v>0</v>
      </c>
      <c r="H130" s="201">
        <f t="shared" si="32"/>
        <v>0.014548310102189488</v>
      </c>
      <c r="I130" s="201">
        <f t="shared" si="32"/>
        <v>-0.00893622230383162</v>
      </c>
      <c r="J130" s="201"/>
    </row>
    <row r="131" spans="1:13" ht="14.25">
      <c r="A131" s="295">
        <f t="shared" si="31"/>
        <v>2006</v>
      </c>
      <c r="B131" s="295"/>
      <c r="C131" s="167"/>
      <c r="D131" s="201">
        <f aca="true" t="shared" si="33" ref="D131:J136">D119/D118-1</f>
        <v>0.008648203146093048</v>
      </c>
      <c r="E131" s="201">
        <f t="shared" si="33"/>
        <v>-0.008305875892366865</v>
      </c>
      <c r="F131" s="201">
        <f t="shared" si="33"/>
        <v>-0.018422193324663994</v>
      </c>
      <c r="G131" s="201">
        <f t="shared" si="33"/>
        <v>0</v>
      </c>
      <c r="H131" s="201">
        <f t="shared" si="33"/>
        <v>0.008921569625925496</v>
      </c>
      <c r="I131" s="201">
        <f t="shared" si="33"/>
        <v>0.015439723320158194</v>
      </c>
      <c r="J131" s="201"/>
      <c r="M131" s="202"/>
    </row>
    <row r="132" spans="1:10" ht="14.25">
      <c r="A132" s="295">
        <f t="shared" si="31"/>
        <v>2007</v>
      </c>
      <c r="B132" s="295"/>
      <c r="C132" s="167"/>
      <c r="D132" s="201">
        <f t="shared" si="33"/>
        <v>0.012566636987613622</v>
      </c>
      <c r="E132" s="201">
        <f t="shared" si="33"/>
        <v>0.0016150988671235211</v>
      </c>
      <c r="F132" s="201">
        <f t="shared" si="33"/>
        <v>-0.005961580922941079</v>
      </c>
      <c r="G132" s="201">
        <f t="shared" si="33"/>
        <v>0</v>
      </c>
      <c r="H132" s="201">
        <f t="shared" si="33"/>
        <v>0.0034219956594154777</v>
      </c>
      <c r="I132" s="201">
        <f t="shared" si="33"/>
        <v>-0.17552609171633615</v>
      </c>
      <c r="J132" s="201">
        <f t="shared" si="33"/>
        <v>0</v>
      </c>
    </row>
    <row r="133" spans="1:10" ht="14.25">
      <c r="A133" s="295">
        <f t="shared" si="31"/>
        <v>2008</v>
      </c>
      <c r="B133" s="295"/>
      <c r="C133" s="167"/>
      <c r="D133" s="201">
        <f t="shared" si="33"/>
        <v>0.01005654371006881</v>
      </c>
      <c r="E133" s="201">
        <f t="shared" si="33"/>
        <v>0.0043306995922691716</v>
      </c>
      <c r="F133" s="201">
        <f t="shared" si="33"/>
        <v>-0.015326521545979577</v>
      </c>
      <c r="G133" s="201">
        <f t="shared" si="33"/>
        <v>0</v>
      </c>
      <c r="H133" s="201">
        <f t="shared" si="33"/>
        <v>-0.016357490644239525</v>
      </c>
      <c r="I133" s="201">
        <f t="shared" si="33"/>
        <v>-0.20182944821481275</v>
      </c>
      <c r="J133" s="201">
        <f t="shared" si="33"/>
        <v>0</v>
      </c>
    </row>
    <row r="134" spans="1:10" ht="14.25">
      <c r="A134" s="295">
        <f t="shared" si="31"/>
        <v>2009</v>
      </c>
      <c r="B134" s="295"/>
      <c r="C134" s="167"/>
      <c r="D134" s="201">
        <f t="shared" si="33"/>
        <v>0.00911339956251278</v>
      </c>
      <c r="E134" s="201">
        <f t="shared" si="33"/>
        <v>-0.0038991719993577423</v>
      </c>
      <c r="F134" s="201">
        <f t="shared" si="33"/>
        <v>-0.017369727047146455</v>
      </c>
      <c r="G134" s="201">
        <f t="shared" si="33"/>
        <v>0</v>
      </c>
      <c r="H134" s="201">
        <f t="shared" si="33"/>
        <v>-0.017897686596166862</v>
      </c>
      <c r="I134" s="201">
        <f t="shared" si="33"/>
        <v>-0.05693160813308684</v>
      </c>
      <c r="J134" s="201">
        <f t="shared" si="33"/>
        <v>0</v>
      </c>
    </row>
    <row r="135" spans="1:10" ht="14.25">
      <c r="A135" s="295">
        <f t="shared" si="31"/>
        <v>2010</v>
      </c>
      <c r="B135" s="295"/>
      <c r="C135" s="167"/>
      <c r="D135" s="201">
        <f t="shared" si="33"/>
        <v>0.008725326926751986</v>
      </c>
      <c r="E135" s="201">
        <f t="shared" si="33"/>
        <v>-0.005388104722650722</v>
      </c>
      <c r="F135" s="201">
        <f t="shared" si="33"/>
        <v>0.024793388429751984</v>
      </c>
      <c r="G135" s="201">
        <f t="shared" si="33"/>
        <v>0</v>
      </c>
      <c r="H135" s="201">
        <f t="shared" si="33"/>
        <v>0.007726912983713197</v>
      </c>
      <c r="I135" s="201">
        <f t="shared" si="33"/>
        <v>-0.0062720501764014225</v>
      </c>
      <c r="J135" s="201">
        <f t="shared" si="33"/>
        <v>0.00021758050478681845</v>
      </c>
    </row>
    <row r="136" spans="1:10" ht="14.25">
      <c r="A136" s="295">
        <f t="shared" si="31"/>
        <v>2011</v>
      </c>
      <c r="B136" s="295"/>
      <c r="C136" s="167"/>
      <c r="D136" s="201">
        <f t="shared" si="33"/>
        <v>0.01118580947586656</v>
      </c>
      <c r="E136" s="201">
        <f t="shared" si="33"/>
        <v>-0.008334297951151703</v>
      </c>
      <c r="F136" s="201">
        <f t="shared" si="33"/>
        <v>0.04502688172043001</v>
      </c>
      <c r="G136" s="201">
        <f t="shared" si="33"/>
        <v>0</v>
      </c>
      <c r="H136" s="201">
        <f t="shared" si="33"/>
        <v>0.008256691123281978</v>
      </c>
      <c r="I136" s="201">
        <f t="shared" si="33"/>
        <v>-0.016568047337278125</v>
      </c>
      <c r="J136" s="201">
        <f t="shared" si="33"/>
        <v>0.002392864911899162</v>
      </c>
    </row>
    <row r="137" spans="1:10" ht="15">
      <c r="A137" s="294" t="s">
        <v>161</v>
      </c>
      <c r="B137" s="294"/>
      <c r="C137" s="136"/>
      <c r="D137" s="203">
        <f>'Rate Class Customer Model'!B25-1</f>
        <v>0.009964474796371192</v>
      </c>
      <c r="E137" s="203">
        <f>'Rate Class Customer Model'!C25-1</f>
        <v>-0.0031938090068729386</v>
      </c>
      <c r="F137" s="203">
        <f>'Rate Class Customer Model'!D25-1</f>
        <v>0.0016957185775940964</v>
      </c>
      <c r="G137" s="203">
        <f>'Rate Class Customer Model'!E25-1</f>
        <v>0</v>
      </c>
      <c r="H137" s="203">
        <f>'Rate Class Customer Model'!F25-1</f>
        <v>0.0011591178284389159</v>
      </c>
      <c r="I137" s="203">
        <f>'Rate Class Customer Model'!G25-1</f>
        <v>-0.0681005530058938</v>
      </c>
      <c r="J137" s="203">
        <f>'Rate Class Customer Model'!H25-1</f>
        <v>0.0005216486927974717</v>
      </c>
    </row>
    <row r="138" spans="9:12" ht="14.25">
      <c r="I138"/>
      <c r="J138"/>
      <c r="L138" s="143"/>
    </row>
    <row r="139" spans="1:12" ht="15">
      <c r="A139" s="275" t="s">
        <v>210</v>
      </c>
      <c r="B139" s="276"/>
      <c r="C139" s="276"/>
      <c r="D139" s="276"/>
      <c r="E139" s="276"/>
      <c r="F139" s="276"/>
      <c r="G139" s="276"/>
      <c r="H139" s="276"/>
      <c r="I139" s="276"/>
      <c r="J139" s="276"/>
      <c r="K139" s="277"/>
      <c r="L139" s="155"/>
    </row>
    <row r="140" spans="1:11" ht="45">
      <c r="A140" s="298" t="s">
        <v>133</v>
      </c>
      <c r="B140" s="298"/>
      <c r="C140" s="204"/>
      <c r="D140" s="156" t="str">
        <f>D127</f>
        <v>Residential </v>
      </c>
      <c r="E140" s="156" t="str">
        <f aca="true" t="shared" si="34" ref="E140:J140">E127</f>
        <v>General Service
&lt; 50 kW</v>
      </c>
      <c r="F140" s="156" t="str">
        <f t="shared" si="34"/>
        <v>General Service
&gt; 50 kW</v>
      </c>
      <c r="G140" s="156" t="str">
        <f t="shared" si="34"/>
        <v>Large User</v>
      </c>
      <c r="H140" s="156" t="str">
        <f t="shared" si="34"/>
        <v>Street Lighting </v>
      </c>
      <c r="I140" s="156" t="str">
        <f t="shared" si="34"/>
        <v>Sentinel Lighting</v>
      </c>
      <c r="J140" s="156" t="str">
        <f t="shared" si="34"/>
        <v>Unmetered Scattered Loads </v>
      </c>
      <c r="K140" s="156" t="s">
        <v>10</v>
      </c>
    </row>
    <row r="141" spans="1:11" ht="15">
      <c r="A141" s="275" t="s">
        <v>162</v>
      </c>
      <c r="B141" s="276"/>
      <c r="C141" s="276"/>
      <c r="D141" s="276"/>
      <c r="E141" s="276"/>
      <c r="F141" s="276"/>
      <c r="G141" s="276"/>
      <c r="H141" s="276"/>
      <c r="I141" s="276"/>
      <c r="J141" s="276"/>
      <c r="K141" s="277"/>
    </row>
    <row r="142" spans="1:11" ht="15">
      <c r="A142" s="297">
        <v>2012</v>
      </c>
      <c r="B142" s="297"/>
      <c r="C142" s="173"/>
      <c r="D142" s="205">
        <f>D124*(1+D137)</f>
        <v>31445.159759078786</v>
      </c>
      <c r="E142" s="205">
        <f aca="true" t="shared" si="35" ref="E142:J142">E124*(1+E137)</f>
        <v>3558.18276593255</v>
      </c>
      <c r="F142" s="205">
        <f t="shared" si="35"/>
        <v>389.4092105970397</v>
      </c>
      <c r="G142" s="205">
        <f t="shared" si="35"/>
        <v>2</v>
      </c>
      <c r="H142" s="205">
        <f t="shared" si="35"/>
        <v>8140.1744972835795</v>
      </c>
      <c r="I142" s="205">
        <f t="shared" si="35"/>
        <v>387.2042202260511</v>
      </c>
      <c r="J142" s="205">
        <f t="shared" si="35"/>
        <v>384.20031309803426</v>
      </c>
      <c r="K142" s="205">
        <f>SUM(D142:J142)</f>
        <v>44306.330766216044</v>
      </c>
    </row>
    <row r="143" spans="1:11" ht="15">
      <c r="A143" s="297">
        <v>2013</v>
      </c>
      <c r="B143" s="297"/>
      <c r="C143" s="167"/>
      <c r="D143" s="205">
        <f aca="true" t="shared" si="36" ref="D143:J143">D142*(1+D137)</f>
        <v>31758.494260965992</v>
      </c>
      <c r="E143" s="205">
        <f t="shared" si="36"/>
        <v>3546.8186097666144</v>
      </c>
      <c r="F143" s="205">
        <f t="shared" si="36"/>
        <v>390.0695390297354</v>
      </c>
      <c r="G143" s="205">
        <f t="shared" si="36"/>
        <v>2</v>
      </c>
      <c r="H143" s="205">
        <f t="shared" si="36"/>
        <v>8149.609918669985</v>
      </c>
      <c r="I143" s="205">
        <f t="shared" si="36"/>
        <v>360.8353987024411</v>
      </c>
      <c r="J143" s="205">
        <f t="shared" si="36"/>
        <v>384.4007306891342</v>
      </c>
      <c r="K143" s="205">
        <f>SUM(D143:J143)</f>
        <v>44592.2284578239</v>
      </c>
    </row>
    <row r="144" ht="14.25">
      <c r="K144"/>
    </row>
    <row r="145" spans="1:10" ht="15">
      <c r="A145" s="275" t="s">
        <v>211</v>
      </c>
      <c r="B145" s="276"/>
      <c r="C145" s="276"/>
      <c r="D145" s="276"/>
      <c r="E145" s="276"/>
      <c r="F145" s="276"/>
      <c r="G145" s="276"/>
      <c r="H145" s="276"/>
      <c r="I145" s="276"/>
      <c r="J145" s="277"/>
    </row>
    <row r="146" spans="1:11" ht="45.75" customHeight="1">
      <c r="A146" s="298" t="s">
        <v>133</v>
      </c>
      <c r="B146" s="298"/>
      <c r="C146" s="197"/>
      <c r="D146" s="134" t="str">
        <f aca="true" t="shared" si="37" ref="D146:I146">D140</f>
        <v>Residential </v>
      </c>
      <c r="E146" s="134" t="str">
        <f t="shared" si="37"/>
        <v>General Service
&lt; 50 kW</v>
      </c>
      <c r="F146" s="134" t="str">
        <f t="shared" si="37"/>
        <v>General Service
&gt; 50 kW</v>
      </c>
      <c r="G146" s="134" t="str">
        <f t="shared" si="37"/>
        <v>Large User</v>
      </c>
      <c r="H146" s="134" t="str">
        <f t="shared" si="37"/>
        <v>Street Lighting </v>
      </c>
      <c r="I146" s="134" t="str">
        <f t="shared" si="37"/>
        <v>Sentinel Lighting</v>
      </c>
      <c r="J146" s="156" t="str">
        <f>J20</f>
        <v>Unmetered Scattered Loads </v>
      </c>
      <c r="K146" s="155"/>
    </row>
    <row r="147" spans="1:11" ht="15">
      <c r="A147" s="294" t="s">
        <v>163</v>
      </c>
      <c r="B147" s="294"/>
      <c r="C147" s="294"/>
      <c r="D147" s="294"/>
      <c r="E147" s="294"/>
      <c r="F147" s="294"/>
      <c r="G147" s="294"/>
      <c r="H147" s="294"/>
      <c r="I147" s="208"/>
      <c r="J147" s="209"/>
      <c r="K147" s="175"/>
    </row>
    <row r="148" spans="1:11" ht="15">
      <c r="A148" s="295">
        <f aca="true" t="shared" si="38" ref="A148:A155">A129</f>
        <v>2004</v>
      </c>
      <c r="B148" s="295"/>
      <c r="C148" s="167"/>
      <c r="D148" s="199">
        <f>D56</f>
        <v>9837.38612088924</v>
      </c>
      <c r="E148" s="199">
        <f aca="true" t="shared" si="39" ref="E148:J148">E56</f>
        <v>33369.77176121447</v>
      </c>
      <c r="F148" s="199">
        <f t="shared" si="39"/>
        <v>833067.2511930586</v>
      </c>
      <c r="G148" s="199">
        <f t="shared" si="39"/>
        <v>31655808.5</v>
      </c>
      <c r="H148" s="199">
        <f t="shared" si="39"/>
        <v>741.5080232690301</v>
      </c>
      <c r="I148" s="199">
        <f t="shared" si="39"/>
        <v>1484.6507528461254</v>
      </c>
      <c r="J148" s="199">
        <f t="shared" si="39"/>
        <v>0</v>
      </c>
      <c r="K148" s="211"/>
    </row>
    <row r="149" spans="1:11" ht="15">
      <c r="A149" s="295">
        <f t="shared" si="38"/>
        <v>2005</v>
      </c>
      <c r="B149" s="295"/>
      <c r="C149" s="167"/>
      <c r="D149" s="199">
        <f aca="true" t="shared" si="40" ref="D149:J155">D57</f>
        <v>10109.580572094412</v>
      </c>
      <c r="E149" s="199">
        <f t="shared" si="40"/>
        <v>34680.07907742999</v>
      </c>
      <c r="F149" s="199">
        <f t="shared" si="40"/>
        <v>860191.3263979194</v>
      </c>
      <c r="G149" s="199">
        <f t="shared" si="40"/>
        <v>33260357.499999996</v>
      </c>
      <c r="H149" s="199">
        <f t="shared" si="40"/>
        <v>731.5176241737873</v>
      </c>
      <c r="I149" s="199">
        <f t="shared" si="40"/>
        <v>1433.2870553359685</v>
      </c>
      <c r="J149" s="199">
        <f t="shared" si="40"/>
        <v>0</v>
      </c>
      <c r="K149" s="211"/>
    </row>
    <row r="150" spans="1:10" ht="14.25">
      <c r="A150" s="295">
        <f t="shared" si="38"/>
        <v>2006</v>
      </c>
      <c r="B150" s="295"/>
      <c r="C150" s="167"/>
      <c r="D150" s="199">
        <f t="shared" si="40"/>
        <v>9811.291974258116</v>
      </c>
      <c r="E150" s="199">
        <f t="shared" si="40"/>
        <v>34430.3830553056</v>
      </c>
      <c r="F150" s="199">
        <f t="shared" si="40"/>
        <v>866488.8355045264</v>
      </c>
      <c r="G150" s="199">
        <f t="shared" si="40"/>
        <v>32550078.999999996</v>
      </c>
      <c r="H150" s="199">
        <f t="shared" si="40"/>
        <v>761.1389289860193</v>
      </c>
      <c r="I150" s="199">
        <f t="shared" si="40"/>
        <v>1595.4628390706725</v>
      </c>
      <c r="J150" s="199">
        <f t="shared" si="40"/>
        <v>3184.8537859007834</v>
      </c>
    </row>
    <row r="151" spans="1:11" ht="14.25">
      <c r="A151" s="295">
        <f t="shared" si="38"/>
        <v>2007</v>
      </c>
      <c r="B151" s="295"/>
      <c r="C151" s="167"/>
      <c r="D151" s="199">
        <f t="shared" si="40"/>
        <v>9529.649896484942</v>
      </c>
      <c r="E151" s="199">
        <f t="shared" si="40"/>
        <v>34459.74743728548</v>
      </c>
      <c r="F151" s="199">
        <f t="shared" si="40"/>
        <v>887786.1270546423</v>
      </c>
      <c r="G151" s="199">
        <f t="shared" si="40"/>
        <v>31725050</v>
      </c>
      <c r="H151" s="199">
        <f t="shared" si="40"/>
        <v>795.413705685888</v>
      </c>
      <c r="I151" s="199">
        <f t="shared" si="40"/>
        <v>2316.2921215697843</v>
      </c>
      <c r="J151" s="199">
        <f t="shared" si="40"/>
        <v>5774.731070496084</v>
      </c>
      <c r="K151" s="155"/>
    </row>
    <row r="152" spans="1:10" ht="14.25">
      <c r="A152" s="295">
        <f t="shared" si="38"/>
        <v>2008</v>
      </c>
      <c r="B152" s="295"/>
      <c r="C152" s="167"/>
      <c r="D152" s="199">
        <f t="shared" si="40"/>
        <v>9526.763343636874</v>
      </c>
      <c r="E152" s="199">
        <f t="shared" si="40"/>
        <v>33464.93442510149</v>
      </c>
      <c r="F152" s="199">
        <f t="shared" si="40"/>
        <v>917660.8517933679</v>
      </c>
      <c r="G152" s="199">
        <f t="shared" si="40"/>
        <v>31640233</v>
      </c>
      <c r="H152" s="199">
        <f t="shared" si="40"/>
        <v>692.2713084742988</v>
      </c>
      <c r="I152" s="199">
        <f t="shared" si="40"/>
        <v>1404.652125693161</v>
      </c>
      <c r="J152" s="199">
        <f t="shared" si="40"/>
        <v>3724.0313315926896</v>
      </c>
    </row>
    <row r="153" spans="1:10" ht="14.25">
      <c r="A153" s="295">
        <f t="shared" si="38"/>
        <v>2009</v>
      </c>
      <c r="B153" s="295"/>
      <c r="C153" s="167"/>
      <c r="D153" s="199">
        <f t="shared" si="40"/>
        <v>9319.332124819131</v>
      </c>
      <c r="E153" s="199">
        <f t="shared" si="40"/>
        <v>32385.578392318494</v>
      </c>
      <c r="F153" s="199">
        <f t="shared" si="40"/>
        <v>901292.6198347107</v>
      </c>
      <c r="G153" s="199">
        <f t="shared" si="40"/>
        <v>29259009</v>
      </c>
      <c r="H153" s="199">
        <f t="shared" si="40"/>
        <v>692.2979547631941</v>
      </c>
      <c r="I153" s="199">
        <f t="shared" si="40"/>
        <v>1873.237161897295</v>
      </c>
      <c r="J153" s="199">
        <f t="shared" si="40"/>
        <v>4182.289817232376</v>
      </c>
    </row>
    <row r="154" spans="1:10" ht="14.25">
      <c r="A154" s="295">
        <f t="shared" si="38"/>
        <v>2010</v>
      </c>
      <c r="B154" s="295"/>
      <c r="C154" s="167"/>
      <c r="D154" s="199">
        <f t="shared" si="40"/>
        <v>9344.08606550722</v>
      </c>
      <c r="E154" s="199">
        <f t="shared" si="40"/>
        <v>32644.40717675657</v>
      </c>
      <c r="F154" s="199">
        <f t="shared" si="40"/>
        <v>890581.440860215</v>
      </c>
      <c r="G154" s="199">
        <f t="shared" si="40"/>
        <v>27764570.5</v>
      </c>
      <c r="H154" s="199">
        <f t="shared" si="40"/>
        <v>692.2034514828975</v>
      </c>
      <c r="I154" s="199">
        <f t="shared" si="40"/>
        <v>1866.5278106508877</v>
      </c>
      <c r="J154" s="199">
        <f t="shared" si="40"/>
        <v>4086.9697628888407</v>
      </c>
    </row>
    <row r="155" spans="1:10" ht="14.25">
      <c r="A155" s="295">
        <f t="shared" si="38"/>
        <v>2011</v>
      </c>
      <c r="B155" s="295"/>
      <c r="C155" s="167"/>
      <c r="D155" s="199">
        <f t="shared" si="40"/>
        <v>9428.054269188664</v>
      </c>
      <c r="E155" s="199">
        <f t="shared" si="40"/>
        <v>32134.93180810085</v>
      </c>
      <c r="F155" s="199">
        <f t="shared" si="40"/>
        <v>888857.659163987</v>
      </c>
      <c r="G155" s="199">
        <f t="shared" si="40"/>
        <v>28330939.5</v>
      </c>
      <c r="H155" s="199">
        <f t="shared" si="40"/>
        <v>690.491775051502</v>
      </c>
      <c r="I155" s="199">
        <f t="shared" si="40"/>
        <v>1849.583634175692</v>
      </c>
      <c r="J155" s="199">
        <f t="shared" si="40"/>
        <v>4326.0546875</v>
      </c>
    </row>
    <row r="157" spans="1:10" ht="15">
      <c r="A157" s="275" t="s">
        <v>214</v>
      </c>
      <c r="B157" s="276"/>
      <c r="C157" s="276"/>
      <c r="D157" s="276"/>
      <c r="E157" s="276"/>
      <c r="F157" s="276"/>
      <c r="G157" s="276"/>
      <c r="H157" s="276"/>
      <c r="I157" s="276"/>
      <c r="J157" s="277"/>
    </row>
    <row r="158" spans="1:11" ht="45">
      <c r="A158" s="298" t="s">
        <v>133</v>
      </c>
      <c r="B158" s="298"/>
      <c r="C158" s="197"/>
      <c r="D158" s="134" t="str">
        <f aca="true" t="shared" si="41" ref="D158:J158">D146</f>
        <v>Residential </v>
      </c>
      <c r="E158" s="134" t="str">
        <f t="shared" si="41"/>
        <v>General Service
&lt; 50 kW</v>
      </c>
      <c r="F158" s="134" t="str">
        <f t="shared" si="41"/>
        <v>General Service
&gt; 50 kW</v>
      </c>
      <c r="G158" s="134" t="str">
        <f t="shared" si="41"/>
        <v>Large User</v>
      </c>
      <c r="H158" s="134" t="str">
        <f t="shared" si="41"/>
        <v>Street Lighting </v>
      </c>
      <c r="I158" s="134" t="str">
        <f t="shared" si="41"/>
        <v>Sentinel Lighting</v>
      </c>
      <c r="J158" s="134" t="str">
        <f t="shared" si="41"/>
        <v>Unmetered Scattered Loads </v>
      </c>
      <c r="K158" s="212"/>
    </row>
    <row r="159" spans="1:32" ht="15">
      <c r="A159" s="308" t="s">
        <v>164</v>
      </c>
      <c r="B159" s="309"/>
      <c r="C159" s="309"/>
      <c r="D159" s="309"/>
      <c r="E159" s="309"/>
      <c r="F159" s="309"/>
      <c r="G159" s="309"/>
      <c r="H159" s="309"/>
      <c r="I159" s="309"/>
      <c r="J159" s="309"/>
      <c r="K159" s="175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</row>
    <row r="160" spans="1:32" ht="15">
      <c r="A160" s="295">
        <f aca="true" t="shared" si="42" ref="A160:A167">A148</f>
        <v>2004</v>
      </c>
      <c r="B160" s="295"/>
      <c r="C160" s="167"/>
      <c r="D160" s="201"/>
      <c r="E160" s="201"/>
      <c r="F160" s="201"/>
      <c r="G160" s="201"/>
      <c r="H160" s="201"/>
      <c r="I160" s="201"/>
      <c r="J160" s="201"/>
      <c r="K160" s="211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</row>
    <row r="161" spans="1:32" ht="15">
      <c r="A161" s="295">
        <f t="shared" si="42"/>
        <v>2005</v>
      </c>
      <c r="B161" s="295"/>
      <c r="C161" s="167"/>
      <c r="D161" s="201">
        <f aca="true" t="shared" si="43" ref="D161:I167">D149/D148-1</f>
        <v>0.027669387768279208</v>
      </c>
      <c r="E161" s="201">
        <f t="shared" si="43"/>
        <v>0.03926629542424642</v>
      </c>
      <c r="F161" s="201">
        <f t="shared" si="43"/>
        <v>0.032559286379359786</v>
      </c>
      <c r="G161" s="201">
        <f t="shared" si="43"/>
        <v>0.05068734857932933</v>
      </c>
      <c r="H161" s="201">
        <f t="shared" si="43"/>
        <v>-0.013473082936040104</v>
      </c>
      <c r="I161" s="201">
        <f t="shared" si="43"/>
        <v>-0.03459648500611412</v>
      </c>
      <c r="J161" s="201"/>
      <c r="K161" s="21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</row>
    <row r="162" spans="1:32" ht="15">
      <c r="A162" s="295">
        <f t="shared" si="42"/>
        <v>2006</v>
      </c>
      <c r="B162" s="295"/>
      <c r="C162" s="167"/>
      <c r="D162" s="201">
        <f t="shared" si="43"/>
        <v>-0.02950553642746223</v>
      </c>
      <c r="E162" s="201">
        <f t="shared" si="43"/>
        <v>-0.007199984220534583</v>
      </c>
      <c r="F162" s="201">
        <f t="shared" si="43"/>
        <v>0.0073210562735828155</v>
      </c>
      <c r="G162" s="201">
        <f t="shared" si="43"/>
        <v>-0.021355107202320367</v>
      </c>
      <c r="H162" s="201">
        <f t="shared" si="43"/>
        <v>0.04049294758371369</v>
      </c>
      <c r="I162" s="201">
        <f t="shared" si="43"/>
        <v>0.11314954888550877</v>
      </c>
      <c r="J162" s="201"/>
      <c r="K162" s="210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</row>
    <row r="163" spans="1:32" ht="15">
      <c r="A163" s="295">
        <f t="shared" si="42"/>
        <v>2007</v>
      </c>
      <c r="B163" s="295"/>
      <c r="C163" s="167"/>
      <c r="D163" s="201">
        <f t="shared" si="43"/>
        <v>-0.028705911363367753</v>
      </c>
      <c r="E163" s="201">
        <f t="shared" si="43"/>
        <v>0.0008528624829038378</v>
      </c>
      <c r="F163" s="201">
        <f t="shared" si="43"/>
        <v>0.02457884127002652</v>
      </c>
      <c r="G163" s="201">
        <f t="shared" si="43"/>
        <v>-0.025346451540102177</v>
      </c>
      <c r="H163" s="201">
        <f t="shared" si="43"/>
        <v>0.04503090749218286</v>
      </c>
      <c r="I163" s="201">
        <f t="shared" si="43"/>
        <v>0.45179948090735933</v>
      </c>
      <c r="J163" s="201">
        <f>J151/J150-1</f>
        <v>0.8131856150070627</v>
      </c>
      <c r="K163" s="21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</row>
    <row r="164" spans="1:32" ht="15">
      <c r="A164" s="295">
        <f t="shared" si="42"/>
        <v>2008</v>
      </c>
      <c r="B164" s="295"/>
      <c r="C164" s="167"/>
      <c r="D164" s="201">
        <f t="shared" si="43"/>
        <v>-0.000302902297505403</v>
      </c>
      <c r="E164" s="201">
        <f t="shared" si="43"/>
        <v>-0.028868842233811587</v>
      </c>
      <c r="F164" s="201">
        <f t="shared" si="43"/>
        <v>0.033650812767078486</v>
      </c>
      <c r="G164" s="201">
        <f t="shared" si="43"/>
        <v>-0.0026735024846296085</v>
      </c>
      <c r="H164" s="201">
        <f t="shared" si="43"/>
        <v>-0.12967138543665035</v>
      </c>
      <c r="I164" s="201">
        <f t="shared" si="43"/>
        <v>-0.3935772985571405</v>
      </c>
      <c r="J164" s="201">
        <f>J152/J151-1</f>
        <v>-0.3551160588898604</v>
      </c>
      <c r="K164" s="213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</row>
    <row r="165" spans="1:32" ht="15">
      <c r="A165" s="295">
        <f t="shared" si="42"/>
        <v>2009</v>
      </c>
      <c r="B165" s="295"/>
      <c r="C165" s="167"/>
      <c r="D165" s="201">
        <f t="shared" si="43"/>
        <v>-0.021773524893561103</v>
      </c>
      <c r="E165" s="201">
        <f t="shared" si="43"/>
        <v>-0.032253343726064254</v>
      </c>
      <c r="F165" s="201">
        <f t="shared" si="43"/>
        <v>-0.017836907749381514</v>
      </c>
      <c r="G165" s="201">
        <f t="shared" si="43"/>
        <v>-0.07525936992941862</v>
      </c>
      <c r="H165" s="201">
        <f t="shared" si="43"/>
        <v>3.8491106837845734E-05</v>
      </c>
      <c r="I165" s="201">
        <f t="shared" si="43"/>
        <v>0.333595078548647</v>
      </c>
      <c r="J165" s="201">
        <f>J153/J152-1</f>
        <v>0.12305441196266709</v>
      </c>
      <c r="K165" s="210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</row>
    <row r="166" spans="1:32" ht="15">
      <c r="A166" s="295">
        <f t="shared" si="42"/>
        <v>2010</v>
      </c>
      <c r="B166" s="295"/>
      <c r="C166" s="167"/>
      <c r="D166" s="201">
        <f t="shared" si="43"/>
        <v>0.0026561925636454653</v>
      </c>
      <c r="E166" s="201">
        <f t="shared" si="43"/>
        <v>0.007992100104022404</v>
      </c>
      <c r="F166" s="201">
        <f t="shared" si="43"/>
        <v>-0.011884241298303455</v>
      </c>
      <c r="G166" s="201">
        <f t="shared" si="43"/>
        <v>-0.0510761830655303</v>
      </c>
      <c r="H166" s="201">
        <f t="shared" si="43"/>
        <v>-0.00013650665821896002</v>
      </c>
      <c r="I166" s="201">
        <f t="shared" si="43"/>
        <v>-0.0035816880974173237</v>
      </c>
      <c r="J166" s="201">
        <f>J154/J153-1</f>
        <v>-0.022791355575308536</v>
      </c>
      <c r="K166" s="214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</row>
    <row r="167" spans="1:32" ht="15">
      <c r="A167" s="295">
        <f t="shared" si="42"/>
        <v>2011</v>
      </c>
      <c r="B167" s="295"/>
      <c r="C167" s="167"/>
      <c r="D167" s="201">
        <f t="shared" si="43"/>
        <v>0.008986240397699907</v>
      </c>
      <c r="E167" s="201">
        <f t="shared" si="43"/>
        <v>-0.015606819443744535</v>
      </c>
      <c r="F167" s="201">
        <f t="shared" si="43"/>
        <v>-0.0019355688510227509</v>
      </c>
      <c r="G167" s="201">
        <f t="shared" si="43"/>
        <v>0.020398982941227217</v>
      </c>
      <c r="H167" s="201">
        <f t="shared" si="43"/>
        <v>-0.0024727938407828054</v>
      </c>
      <c r="I167" s="201">
        <f t="shared" si="43"/>
        <v>-0.009077912677490252</v>
      </c>
      <c r="J167" s="201">
        <f>J155/J154-1</f>
        <v>0.058499313301051625</v>
      </c>
      <c r="K167" s="214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</row>
    <row r="168" spans="1:11" ht="15">
      <c r="A168" s="294" t="str">
        <f>A137</f>
        <v>Geometric Mean</v>
      </c>
      <c r="B168" s="294"/>
      <c r="C168" s="136"/>
      <c r="D168" s="203">
        <f>'Rate Class Energy Model'!H46-1</f>
        <v>-0.006053076783739564</v>
      </c>
      <c r="E168" s="203">
        <f>'Rate Class Energy Model'!I46-1</f>
        <v>-0.005372203015699739</v>
      </c>
      <c r="F168" s="203">
        <f>'Rate Class Energy Model'!J46-1</f>
        <v>0.009303401028958769</v>
      </c>
      <c r="G168" s="203">
        <f>'Rate Class Energy Model'!K46-1</f>
        <v>-0.015727465272634134</v>
      </c>
      <c r="H168" s="203">
        <f>'Rate Class Energy Model'!L46-1</f>
        <v>-0.010131458982043928</v>
      </c>
      <c r="I168" s="203">
        <f>'Rate Class Energy Model'!M46-1</f>
        <v>0.03189537825544164</v>
      </c>
      <c r="J168" s="203">
        <f>'Rate Class Energy Model'!N46-1</f>
        <v>0.06316458456375584</v>
      </c>
      <c r="K168" s="215"/>
    </row>
    <row r="169" ht="15">
      <c r="K169" s="215"/>
    </row>
    <row r="170" spans="1:10" ht="15" customHeight="1">
      <c r="A170" s="129" t="s">
        <v>215</v>
      </c>
      <c r="B170" s="130"/>
      <c r="C170" s="130"/>
      <c r="D170" s="130"/>
      <c r="E170" s="130"/>
      <c r="F170" s="130"/>
      <c r="G170" s="130"/>
      <c r="H170" s="130"/>
      <c r="I170" s="130"/>
      <c r="J170" s="131"/>
    </row>
    <row r="171" spans="1:10" ht="48" customHeight="1">
      <c r="A171" s="278" t="s">
        <v>133</v>
      </c>
      <c r="B171" s="307"/>
      <c r="C171" s="197"/>
      <c r="D171" s="134" t="str">
        <f aca="true" t="shared" si="44" ref="D171:J171">D158</f>
        <v>Residential </v>
      </c>
      <c r="E171" s="134" t="str">
        <f t="shared" si="44"/>
        <v>General Service
&lt; 50 kW</v>
      </c>
      <c r="F171" s="134" t="str">
        <f t="shared" si="44"/>
        <v>General Service
&gt; 50 kW</v>
      </c>
      <c r="G171" s="134" t="str">
        <f t="shared" si="44"/>
        <v>Large User</v>
      </c>
      <c r="H171" s="134" t="str">
        <f t="shared" si="44"/>
        <v>Street Lighting </v>
      </c>
      <c r="I171" s="134" t="str">
        <f t="shared" si="44"/>
        <v>Sentinel Lighting</v>
      </c>
      <c r="J171" s="134" t="str">
        <f t="shared" si="44"/>
        <v>Unmetered Scattered Loads </v>
      </c>
    </row>
    <row r="172" spans="1:10" ht="15" customHeight="1">
      <c r="A172" s="216" t="s">
        <v>165</v>
      </c>
      <c r="B172" s="136"/>
      <c r="C172" s="136"/>
      <c r="D172" s="136"/>
      <c r="E172" s="136"/>
      <c r="F172" s="136"/>
      <c r="G172" s="136"/>
      <c r="H172" s="136"/>
      <c r="I172" s="208"/>
      <c r="J172" s="209"/>
    </row>
    <row r="173" spans="1:10" ht="15" customHeight="1">
      <c r="A173" s="305">
        <v>2012</v>
      </c>
      <c r="B173" s="306"/>
      <c r="C173" s="173"/>
      <c r="D173" s="205">
        <f aca="true" t="shared" si="45" ref="D173:I173">D155*(1+D168)</f>
        <v>9370.985532776001</v>
      </c>
      <c r="E173" s="205">
        <f t="shared" si="45"/>
        <v>31962.296430532064</v>
      </c>
      <c r="F173" s="205">
        <f t="shared" si="45"/>
        <v>897127.0584248512</v>
      </c>
      <c r="G173" s="205">
        <f t="shared" si="45"/>
        <v>27885365.632872652</v>
      </c>
      <c r="H173" s="205">
        <f t="shared" si="45"/>
        <v>683.496085955129</v>
      </c>
      <c r="I173" s="205">
        <f t="shared" si="45"/>
        <v>1908.5768038028</v>
      </c>
      <c r="J173" s="205">
        <f>J155</f>
        <v>4326.0546875</v>
      </c>
    </row>
    <row r="174" spans="1:15" ht="15" customHeight="1">
      <c r="A174" s="305">
        <v>2013</v>
      </c>
      <c r="B174" s="306"/>
      <c r="C174" s="136"/>
      <c r="D174" s="205">
        <f aca="true" t="shared" si="46" ref="D174:I174">D173*(1+D168)</f>
        <v>9314.262237806795</v>
      </c>
      <c r="E174" s="205">
        <f t="shared" si="46"/>
        <v>31790.58848525927</v>
      </c>
      <c r="F174" s="205">
        <f t="shared" si="46"/>
        <v>905473.3912233077</v>
      </c>
      <c r="G174" s="205">
        <f t="shared" si="46"/>
        <v>27446799.513266943</v>
      </c>
      <c r="H174" s="205">
        <f t="shared" si="46"/>
        <v>676.571273395887</v>
      </c>
      <c r="I174" s="205">
        <f t="shared" si="46"/>
        <v>1969.4515828896522</v>
      </c>
      <c r="J174" s="205">
        <f>J173</f>
        <v>4326.0546875</v>
      </c>
      <c r="K174" s="170"/>
      <c r="L174" s="170"/>
      <c r="M174" s="170"/>
      <c r="N174" s="170"/>
      <c r="O174" s="170"/>
    </row>
    <row r="175" spans="8:10" ht="14.25">
      <c r="H175"/>
      <c r="I175"/>
      <c r="J175"/>
    </row>
    <row r="176" spans="1:12" ht="15">
      <c r="A176" s="294" t="s">
        <v>216</v>
      </c>
      <c r="B176" s="294"/>
      <c r="C176" s="294"/>
      <c r="D176" s="294"/>
      <c r="E176" s="294"/>
      <c r="F176" s="294"/>
      <c r="G176" s="294"/>
      <c r="H176" s="294"/>
      <c r="I176" s="294"/>
      <c r="J176" s="294"/>
      <c r="K176" s="294"/>
      <c r="L176" s="155"/>
    </row>
    <row r="177" spans="1:11" ht="45">
      <c r="A177" s="298" t="s">
        <v>133</v>
      </c>
      <c r="B177" s="298"/>
      <c r="C177" s="197"/>
      <c r="D177" s="134" t="str">
        <f>D171</f>
        <v>Residential </v>
      </c>
      <c r="E177" s="134" t="str">
        <f aca="true" t="shared" si="47" ref="E177:J177">E171</f>
        <v>General Service
&lt; 50 kW</v>
      </c>
      <c r="F177" s="134" t="str">
        <f t="shared" si="47"/>
        <v>General Service
&gt; 50 kW</v>
      </c>
      <c r="G177" s="134" t="str">
        <f t="shared" si="47"/>
        <v>Large User</v>
      </c>
      <c r="H177" s="134" t="str">
        <f t="shared" si="47"/>
        <v>Street Lighting </v>
      </c>
      <c r="I177" s="134" t="str">
        <f t="shared" si="47"/>
        <v>Sentinel Lighting</v>
      </c>
      <c r="J177" s="134" t="str">
        <f t="shared" si="47"/>
        <v>Unmetered Scattered Loads </v>
      </c>
      <c r="K177" s="134" t="s">
        <v>10</v>
      </c>
    </row>
    <row r="178" spans="1:11" ht="15">
      <c r="A178" s="294" t="s">
        <v>166</v>
      </c>
      <c r="B178" s="294"/>
      <c r="C178" s="294"/>
      <c r="D178" s="294"/>
      <c r="E178" s="294"/>
      <c r="F178" s="294"/>
      <c r="G178" s="294"/>
      <c r="H178" s="294"/>
      <c r="I178" s="294"/>
      <c r="J178" s="136"/>
      <c r="K178" s="80"/>
    </row>
    <row r="179" spans="1:11" ht="15">
      <c r="A179" s="136" t="s">
        <v>167</v>
      </c>
      <c r="B179" s="136"/>
      <c r="C179" s="136"/>
      <c r="D179" s="217">
        <f aca="true" t="shared" si="48" ref="D179:J180">D173*D142/1000000</f>
        <v>294.6721371781574</v>
      </c>
      <c r="E179" s="217">
        <f t="shared" si="48"/>
        <v>113.72769231874665</v>
      </c>
      <c r="F179" s="217">
        <f t="shared" si="48"/>
        <v>349.3495396264656</v>
      </c>
      <c r="G179" s="217">
        <f t="shared" si="48"/>
        <v>55.770731265745304</v>
      </c>
      <c r="H179" s="217">
        <f t="shared" si="48"/>
        <v>5.563777407885087</v>
      </c>
      <c r="I179" s="217">
        <f t="shared" si="48"/>
        <v>0.7390089930579921</v>
      </c>
      <c r="J179" s="217">
        <f t="shared" si="48"/>
        <v>1.6620715654167189</v>
      </c>
      <c r="K179" s="217">
        <f>SUM(D179:J179)</f>
        <v>821.4849583554748</v>
      </c>
    </row>
    <row r="180" spans="1:11" ht="15">
      <c r="A180" s="136" t="s">
        <v>168</v>
      </c>
      <c r="B180" s="136"/>
      <c r="C180" s="136"/>
      <c r="D180" s="217">
        <f t="shared" si="48"/>
        <v>295.8069438245194</v>
      </c>
      <c r="E180" s="217">
        <f t="shared" si="48"/>
        <v>112.75545085494983</v>
      </c>
      <c r="F180" s="217">
        <f t="shared" si="48"/>
        <v>353.1975883181669</v>
      </c>
      <c r="G180" s="217">
        <f t="shared" si="48"/>
        <v>54.893599026533884</v>
      </c>
      <c r="H180" s="217">
        <f t="shared" si="48"/>
        <v>5.513791960354303</v>
      </c>
      <c r="I180" s="217">
        <f t="shared" si="48"/>
        <v>0.7106478471371414</v>
      </c>
      <c r="J180" s="217">
        <f t="shared" si="48"/>
        <v>1.6629385828761543</v>
      </c>
      <c r="K180" s="217">
        <f>SUM(D180:J180)</f>
        <v>824.5409604145376</v>
      </c>
    </row>
    <row r="182" spans="4:10" ht="15">
      <c r="D182" s="294" t="s">
        <v>217</v>
      </c>
      <c r="E182" s="294"/>
      <c r="F182" s="294"/>
      <c r="G182" s="294"/>
      <c r="H182" s="294"/>
      <c r="I182" s="294"/>
      <c r="J182" s="294"/>
    </row>
    <row r="183" spans="4:10" ht="45">
      <c r="D183" s="134" t="str">
        <f aca="true" t="shared" si="49" ref="D183:J183">D177</f>
        <v>Residential </v>
      </c>
      <c r="E183" s="134" t="str">
        <f t="shared" si="49"/>
        <v>General Service
&lt; 50 kW</v>
      </c>
      <c r="F183" s="134" t="str">
        <f t="shared" si="49"/>
        <v>General Service
&gt; 50 kW</v>
      </c>
      <c r="G183" s="134" t="str">
        <f t="shared" si="49"/>
        <v>Large User</v>
      </c>
      <c r="H183" s="134" t="str">
        <f t="shared" si="49"/>
        <v>Street Lighting </v>
      </c>
      <c r="I183" s="134" t="str">
        <f t="shared" si="49"/>
        <v>Sentinel Lighting</v>
      </c>
      <c r="J183" s="134" t="str">
        <f t="shared" si="49"/>
        <v>Unmetered Scattered Loads </v>
      </c>
    </row>
    <row r="184" spans="4:10" ht="15">
      <c r="D184" s="294" t="s">
        <v>169</v>
      </c>
      <c r="E184" s="294"/>
      <c r="F184" s="294"/>
      <c r="G184" s="294"/>
      <c r="H184" s="294"/>
      <c r="I184" s="294"/>
      <c r="J184" s="294"/>
    </row>
    <row r="185" spans="4:10" ht="14.25">
      <c r="D185" s="218">
        <f>'Rate Class Energy Model'!H56</f>
        <v>0.8814104069515697</v>
      </c>
      <c r="E185" s="218">
        <f>'Rate Class Energy Model'!I56</f>
        <v>0.8814104069515697</v>
      </c>
      <c r="F185" s="218">
        <f>'Rate Class Energy Model'!J56</f>
        <v>0.7628208139031394</v>
      </c>
      <c r="G185" s="218">
        <v>0</v>
      </c>
      <c r="H185" s="218">
        <v>0</v>
      </c>
      <c r="I185" s="218">
        <v>0</v>
      </c>
      <c r="J185" s="218">
        <v>0</v>
      </c>
    </row>
    <row r="186" spans="4:10" ht="14.25">
      <c r="D186" s="219"/>
      <c r="E186" s="219"/>
      <c r="F186" s="219"/>
      <c r="G186" s="219"/>
      <c r="H186" s="219"/>
      <c r="I186"/>
      <c r="J186"/>
    </row>
    <row r="187" spans="4:8" ht="15">
      <c r="D187" s="294" t="s">
        <v>218</v>
      </c>
      <c r="E187" s="294"/>
      <c r="F187" s="294"/>
      <c r="G187" s="294"/>
      <c r="H187" s="294"/>
    </row>
    <row r="188" spans="4:8" ht="51">
      <c r="D188" s="59"/>
      <c r="E188" s="220" t="s">
        <v>170</v>
      </c>
      <c r="F188" s="220" t="s">
        <v>171</v>
      </c>
      <c r="G188" s="220" t="s">
        <v>130</v>
      </c>
      <c r="H188" s="220" t="s">
        <v>131</v>
      </c>
    </row>
    <row r="189" spans="4:8" ht="14.25">
      <c r="D189" s="221">
        <v>2006</v>
      </c>
      <c r="E189" s="199">
        <f>'CDM Activity '!B4</f>
        <v>3041819.8540286077</v>
      </c>
      <c r="F189" s="199">
        <f>'CDM Activity '!C4</f>
        <v>2723683.5890915343</v>
      </c>
      <c r="G189" s="199">
        <f aca="true" t="shared" si="50" ref="G189:G196">E189-F189</f>
        <v>318136.26493707346</v>
      </c>
      <c r="H189" s="222">
        <f aca="true" t="shared" si="51" ref="H189:H197">G189/F189</f>
        <v>0.11680367947702236</v>
      </c>
    </row>
    <row r="190" spans="4:8" ht="14.25">
      <c r="D190" s="221">
        <v>2007</v>
      </c>
      <c r="E190" s="199">
        <f>'CDM Activity '!B5</f>
        <v>9963010.751323825</v>
      </c>
      <c r="F190" s="199">
        <f>'CDM Activity '!C5</f>
        <v>4916914.058368537</v>
      </c>
      <c r="G190" s="199">
        <f t="shared" si="50"/>
        <v>5046096.692955288</v>
      </c>
      <c r="H190" s="222">
        <f t="shared" si="51"/>
        <v>1.0262731121702002</v>
      </c>
    </row>
    <row r="191" spans="4:8" ht="14.25">
      <c r="D191" s="221">
        <v>2008</v>
      </c>
      <c r="E191" s="199">
        <f>'CDM Activity '!B6</f>
        <v>10375831.832404135</v>
      </c>
      <c r="F191" s="199">
        <f>'CDM Activity '!C6</f>
        <v>6715312.873401937</v>
      </c>
      <c r="G191" s="199">
        <f t="shared" si="50"/>
        <v>3660518.9590021977</v>
      </c>
      <c r="H191" s="222">
        <f t="shared" si="51"/>
        <v>0.5451002846793348</v>
      </c>
    </row>
    <row r="192" spans="4:8" ht="14.25">
      <c r="D192" s="221">
        <v>2009</v>
      </c>
      <c r="E192" s="199">
        <f>'CDM Activity '!B7</f>
        <v>18969005.986506134</v>
      </c>
      <c r="F192" s="199">
        <f>'CDM Activity '!C7</f>
        <v>12781165.28749761</v>
      </c>
      <c r="G192" s="199">
        <f t="shared" si="50"/>
        <v>6187840.699008524</v>
      </c>
      <c r="H192" s="222">
        <f t="shared" si="51"/>
        <v>0.48413744442076806</v>
      </c>
    </row>
    <row r="193" spans="4:8" ht="14.25">
      <c r="D193" s="221">
        <v>2010</v>
      </c>
      <c r="E193" s="199">
        <f>'CDM Activity '!B8</f>
        <v>24045440.91167186</v>
      </c>
      <c r="F193" s="199">
        <f>'CDM Activity '!C8</f>
        <v>15159042.797841245</v>
      </c>
      <c r="G193" s="199">
        <f t="shared" si="50"/>
        <v>8886398.113830613</v>
      </c>
      <c r="H193" s="222">
        <f t="shared" si="51"/>
        <v>0.5862110314179005</v>
      </c>
    </row>
    <row r="194" spans="4:8" ht="14.25">
      <c r="D194" s="221">
        <v>2011</v>
      </c>
      <c r="E194" s="199">
        <f>'CDM Activity '!B9</f>
        <v>23097069.524923027</v>
      </c>
      <c r="F194" s="199">
        <f>'CDM Activity '!C9</f>
        <v>14195309.059850508</v>
      </c>
      <c r="G194" s="199">
        <f t="shared" si="50"/>
        <v>8901760.465072518</v>
      </c>
      <c r="H194" s="222">
        <f t="shared" si="51"/>
        <v>0.6270916982181058</v>
      </c>
    </row>
    <row r="195" spans="4:8" ht="14.25">
      <c r="D195" s="221">
        <v>2012</v>
      </c>
      <c r="E195" s="199">
        <f>'CDM Activity '!B10</f>
        <v>22601517.073246423</v>
      </c>
      <c r="F195" s="199">
        <f>'CDM Activity '!C10</f>
        <v>13984072.561046861</v>
      </c>
      <c r="G195" s="199">
        <f t="shared" si="50"/>
        <v>8617444.512199562</v>
      </c>
      <c r="H195" s="222">
        <f t="shared" si="51"/>
        <v>0.6162328230621289</v>
      </c>
    </row>
    <row r="196" spans="4:8" ht="14.25">
      <c r="D196" s="221">
        <v>2013</v>
      </c>
      <c r="E196" s="199">
        <f>'CDM Activity '!B11</f>
        <v>22466505.356910065</v>
      </c>
      <c r="F196" s="199">
        <f>'CDM Activity '!C11</f>
        <v>13915351.044657195</v>
      </c>
      <c r="G196" s="199">
        <f t="shared" si="50"/>
        <v>8551154.31225287</v>
      </c>
      <c r="H196" s="222">
        <f t="shared" si="51"/>
        <v>0.6145122954362038</v>
      </c>
    </row>
    <row r="197" spans="4:8" ht="14.25">
      <c r="D197" s="221" t="s">
        <v>10</v>
      </c>
      <c r="E197" s="199">
        <f>SUM(E189:E196)</f>
        <v>134560201.29101408</v>
      </c>
      <c r="F197" s="199">
        <f>SUM(F189:F196)</f>
        <v>84390851.27175543</v>
      </c>
      <c r="G197" s="199">
        <f>SUM(G189:G196)</f>
        <v>50169350.019258656</v>
      </c>
      <c r="H197" s="222">
        <f t="shared" si="51"/>
        <v>0.594488019296112</v>
      </c>
    </row>
    <row r="199" spans="2:8" ht="15">
      <c r="B199" s="302" t="s">
        <v>219</v>
      </c>
      <c r="C199" s="302"/>
      <c r="D199" s="302"/>
      <c r="E199" s="302"/>
      <c r="F199" s="302"/>
      <c r="G199" s="302"/>
      <c r="H199" s="302"/>
    </row>
    <row r="200" spans="2:8" ht="14.25">
      <c r="B200" s="303" t="s">
        <v>172</v>
      </c>
      <c r="C200" s="303"/>
      <c r="D200" s="303"/>
      <c r="E200" s="303"/>
      <c r="F200" s="303"/>
      <c r="G200" s="303"/>
      <c r="H200" s="303"/>
    </row>
    <row r="201" spans="2:8" ht="14.25">
      <c r="B201" s="304">
        <f>'CDM Activity '!P3</f>
        <v>38450000</v>
      </c>
      <c r="C201" s="304"/>
      <c r="D201" s="304"/>
      <c r="E201" s="304"/>
      <c r="F201" s="304"/>
      <c r="G201" s="304"/>
      <c r="H201" s="304"/>
    </row>
    <row r="202" spans="2:8" ht="14.25">
      <c r="B202" s="160"/>
      <c r="C202" s="160"/>
      <c r="D202" s="59">
        <v>2011</v>
      </c>
      <c r="E202" s="59">
        <v>2012</v>
      </c>
      <c r="F202" s="59">
        <v>2013</v>
      </c>
      <c r="G202" s="59">
        <v>2014</v>
      </c>
      <c r="H202" s="59" t="s">
        <v>10</v>
      </c>
    </row>
    <row r="203" spans="2:8" ht="14.25">
      <c r="B203" s="223" t="s">
        <v>173</v>
      </c>
      <c r="C203" s="160"/>
      <c r="D203" s="224">
        <f>D209/$B$201</f>
        <v>0.06704310867730048</v>
      </c>
      <c r="E203" s="224">
        <f>E209/$B$201</f>
        <v>0.06704310867730048</v>
      </c>
      <c r="F203" s="224">
        <f>F209/$B$201</f>
        <v>0.06703350395041723</v>
      </c>
      <c r="G203" s="224">
        <f>G209/$B$201</f>
        <v>0.06626701790507292</v>
      </c>
      <c r="H203" s="225">
        <f>SUM(D203:G203)</f>
        <v>0.26738673921009115</v>
      </c>
    </row>
    <row r="204" spans="2:8" ht="14.25">
      <c r="B204" s="223" t="s">
        <v>174</v>
      </c>
      <c r="C204" s="160"/>
      <c r="D204" s="225"/>
      <c r="E204" s="225">
        <f>(100%-H203)/6</f>
        <v>0.12210221013165147</v>
      </c>
      <c r="F204" s="225">
        <f>E204</f>
        <v>0.12210221013165147</v>
      </c>
      <c r="G204" s="225">
        <f>F204</f>
        <v>0.12210221013165147</v>
      </c>
      <c r="H204" s="225">
        <f>SUM(D204:G204)</f>
        <v>0.3663066303949544</v>
      </c>
    </row>
    <row r="205" spans="2:8" ht="14.25">
      <c r="B205" s="223" t="s">
        <v>175</v>
      </c>
      <c r="C205" s="160"/>
      <c r="D205" s="226"/>
      <c r="E205" s="225"/>
      <c r="F205" s="225">
        <f>F204</f>
        <v>0.12210221013165147</v>
      </c>
      <c r="G205" s="225">
        <f>G204</f>
        <v>0.12210221013165147</v>
      </c>
      <c r="H205" s="225">
        <f>SUM(D205:G205)</f>
        <v>0.24420442026330294</v>
      </c>
    </row>
    <row r="206" spans="2:8" ht="14.25">
      <c r="B206" s="223" t="s">
        <v>176</v>
      </c>
      <c r="C206" s="160"/>
      <c r="D206" s="226"/>
      <c r="E206" s="226"/>
      <c r="F206" s="225"/>
      <c r="G206" s="225">
        <f>G205</f>
        <v>0.12210221013165147</v>
      </c>
      <c r="H206" s="225">
        <f>SUM(D206:G206)</f>
        <v>0.12210221013165147</v>
      </c>
    </row>
    <row r="207" spans="2:8" ht="14.25">
      <c r="B207" s="223"/>
      <c r="C207" s="160"/>
      <c r="D207" s="225">
        <f>SUM(D203:D206)</f>
        <v>0.06704310867730048</v>
      </c>
      <c r="E207" s="225">
        <f>SUM(E203:E206)</f>
        <v>0.18914531880895197</v>
      </c>
      <c r="F207" s="225">
        <f>SUM(F203:F206)</f>
        <v>0.31123792421372015</v>
      </c>
      <c r="G207" s="225">
        <f>SUM(G203:G206)</f>
        <v>0.4325736483000273</v>
      </c>
      <c r="H207" s="225">
        <f>SUM(D207:G207)</f>
        <v>1</v>
      </c>
    </row>
    <row r="208" spans="2:8" ht="14.25">
      <c r="B208" s="303" t="s">
        <v>177</v>
      </c>
      <c r="C208" s="303"/>
      <c r="D208" s="303"/>
      <c r="E208" s="303"/>
      <c r="F208" s="303"/>
      <c r="G208" s="303"/>
      <c r="H208" s="303"/>
    </row>
    <row r="209" spans="2:8" ht="14.25">
      <c r="B209" s="223" t="s">
        <v>173</v>
      </c>
      <c r="C209" s="160"/>
      <c r="D209" s="65">
        <f>'CDM Activity '!P27</f>
        <v>2577807.5286422037</v>
      </c>
      <c r="E209" s="65">
        <f>'CDM Activity '!Q27</f>
        <v>2577807.5286422037</v>
      </c>
      <c r="F209" s="65">
        <f>'CDM Activity '!R27</f>
        <v>2577438.2268935423</v>
      </c>
      <c r="G209" s="65">
        <f>'CDM Activity '!S27</f>
        <v>2547966.8384500537</v>
      </c>
      <c r="H209" s="65">
        <f>SUM(D209:G209)</f>
        <v>10281020.122628003</v>
      </c>
    </row>
    <row r="210" spans="2:8" ht="14.25">
      <c r="B210" s="223" t="s">
        <v>174</v>
      </c>
      <c r="C210" s="160"/>
      <c r="D210" s="65"/>
      <c r="E210" s="65">
        <f>E204*$B$201</f>
        <v>4694829.979561999</v>
      </c>
      <c r="F210" s="65">
        <f>F204*$B$201</f>
        <v>4694829.979561999</v>
      </c>
      <c r="G210" s="65">
        <f>G204*$B$201</f>
        <v>4694829.979561999</v>
      </c>
      <c r="H210" s="65">
        <f>SUM(D210:G210)</f>
        <v>14084489.938685998</v>
      </c>
    </row>
    <row r="211" spans="2:8" ht="14.25">
      <c r="B211" s="223" t="s">
        <v>175</v>
      </c>
      <c r="C211" s="160"/>
      <c r="D211" s="65"/>
      <c r="E211" s="65"/>
      <c r="F211" s="65">
        <f>F205*$B$201</f>
        <v>4694829.979561999</v>
      </c>
      <c r="G211" s="65">
        <f>G205*$B$201</f>
        <v>4694829.979561999</v>
      </c>
      <c r="H211" s="65">
        <f>SUM(D211:G211)</f>
        <v>9389659.959123999</v>
      </c>
    </row>
    <row r="212" spans="2:8" ht="14.25">
      <c r="B212" s="223" t="s">
        <v>176</v>
      </c>
      <c r="C212" s="160"/>
      <c r="D212" s="65"/>
      <c r="E212" s="65"/>
      <c r="F212" s="65"/>
      <c r="G212" s="65">
        <f>G206*$B$201</f>
        <v>4694829.979561999</v>
      </c>
      <c r="H212" s="65">
        <f>SUM(D212:G212)</f>
        <v>4694829.979561999</v>
      </c>
    </row>
    <row r="213" spans="2:8" ht="14.25">
      <c r="B213" s="160"/>
      <c r="C213" s="160"/>
      <c r="D213" s="65">
        <f>SUM(D209:D212)</f>
        <v>2577807.5286422037</v>
      </c>
      <c r="E213" s="65">
        <f>SUM(E209:E212)</f>
        <v>7272637.508204203</v>
      </c>
      <c r="F213" s="65">
        <f>SUM(F209:F212)</f>
        <v>11967098.186017541</v>
      </c>
      <c r="G213" s="65">
        <f>SUM(G209:G212)</f>
        <v>16632456.777136052</v>
      </c>
      <c r="H213" s="65">
        <f>SUM(D213:G213)</f>
        <v>38450000</v>
      </c>
    </row>
    <row r="215" spans="1:11" ht="15">
      <c r="A215" s="160"/>
      <c r="B215" s="299" t="s">
        <v>220</v>
      </c>
      <c r="C215" s="300"/>
      <c r="D215" s="300"/>
      <c r="E215" s="300"/>
      <c r="F215" s="300"/>
      <c r="G215" s="300"/>
      <c r="H215" s="300"/>
      <c r="I215" s="300"/>
      <c r="J215" s="300"/>
      <c r="K215" s="301"/>
    </row>
    <row r="216" spans="1:11" ht="45">
      <c r="A216" s="227"/>
      <c r="B216" s="227"/>
      <c r="C216" s="197"/>
      <c r="D216" s="134" t="str">
        <f aca="true" t="shared" si="52" ref="D216:J216">D221</f>
        <v>Residential </v>
      </c>
      <c r="E216" s="134" t="str">
        <f t="shared" si="52"/>
        <v>General Service
&lt; 50 kW</v>
      </c>
      <c r="F216" s="134" t="str">
        <f t="shared" si="52"/>
        <v>General Service
&gt; 50 kW</v>
      </c>
      <c r="G216" s="134" t="str">
        <f t="shared" si="52"/>
        <v>Large User</v>
      </c>
      <c r="H216" s="134" t="str">
        <f t="shared" si="52"/>
        <v>Street Lighting </v>
      </c>
      <c r="I216" s="134" t="str">
        <f t="shared" si="52"/>
        <v>Sentinel Lighting</v>
      </c>
      <c r="J216" s="134" t="str">
        <f t="shared" si="52"/>
        <v>Unmetered Scattered Loads </v>
      </c>
      <c r="K216" s="134" t="s">
        <v>10</v>
      </c>
    </row>
    <row r="217" spans="1:11" ht="15">
      <c r="A217" s="160"/>
      <c r="B217" s="136" t="s">
        <v>177</v>
      </c>
      <c r="C217" s="167"/>
      <c r="D217" s="206">
        <f>D180/($K$180)*$F$213</f>
        <v>4293238.190464293</v>
      </c>
      <c r="E217" s="206">
        <f aca="true" t="shared" si="53" ref="E217:J217">E180/($K$180)*$F$213</f>
        <v>1636493.0502803307</v>
      </c>
      <c r="F217" s="206">
        <f t="shared" si="53"/>
        <v>5126185.867519678</v>
      </c>
      <c r="G217" s="206">
        <f t="shared" si="53"/>
        <v>796706.4353044913</v>
      </c>
      <c r="H217" s="206">
        <f t="shared" si="53"/>
        <v>80025.24184324405</v>
      </c>
      <c r="I217" s="206">
        <f t="shared" si="53"/>
        <v>10314.093502518754</v>
      </c>
      <c r="J217" s="206">
        <f t="shared" si="53"/>
        <v>24135.3071029859</v>
      </c>
      <c r="K217" s="206">
        <f>SUM(D217:J217)</f>
        <v>11967098.186017541</v>
      </c>
    </row>
    <row r="218" spans="1:11" ht="15">
      <c r="A218" s="160"/>
      <c r="B218" s="136" t="s">
        <v>178</v>
      </c>
      <c r="C218" s="167"/>
      <c r="D218" s="217"/>
      <c r="E218" s="217"/>
      <c r="F218" s="206">
        <f>F217*'Rate Class Load Model'!B23</f>
        <v>12599.663401508218</v>
      </c>
      <c r="G218" s="206">
        <f>G217*'Rate Class Load Model'!C23</f>
        <v>1678.6692848413363</v>
      </c>
      <c r="H218" s="206">
        <f>H217*'Rate Class Load Model'!D23</f>
        <v>219.91621808924816</v>
      </c>
      <c r="I218" s="206">
        <f>I217*'Rate Class Load Model'!E23</f>
        <v>29.461738727710998</v>
      </c>
      <c r="J218" s="274"/>
      <c r="K218" s="206">
        <f>SUM(D218:J218)</f>
        <v>14527.710643166514</v>
      </c>
    </row>
    <row r="220" spans="1:12" ht="15">
      <c r="A220" s="294" t="s">
        <v>221</v>
      </c>
      <c r="B220" s="294"/>
      <c r="C220" s="294"/>
      <c r="D220" s="294"/>
      <c r="E220" s="294"/>
      <c r="F220" s="294"/>
      <c r="G220" s="294"/>
      <c r="H220" s="294"/>
      <c r="I220" s="294"/>
      <c r="J220" s="294"/>
      <c r="K220" s="294"/>
      <c r="L220" s="155"/>
    </row>
    <row r="221" spans="1:11" ht="45">
      <c r="A221" s="298" t="s">
        <v>133</v>
      </c>
      <c r="B221" s="298"/>
      <c r="C221" s="197"/>
      <c r="D221" s="134" t="str">
        <f>D183</f>
        <v>Residential </v>
      </c>
      <c r="E221" s="134" t="str">
        <f aca="true" t="shared" si="54" ref="E221:J221">E183</f>
        <v>General Service
&lt; 50 kW</v>
      </c>
      <c r="F221" s="134" t="str">
        <f t="shared" si="54"/>
        <v>General Service
&gt; 50 kW</v>
      </c>
      <c r="G221" s="134" t="str">
        <f t="shared" si="54"/>
        <v>Large User</v>
      </c>
      <c r="H221" s="134" t="str">
        <f t="shared" si="54"/>
        <v>Street Lighting </v>
      </c>
      <c r="I221" s="134" t="str">
        <f t="shared" si="54"/>
        <v>Sentinel Lighting</v>
      </c>
      <c r="J221" s="134" t="str">
        <f t="shared" si="54"/>
        <v>Unmetered Scattered Loads </v>
      </c>
      <c r="K221" s="134" t="str">
        <f>K216</f>
        <v>Total</v>
      </c>
    </row>
    <row r="222" spans="1:11" ht="15">
      <c r="A222" s="294" t="s">
        <v>179</v>
      </c>
      <c r="B222" s="294"/>
      <c r="C222" s="294"/>
      <c r="D222" s="294"/>
      <c r="E222" s="294"/>
      <c r="F222" s="294"/>
      <c r="G222" s="294"/>
      <c r="H222" s="294"/>
      <c r="I222" s="294"/>
      <c r="J222" s="294"/>
      <c r="K222" s="294"/>
    </row>
    <row r="223" spans="1:11" ht="15">
      <c r="A223" s="136" t="s">
        <v>180</v>
      </c>
      <c r="B223" s="167"/>
      <c r="C223" s="167"/>
      <c r="D223" s="217">
        <f aca="true" t="shared" si="55" ref="D223:J224">D179</f>
        <v>294.6721371781574</v>
      </c>
      <c r="E223" s="217">
        <f t="shared" si="55"/>
        <v>113.72769231874665</v>
      </c>
      <c r="F223" s="217">
        <f t="shared" si="55"/>
        <v>349.3495396264656</v>
      </c>
      <c r="G223" s="217">
        <f t="shared" si="55"/>
        <v>55.770731265745304</v>
      </c>
      <c r="H223" s="217">
        <f t="shared" si="55"/>
        <v>5.563777407885087</v>
      </c>
      <c r="I223" s="217">
        <f t="shared" si="55"/>
        <v>0.7390089930579921</v>
      </c>
      <c r="J223" s="217">
        <f t="shared" si="55"/>
        <v>1.6620715654167189</v>
      </c>
      <c r="K223" s="217">
        <f>SUM(D223:J223)</f>
        <v>821.4849583554748</v>
      </c>
    </row>
    <row r="224" spans="1:11" ht="15">
      <c r="A224" s="136" t="s">
        <v>181</v>
      </c>
      <c r="B224" s="167"/>
      <c r="C224" s="167"/>
      <c r="D224" s="217">
        <f t="shared" si="55"/>
        <v>295.8069438245194</v>
      </c>
      <c r="E224" s="217">
        <f t="shared" si="55"/>
        <v>112.75545085494983</v>
      </c>
      <c r="F224" s="217">
        <f t="shared" si="55"/>
        <v>353.1975883181669</v>
      </c>
      <c r="G224" s="217">
        <f t="shared" si="55"/>
        <v>54.893599026533884</v>
      </c>
      <c r="H224" s="217">
        <f t="shared" si="55"/>
        <v>5.513791960354303</v>
      </c>
      <c r="I224" s="217">
        <f t="shared" si="55"/>
        <v>0.7106478471371414</v>
      </c>
      <c r="J224" s="217">
        <f t="shared" si="55"/>
        <v>1.6629385828761543</v>
      </c>
      <c r="K224" s="217">
        <f>SUM(D224:J224)</f>
        <v>824.5409604145376</v>
      </c>
    </row>
    <row r="225" spans="1:11" ht="15">
      <c r="A225" s="294" t="s">
        <v>182</v>
      </c>
      <c r="B225" s="294"/>
      <c r="C225" s="294"/>
      <c r="D225" s="294"/>
      <c r="E225" s="294"/>
      <c r="F225" s="294"/>
      <c r="G225" s="294"/>
      <c r="H225" s="294"/>
      <c r="I225" s="294"/>
      <c r="J225" s="294"/>
      <c r="K225" s="294"/>
    </row>
    <row r="226" spans="1:11" ht="15">
      <c r="A226" s="297">
        <f>A173</f>
        <v>2012</v>
      </c>
      <c r="B226" s="297"/>
      <c r="C226" s="173"/>
      <c r="D226" s="228">
        <f>'Rate Class Energy Model'!H61/1000000</f>
        <v>2.346605613288333</v>
      </c>
      <c r="E226" s="228">
        <f>'Rate Class Energy Model'!I61/1000000</f>
        <v>0.9056643214969063</v>
      </c>
      <c r="F226" s="228">
        <f>'Rate Class Energy Model'!J61/1000000</f>
        <v>2.4077177143625095</v>
      </c>
      <c r="G226" s="228">
        <f>'Rate Class Energy Model'!K61/1000000</f>
        <v>0</v>
      </c>
      <c r="H226" s="228">
        <f>'Rate Class Energy Model'!L61/1000000</f>
        <v>0</v>
      </c>
      <c r="I226" s="228">
        <f>'Rate Class Energy Model'!M61/1000000</f>
        <v>0</v>
      </c>
      <c r="J226" s="228">
        <f>'Rate Class Energy Model'!N61/1000000</f>
        <v>0</v>
      </c>
      <c r="K226" s="228">
        <f>SUM(D226:J226)</f>
        <v>5.659987649147748</v>
      </c>
    </row>
    <row r="227" spans="1:11" ht="15">
      <c r="A227" s="297">
        <f>A174</f>
        <v>2013</v>
      </c>
      <c r="B227" s="297"/>
      <c r="C227" s="167"/>
      <c r="D227" s="228">
        <f>'Rate Class Energy Model'!H62/1000000</f>
        <v>3.804313090568694</v>
      </c>
      <c r="E227" s="228">
        <f>'Rate Class Energy Model'!I62/1000000</f>
        <v>1.4501249773735176</v>
      </c>
      <c r="F227" s="228">
        <f>'Rate Class Energy Model'!J62/1000000</f>
        <v>3.9312437934991635</v>
      </c>
      <c r="G227" s="228">
        <f>'Rate Class Energy Model'!K62/1000000</f>
        <v>0</v>
      </c>
      <c r="H227" s="228">
        <f>'Rate Class Energy Model'!L62/1000000</f>
        <v>0</v>
      </c>
      <c r="I227" s="228">
        <f>'Rate Class Energy Model'!M62/1000000</f>
        <v>0</v>
      </c>
      <c r="J227" s="228">
        <f>'Rate Class Energy Model'!N62/1000000</f>
        <v>0</v>
      </c>
      <c r="K227" s="228">
        <f>SUM(D227:J227)</f>
        <v>9.185681861441374</v>
      </c>
    </row>
    <row r="228" spans="1:11" ht="15" customHeight="1">
      <c r="A228" s="297" t="s">
        <v>183</v>
      </c>
      <c r="B228" s="297"/>
      <c r="C228" s="297"/>
      <c r="D228" s="297"/>
      <c r="E228" s="297"/>
      <c r="F228" s="297"/>
      <c r="G228" s="297"/>
      <c r="H228" s="297"/>
      <c r="I228" s="297"/>
      <c r="J228" s="297"/>
      <c r="K228" s="297"/>
    </row>
    <row r="229" spans="1:13" ht="15">
      <c r="A229" s="297">
        <f>A226</f>
        <v>2012</v>
      </c>
      <c r="B229" s="297"/>
      <c r="C229" s="167"/>
      <c r="D229" s="228">
        <f>-'Rate Class Energy Model'!H65/1000000</f>
        <v>-2.6852244114099455</v>
      </c>
      <c r="E229" s="228">
        <f>-'Rate Class Energy Model'!I65/1000000</f>
        <v>-1.0363530756319312</v>
      </c>
      <c r="F229" s="228">
        <f>-'Rate Class Energy Model'!J65/1000000</f>
        <v>-3.1834767986653985</v>
      </c>
      <c r="G229" s="228">
        <f>-'Rate Class Energy Model'!K65/1000000</f>
        <v>-0.5082154372349796</v>
      </c>
      <c r="H229" s="228">
        <f>-'Rate Class Energy Model'!L65/1000000</f>
        <v>-0.05070038537872189</v>
      </c>
      <c r="I229" s="228">
        <f>-'Rate Class Energy Model'!M65/1000000</f>
        <v>-0.006734281046772471</v>
      </c>
      <c r="J229" s="228">
        <f>-'Rate Class Energy Model'!N65/1000000</f>
        <v>-0.015145765676070636</v>
      </c>
      <c r="K229" s="228">
        <f>SUM(D229:J229)</f>
        <v>-7.48585015504382</v>
      </c>
      <c r="M229" s="228"/>
    </row>
    <row r="230" spans="1:13" ht="15">
      <c r="A230" s="297">
        <f>A227</f>
        <v>2013</v>
      </c>
      <c r="B230" s="297"/>
      <c r="C230" s="167"/>
      <c r="D230" s="228">
        <f>-'Rate Class Energy Model'!H66/1000000</f>
        <v>-5.371149676247848</v>
      </c>
      <c r="E230" s="228">
        <f>-'Rate Class Energy Model'!I66/1000000</f>
        <v>-2.047370475907481</v>
      </c>
      <c r="F230" s="228">
        <f>-'Rate Class Energy Model'!J66/1000000</f>
        <v>-6.413227112315658</v>
      </c>
      <c r="G230" s="228">
        <f>-'Rate Class Energy Model'!K66/1000000</f>
        <v>-0.9967370367558196</v>
      </c>
      <c r="H230" s="228">
        <f>-'Rate Class Energy Model'!L66/1000000</f>
        <v>-0.10011733166184106</v>
      </c>
      <c r="I230" s="228">
        <f>-'Rate Class Energy Model'!M66/1000000</f>
        <v>-0.01290367259377532</v>
      </c>
      <c r="J230" s="228">
        <f>-'Rate Class Energy Model'!N66/1000000</f>
        <v>-0.030195004605212874</v>
      </c>
      <c r="K230" s="228">
        <f>SUM(D230:J230)</f>
        <v>-14.971700310087636</v>
      </c>
      <c r="M230" s="228"/>
    </row>
    <row r="231" spans="1:11" ht="15">
      <c r="A231" s="294" t="s">
        <v>184</v>
      </c>
      <c r="B231" s="294"/>
      <c r="C231" s="294"/>
      <c r="D231" s="294"/>
      <c r="E231" s="294"/>
      <c r="F231" s="294"/>
      <c r="G231" s="294"/>
      <c r="H231" s="294"/>
      <c r="I231" s="294"/>
      <c r="J231" s="294"/>
      <c r="K231" s="294"/>
    </row>
    <row r="232" spans="1:11" ht="15">
      <c r="A232" s="136" t="s">
        <v>185</v>
      </c>
      <c r="B232" s="173"/>
      <c r="C232" s="173"/>
      <c r="D232" s="229">
        <f>D223+D226+D229</f>
        <v>294.3335183800358</v>
      </c>
      <c r="E232" s="229">
        <f aca="true" t="shared" si="56" ref="E232:J233">E223+E226+E229</f>
        <v>113.59700356461161</v>
      </c>
      <c r="F232" s="229">
        <f t="shared" si="56"/>
        <v>348.5737805421627</v>
      </c>
      <c r="G232" s="229">
        <f t="shared" si="56"/>
        <v>55.262515828510324</v>
      </c>
      <c r="H232" s="229">
        <f t="shared" si="56"/>
        <v>5.513077022506365</v>
      </c>
      <c r="I232" s="229">
        <f t="shared" si="56"/>
        <v>0.7322747120112196</v>
      </c>
      <c r="J232" s="229">
        <f t="shared" si="56"/>
        <v>1.6469257997406481</v>
      </c>
      <c r="K232" s="228">
        <f>SUM(D232:J232)</f>
        <v>819.6590958495785</v>
      </c>
    </row>
    <row r="233" spans="1:11" ht="15">
      <c r="A233" s="136" t="s">
        <v>186</v>
      </c>
      <c r="B233" s="167"/>
      <c r="C233" s="167"/>
      <c r="D233" s="229">
        <f>D224+D227+D230</f>
        <v>294.24010723884027</v>
      </c>
      <c r="E233" s="229">
        <f t="shared" si="56"/>
        <v>112.15820535641586</v>
      </c>
      <c r="F233" s="229">
        <f t="shared" si="56"/>
        <v>350.7156049993504</v>
      </c>
      <c r="G233" s="229">
        <f t="shared" si="56"/>
        <v>53.89686198977807</v>
      </c>
      <c r="H233" s="229">
        <f t="shared" si="56"/>
        <v>5.413674628692462</v>
      </c>
      <c r="I233" s="229">
        <f t="shared" si="56"/>
        <v>0.697744174543366</v>
      </c>
      <c r="J233" s="229">
        <f t="shared" si="56"/>
        <v>1.6327435782709414</v>
      </c>
      <c r="K233" s="228">
        <f>SUM(D233:J233)</f>
        <v>818.7549419658912</v>
      </c>
    </row>
    <row r="235" spans="1:8" ht="15">
      <c r="A235" s="294" t="s">
        <v>222</v>
      </c>
      <c r="B235" s="294"/>
      <c r="C235" s="294"/>
      <c r="D235" s="294"/>
      <c r="E235" s="294"/>
      <c r="F235" s="294"/>
      <c r="G235" s="294"/>
      <c r="H235" s="294"/>
    </row>
    <row r="236" spans="1:8" ht="45">
      <c r="A236" s="298" t="s">
        <v>133</v>
      </c>
      <c r="B236" s="298"/>
      <c r="C236" s="197"/>
      <c r="D236" s="134" t="str">
        <f>F221</f>
        <v>General Service
&gt; 50 kW</v>
      </c>
      <c r="E236" s="134" t="str">
        <f>G221</f>
        <v>Large User</v>
      </c>
      <c r="F236" s="134" t="str">
        <f>H221</f>
        <v>Street Lighting </v>
      </c>
      <c r="G236" s="134" t="str">
        <f>I221</f>
        <v>Sentinel Lighting</v>
      </c>
      <c r="H236" s="134" t="s">
        <v>10</v>
      </c>
    </row>
    <row r="237" spans="1:8" ht="15">
      <c r="A237" s="294" t="s">
        <v>187</v>
      </c>
      <c r="B237" s="294"/>
      <c r="C237" s="294"/>
      <c r="D237" s="294"/>
      <c r="E237" s="294"/>
      <c r="F237" s="294"/>
      <c r="G237" s="294"/>
      <c r="H237" s="294"/>
    </row>
    <row r="238" spans="1:10" ht="14.25">
      <c r="A238" s="295">
        <f aca="true" t="shared" si="57" ref="A238:A245">A160</f>
        <v>2004</v>
      </c>
      <c r="B238" s="295"/>
      <c r="C238" s="167"/>
      <c r="D238" s="199">
        <f>'Rate Class Load Model'!B2</f>
        <v>786950</v>
      </c>
      <c r="E238" s="199">
        <f>'Rate Class Load Model'!C2</f>
        <v>133227</v>
      </c>
      <c r="F238" s="199">
        <f>'Rate Class Load Model'!D2</f>
        <v>16548</v>
      </c>
      <c r="G238" s="199">
        <f>'Rate Class Load Model'!E2</f>
        <v>2630</v>
      </c>
      <c r="H238" s="199">
        <f>SUM(D238:G238)</f>
        <v>939355</v>
      </c>
      <c r="I238" s="170"/>
      <c r="J238" s="170"/>
    </row>
    <row r="239" spans="1:10" ht="14.25">
      <c r="A239" s="295">
        <f t="shared" si="57"/>
        <v>2005</v>
      </c>
      <c r="B239" s="295"/>
      <c r="C239" s="167"/>
      <c r="D239" s="199">
        <f>'Rate Class Load Model'!B3</f>
        <v>764330</v>
      </c>
      <c r="E239" s="199">
        <f>'Rate Class Load Model'!C3</f>
        <v>136079</v>
      </c>
      <c r="F239" s="199">
        <f>'Rate Class Load Model'!D3</f>
        <v>16365</v>
      </c>
      <c r="G239" s="199">
        <f>'Rate Class Load Model'!E3</f>
        <v>2721</v>
      </c>
      <c r="H239" s="199">
        <f aca="true" t="shared" si="58" ref="H239:H245">SUM(D239:G239)</f>
        <v>919495</v>
      </c>
      <c r="I239" s="170"/>
      <c r="J239" s="170"/>
    </row>
    <row r="240" spans="1:10" ht="14.25">
      <c r="A240" s="295">
        <f t="shared" si="57"/>
        <v>2006</v>
      </c>
      <c r="B240" s="295"/>
      <c r="C240" s="167"/>
      <c r="D240" s="199">
        <f>'Rate Class Load Model'!B4</f>
        <v>805126</v>
      </c>
      <c r="E240" s="199">
        <f>'Rate Class Load Model'!C4</f>
        <v>133042</v>
      </c>
      <c r="F240" s="199">
        <f>'Rate Class Load Model'!D4</f>
        <v>16568</v>
      </c>
      <c r="G240" s="199">
        <f>'Rate Class Load Model'!E4</f>
        <v>4030</v>
      </c>
      <c r="H240" s="199">
        <f t="shared" si="58"/>
        <v>958766</v>
      </c>
      <c r="I240" s="170"/>
      <c r="J240" s="170"/>
    </row>
    <row r="241" spans="1:10" ht="14.25" customHeight="1">
      <c r="A241" s="295">
        <f t="shared" si="57"/>
        <v>2007</v>
      </c>
      <c r="B241" s="295"/>
      <c r="C241" s="167"/>
      <c r="D241" s="199">
        <f>'Rate Class Load Model'!B5</f>
        <v>830729</v>
      </c>
      <c r="E241" s="199">
        <f>'Rate Class Load Model'!C5</f>
        <v>128681</v>
      </c>
      <c r="F241" s="199">
        <f>'Rate Class Load Model'!D5</f>
        <v>13932</v>
      </c>
      <c r="G241" s="199">
        <f>'Rate Class Load Model'!E5</f>
        <v>2574</v>
      </c>
      <c r="H241" s="199">
        <f t="shared" si="58"/>
        <v>975916</v>
      </c>
      <c r="I241" s="170"/>
      <c r="J241" s="170"/>
    </row>
    <row r="242" spans="1:10" ht="14.25" customHeight="1">
      <c r="A242" s="295">
        <f t="shared" si="57"/>
        <v>2008</v>
      </c>
      <c r="B242" s="295"/>
      <c r="C242" s="167"/>
      <c r="D242" s="199">
        <f>'Rate Class Load Model'!B6</f>
        <v>842747</v>
      </c>
      <c r="E242" s="199">
        <f>'Rate Class Load Model'!C6</f>
        <v>134390</v>
      </c>
      <c r="F242" s="199">
        <f>'Rate Class Load Model'!D6</f>
        <v>16513</v>
      </c>
      <c r="G242" s="199">
        <f>'Rate Class Load Model'!E6</f>
        <v>2437</v>
      </c>
      <c r="H242" s="199">
        <f t="shared" si="58"/>
        <v>996087</v>
      </c>
      <c r="I242" s="170"/>
      <c r="J242" s="170"/>
    </row>
    <row r="243" spans="1:10" ht="14.25" customHeight="1">
      <c r="A243" s="295">
        <f t="shared" si="57"/>
        <v>2009</v>
      </c>
      <c r="B243" s="295"/>
      <c r="C243" s="167"/>
      <c r="D243" s="199">
        <f>'Rate Class Load Model'!B7</f>
        <v>819801</v>
      </c>
      <c r="E243" s="199">
        <f>'Rate Class Load Model'!C7</f>
        <v>126985</v>
      </c>
      <c r="F243" s="199">
        <f>'Rate Class Load Model'!D7</f>
        <v>16284</v>
      </c>
      <c r="G243" s="199">
        <f>'Rate Class Load Model'!E7</f>
        <v>1916</v>
      </c>
      <c r="H243" s="199">
        <f t="shared" si="58"/>
        <v>964986</v>
      </c>
      <c r="I243" s="170"/>
      <c r="J243" s="170"/>
    </row>
    <row r="244" spans="1:10" ht="14.25">
      <c r="A244" s="295">
        <f t="shared" si="57"/>
        <v>2010</v>
      </c>
      <c r="B244" s="295"/>
      <c r="C244" s="167"/>
      <c r="D244" s="199">
        <f>'Rate Class Load Model'!B8</f>
        <v>825019</v>
      </c>
      <c r="E244" s="199">
        <f>'Rate Class Load Model'!C8</f>
        <v>121689</v>
      </c>
      <c r="F244" s="199">
        <f>'Rate Class Load Model'!D8</f>
        <v>16388</v>
      </c>
      <c r="G244" s="199">
        <f>'Rate Class Load Model'!E8</f>
        <v>2174</v>
      </c>
      <c r="H244" s="199">
        <f t="shared" si="58"/>
        <v>965270</v>
      </c>
      <c r="I244" s="170"/>
      <c r="J244" s="170"/>
    </row>
    <row r="245" spans="1:10" ht="14.25">
      <c r="A245" s="295">
        <f t="shared" si="57"/>
        <v>2011</v>
      </c>
      <c r="B245" s="295"/>
      <c r="C245" s="167"/>
      <c r="D245" s="199">
        <f>'Rate Class Load Model'!B9</f>
        <v>848381</v>
      </c>
      <c r="E245" s="199">
        <f>'Rate Class Load Model'!C9</f>
        <v>121779</v>
      </c>
      <c r="F245" s="199">
        <f>'Rate Class Load Model'!D9</f>
        <v>16448</v>
      </c>
      <c r="G245" s="199">
        <f>'Rate Class Load Model'!E9</f>
        <v>2129</v>
      </c>
      <c r="H245" s="199">
        <f t="shared" si="58"/>
        <v>988737</v>
      </c>
      <c r="I245" s="170"/>
      <c r="J245" s="170"/>
    </row>
    <row r="247" spans="1:7" ht="15">
      <c r="A247" s="297" t="s">
        <v>223</v>
      </c>
      <c r="B247" s="297"/>
      <c r="C247" s="297"/>
      <c r="D247" s="297"/>
      <c r="E247" s="297"/>
      <c r="F247" s="297"/>
      <c r="G247" s="297"/>
    </row>
    <row r="248" spans="1:7" ht="45">
      <c r="A248" s="298" t="s">
        <v>133</v>
      </c>
      <c r="B248" s="298"/>
      <c r="C248" s="197"/>
      <c r="D248" s="134" t="str">
        <f>D236</f>
        <v>General Service
&gt; 50 kW</v>
      </c>
      <c r="E248" s="134" t="str">
        <f>E236</f>
        <v>Large User</v>
      </c>
      <c r="F248" s="134" t="str">
        <f>F236</f>
        <v>Street Lighting </v>
      </c>
      <c r="G248" s="134" t="str">
        <f>G236</f>
        <v>Sentinel Lighting</v>
      </c>
    </row>
    <row r="249" spans="1:7" ht="15">
      <c r="A249" s="297" t="s">
        <v>188</v>
      </c>
      <c r="B249" s="297"/>
      <c r="C249" s="297"/>
      <c r="D249" s="297"/>
      <c r="E249" s="297"/>
      <c r="F249" s="297"/>
      <c r="G249" s="297"/>
    </row>
    <row r="250" spans="1:7" ht="14.25">
      <c r="A250" s="295">
        <f aca="true" t="shared" si="59" ref="A250:A257">A238</f>
        <v>2004</v>
      </c>
      <c r="B250" s="295"/>
      <c r="C250" s="167"/>
      <c r="D250" s="230">
        <f>'Rate Class Load Model'!B14</f>
        <v>0.0024589369788747552</v>
      </c>
      <c r="E250" s="230">
        <f>'Rate Class Load Model'!C14</f>
        <v>0.0021043057548190565</v>
      </c>
      <c r="F250" s="230">
        <f>'Rate Class Load Model'!D14</f>
        <v>0.0027670741585238525</v>
      </c>
      <c r="G250" s="230">
        <f>'Rate Class Load Model'!E14</f>
        <v>0.0026022187130198006</v>
      </c>
    </row>
    <row r="251" spans="1:7" ht="14.25">
      <c r="A251" s="295">
        <f t="shared" si="59"/>
        <v>2005</v>
      </c>
      <c r="B251" s="295"/>
      <c r="C251" s="167"/>
      <c r="D251" s="230">
        <f>'Rate Class Load Model'!B15</f>
        <v>0.0023109444321312797</v>
      </c>
      <c r="E251" s="230">
        <f>'Rate Class Load Model'!C15</f>
        <v>0.002045663520002754</v>
      </c>
      <c r="F251" s="230">
        <f>'Rate Class Load Model'!D15</f>
        <v>0.0027340699701382423</v>
      </c>
      <c r="G251" s="230">
        <f>'Rate Class Load Model'!E15</f>
        <v>0.0028138834797841964</v>
      </c>
    </row>
    <row r="252" spans="1:7" ht="14.25">
      <c r="A252" s="295">
        <f t="shared" si="59"/>
        <v>2006</v>
      </c>
      <c r="B252" s="295"/>
      <c r="C252" s="167"/>
      <c r="D252" s="230">
        <f>'Rate Class Load Model'!B16</f>
        <v>0.002461953271379204</v>
      </c>
      <c r="E252" s="230">
        <f>'Rate Class Load Model'!C16</f>
        <v>0.0020436509539654268</v>
      </c>
      <c r="F252" s="230">
        <f>'Rate Class Load Model'!D16</f>
        <v>0.002636739062935912</v>
      </c>
      <c r="G252" s="230">
        <f>'Rate Class Load Model'!E16</f>
        <v>0.003687015393060543</v>
      </c>
    </row>
    <row r="253" spans="1:7" ht="14.25">
      <c r="A253" s="295">
        <f t="shared" si="59"/>
        <v>2007</v>
      </c>
      <c r="B253" s="295"/>
      <c r="C253" s="167"/>
      <c r="D253" s="230">
        <f>'Rate Class Load Model'!B17</f>
        <v>0.0024941741434585316</v>
      </c>
      <c r="E253" s="230">
        <f>'Rate Class Load Model'!C17</f>
        <v>0.0020280661496199373</v>
      </c>
      <c r="F253" s="230">
        <f>'Rate Class Load Model'!D17</f>
        <v>0.002114451758719382</v>
      </c>
      <c r="G253" s="230">
        <f>'Rate Class Load Model'!E17</f>
        <v>0.001967410088823903</v>
      </c>
    </row>
    <row r="254" spans="1:7" ht="14.25">
      <c r="A254" s="295">
        <f t="shared" si="59"/>
        <v>2008</v>
      </c>
      <c r="B254" s="295"/>
      <c r="C254" s="167"/>
      <c r="D254" s="230">
        <f>'Rate Class Load Model'!B18</f>
        <v>0.002485985122331243</v>
      </c>
      <c r="E254" s="230">
        <f>'Rate Class Load Model'!C18</f>
        <v>0.0021237201382176924</v>
      </c>
      <c r="F254" s="230">
        <f>'Rate Class Load Model'!D18</f>
        <v>0.0029274517430508255</v>
      </c>
      <c r="G254" s="230">
        <f>'Rate Class Load Model'!E18</f>
        <v>0.003848316026175497</v>
      </c>
    </row>
    <row r="255" spans="1:7" ht="14.25">
      <c r="A255" s="295">
        <f t="shared" si="59"/>
        <v>2009</v>
      </c>
      <c r="B255" s="295"/>
      <c r="C255" s="167"/>
      <c r="D255" s="230">
        <f>'Rate Class Load Model'!B19</f>
        <v>0.0025057399882979824</v>
      </c>
      <c r="E255" s="230">
        <f>'Rate Class Load Model'!C19</f>
        <v>0.0021700153959418106</v>
      </c>
      <c r="F255" s="230">
        <f>'Rate Class Load Model'!D19</f>
        <v>0.0029393507110741356</v>
      </c>
      <c r="G255" s="230">
        <f>'Rate Class Load Model'!E19</f>
        <v>0.0024057114301427106</v>
      </c>
    </row>
    <row r="256" spans="1:7" ht="14.25">
      <c r="A256" s="295">
        <f t="shared" si="59"/>
        <v>2010</v>
      </c>
      <c r="B256" s="295"/>
      <c r="C256" s="167"/>
      <c r="D256" s="230">
        <f>'Rate Class Load Model'!B20</f>
        <v>0.0024902753515843716</v>
      </c>
      <c r="E256" s="230">
        <f>'Rate Class Load Model'!C20</f>
        <v>0.002191443948322557</v>
      </c>
      <c r="F256" s="230">
        <f>'Rate Class Load Model'!D20</f>
        <v>0.002935842139546016</v>
      </c>
      <c r="G256" s="230">
        <f>'Rate Class Load Model'!E20</f>
        <v>0.002756756208407726</v>
      </c>
    </row>
    <row r="257" spans="1:7" ht="14.25">
      <c r="A257" s="295">
        <f t="shared" si="59"/>
        <v>2011</v>
      </c>
      <c r="B257" s="295"/>
      <c r="C257" s="167"/>
      <c r="D257" s="230">
        <f>'Rate Class Load Model'!B21</f>
        <v>0.0024552081248603737</v>
      </c>
      <c r="E257" s="230">
        <f>'Rate Class Load Model'!C21</f>
        <v>0.0021492227605088778</v>
      </c>
      <c r="F257" s="230">
        <f>'Rate Class Load Model'!D21</f>
        <v>0.0029297055902373545</v>
      </c>
      <c r="G257" s="230">
        <f>'Rate Class Load Model'!E21</f>
        <v>0.0027703246055312803</v>
      </c>
    </row>
    <row r="258" spans="1:7" ht="15">
      <c r="A258" s="294" t="s">
        <v>226</v>
      </c>
      <c r="B258" s="294"/>
      <c r="C258" s="136"/>
      <c r="D258" s="231">
        <f>'Rate Class Load Model'!B23</f>
        <v>0.0024579021766147173</v>
      </c>
      <c r="E258" s="231">
        <f>'Rate Class Load Model'!C23</f>
        <v>0.0021070110776747644</v>
      </c>
      <c r="F258" s="231">
        <f>'Rate Class Load Model'!D23</f>
        <v>0.0027480856417782147</v>
      </c>
      <c r="G258" s="231">
        <f>'Rate Class Load Model'!E23</f>
        <v>0.002856454493118207</v>
      </c>
    </row>
    <row r="260" spans="1:8" ht="15">
      <c r="A260" s="294" t="s">
        <v>224</v>
      </c>
      <c r="B260" s="294"/>
      <c r="C260" s="294"/>
      <c r="D260" s="294"/>
      <c r="E260" s="294"/>
      <c r="F260" s="294"/>
      <c r="G260" s="294"/>
      <c r="H260" s="294"/>
    </row>
    <row r="261" spans="1:8" ht="45">
      <c r="A261" s="296" t="s">
        <v>133</v>
      </c>
      <c r="B261" s="296"/>
      <c r="C261" s="197"/>
      <c r="D261" s="134" t="str">
        <f>D236</f>
        <v>General Service
&gt; 50 kW</v>
      </c>
      <c r="E261" s="134" t="str">
        <f>E236</f>
        <v>Large User</v>
      </c>
      <c r="F261" s="134" t="str">
        <f>F236</f>
        <v>Street Lighting </v>
      </c>
      <c r="G261" s="134" t="str">
        <f>G236</f>
        <v>Sentinel Lighting</v>
      </c>
      <c r="H261" s="134" t="str">
        <f>H236</f>
        <v>Total</v>
      </c>
    </row>
    <row r="262" spans="1:8" ht="15">
      <c r="A262" s="294" t="s">
        <v>189</v>
      </c>
      <c r="B262" s="294"/>
      <c r="C262" s="294"/>
      <c r="D262" s="294"/>
      <c r="E262" s="294"/>
      <c r="F262" s="294"/>
      <c r="G262" s="294"/>
      <c r="H262" s="294"/>
    </row>
    <row r="263" spans="1:14" ht="15">
      <c r="A263" s="136" t="s">
        <v>185</v>
      </c>
      <c r="B263" s="167"/>
      <c r="C263" s="167"/>
      <c r="D263" s="205">
        <f>D258*F232*1000000</f>
        <v>856760.2539054025</v>
      </c>
      <c r="E263" s="205">
        <f>E258*G232*1000000</f>
        <v>116438.73303084826</v>
      </c>
      <c r="F263" s="205">
        <f>F258*H232*1000000</f>
        <v>15150.407807567133</v>
      </c>
      <c r="G263" s="205">
        <f>G258*I232*1000000</f>
        <v>2091.7093913212893</v>
      </c>
      <c r="H263" s="205">
        <f>SUM(D263:G263)</f>
        <v>990441.1041351391</v>
      </c>
      <c r="I263" s="170"/>
      <c r="J263" s="170"/>
      <c r="K263" s="170"/>
      <c r="L263" s="170"/>
      <c r="M263" s="170"/>
      <c r="N263" s="170"/>
    </row>
    <row r="264" spans="1:14" ht="15">
      <c r="A264" s="136" t="s">
        <v>186</v>
      </c>
      <c r="B264" s="167"/>
      <c r="C264" s="167"/>
      <c r="D264" s="205">
        <f>D258*F233*1000000</f>
        <v>862024.6489006507</v>
      </c>
      <c r="E264" s="205">
        <f>E258*G233*1000000</f>
        <v>113561.28526437032</v>
      </c>
      <c r="F264" s="205">
        <f>F258*H233*1000000</f>
        <v>14877.241516368764</v>
      </c>
      <c r="G264" s="205">
        <f>G258*I233*1000000</f>
        <v>1993.0744824214523</v>
      </c>
      <c r="H264" s="205">
        <f>SUM(D264:G264)</f>
        <v>992456.2501638113</v>
      </c>
      <c r="I264" s="170"/>
      <c r="J264" s="170"/>
      <c r="K264" s="170"/>
      <c r="L264" s="170"/>
      <c r="M264" s="170"/>
      <c r="N264" s="170"/>
    </row>
    <row r="265" spans="1:7" ht="15">
      <c r="A265" s="132"/>
      <c r="B265" s="232"/>
      <c r="C265" s="232"/>
      <c r="D265" s="233"/>
      <c r="E265" s="233"/>
      <c r="F265" s="233"/>
      <c r="G265" s="233"/>
    </row>
    <row r="266" spans="1:10" ht="15">
      <c r="A266" s="275" t="s">
        <v>225</v>
      </c>
      <c r="B266" s="276"/>
      <c r="C266" s="276"/>
      <c r="D266" s="276"/>
      <c r="E266" s="276"/>
      <c r="F266" s="276"/>
      <c r="G266" s="276"/>
      <c r="H266" s="276"/>
      <c r="I266" s="277"/>
      <c r="J266" s="132"/>
    </row>
    <row r="267" spans="1:9" ht="60">
      <c r="A267" s="292"/>
      <c r="B267" s="293"/>
      <c r="C267" s="197"/>
      <c r="D267" s="234" t="s">
        <v>141</v>
      </c>
      <c r="E267" s="234" t="s">
        <v>190</v>
      </c>
      <c r="F267" s="234" t="s">
        <v>191</v>
      </c>
      <c r="G267" s="234" t="s">
        <v>192</v>
      </c>
      <c r="H267" s="156" t="s">
        <v>193</v>
      </c>
      <c r="I267" s="156" t="s">
        <v>194</v>
      </c>
    </row>
    <row r="268" spans="1:10" ht="14.25">
      <c r="A268" s="282"/>
      <c r="B268" s="284"/>
      <c r="C268" s="167"/>
      <c r="D268" s="168"/>
      <c r="E268" s="168"/>
      <c r="F268" s="168"/>
      <c r="G268" s="168"/>
      <c r="H268" s="168"/>
      <c r="I268" s="160"/>
      <c r="J268" s="202"/>
    </row>
    <row r="269" spans="1:10" ht="15">
      <c r="A269" s="275" t="s">
        <v>195</v>
      </c>
      <c r="B269" s="276"/>
      <c r="C269" s="276"/>
      <c r="D269" s="276"/>
      <c r="E269" s="276"/>
      <c r="F269" s="276"/>
      <c r="G269" s="276"/>
      <c r="H269" s="276"/>
      <c r="I269" s="277"/>
      <c r="J269" s="132"/>
    </row>
    <row r="270" spans="1:10" ht="14.25">
      <c r="A270" s="167" t="s">
        <v>57</v>
      </c>
      <c r="B270" s="167"/>
      <c r="C270" s="167"/>
      <c r="D270" s="168"/>
      <c r="E270" s="168">
        <f>Summary!G4</f>
        <v>834049383.1</v>
      </c>
      <c r="F270" s="168">
        <f>Summary!H4</f>
        <v>838046263</v>
      </c>
      <c r="G270" s="168">
        <f>Summary!I4</f>
        <v>848819242</v>
      </c>
      <c r="H270" s="168"/>
      <c r="J270" s="235"/>
    </row>
    <row r="271" spans="1:10" ht="14.25">
      <c r="A271" s="167" t="s">
        <v>58</v>
      </c>
      <c r="B271" s="167"/>
      <c r="C271" s="167"/>
      <c r="D271" s="168"/>
      <c r="E271" s="168">
        <f>Summary!G5</f>
        <v>838345000.8491421</v>
      </c>
      <c r="F271" s="168">
        <f>Summary!H5</f>
        <v>842918314.4571482</v>
      </c>
      <c r="G271" s="168">
        <f>Summary!I5</f>
        <v>852551619.8516409</v>
      </c>
      <c r="H271" s="168">
        <f>Summary!J5</f>
        <v>859746440.0202109</v>
      </c>
      <c r="I271" s="168">
        <f>Summary!K5</f>
        <v>866587550.4760334</v>
      </c>
      <c r="J271" s="235"/>
    </row>
    <row r="272" spans="1:10" ht="15">
      <c r="A272" s="236" t="s">
        <v>196</v>
      </c>
      <c r="B272" s="236"/>
      <c r="C272" s="173"/>
      <c r="D272" s="237"/>
      <c r="E272" s="238">
        <f>E271/E270-1</f>
        <v>0.0051503158400239</v>
      </c>
      <c r="F272" s="238">
        <f>F271/F270-1</f>
        <v>0.005813582939571127</v>
      </c>
      <c r="G272" s="238">
        <f>G271/G270-1</f>
        <v>0.004397140954117251</v>
      </c>
      <c r="H272" s="160"/>
      <c r="J272" s="202"/>
    </row>
    <row r="273" spans="1:10" ht="12.75" customHeight="1">
      <c r="A273" s="282"/>
      <c r="B273" s="284"/>
      <c r="C273" s="167"/>
      <c r="D273" s="187"/>
      <c r="E273" s="238"/>
      <c r="F273" s="171"/>
      <c r="G273" s="171"/>
      <c r="H273" s="171"/>
      <c r="I273" s="160"/>
      <c r="J273" s="202"/>
    </row>
    <row r="274" spans="1:10" ht="15">
      <c r="A274" s="275" t="s">
        <v>197</v>
      </c>
      <c r="B274" s="276"/>
      <c r="C274" s="276"/>
      <c r="D274" s="276"/>
      <c r="E274" s="276"/>
      <c r="F274" s="276"/>
      <c r="G274" s="276"/>
      <c r="H274" s="276"/>
      <c r="I274" s="277"/>
      <c r="J274" s="132"/>
    </row>
    <row r="275" spans="1:10" ht="14.25">
      <c r="A275" s="239" t="s">
        <v>198</v>
      </c>
      <c r="B275" s="167"/>
      <c r="C275" s="167"/>
      <c r="D275" s="168"/>
      <c r="E275" s="168"/>
      <c r="F275" s="240"/>
      <c r="G275" s="240"/>
      <c r="H275" s="240"/>
      <c r="I275" s="160"/>
      <c r="J275" s="202"/>
    </row>
    <row r="276" spans="1:10" ht="14.25">
      <c r="A276" s="167" t="s">
        <v>48</v>
      </c>
      <c r="B276" s="167"/>
      <c r="C276" s="167"/>
      <c r="D276" s="168">
        <v>30883</v>
      </c>
      <c r="E276" s="168">
        <f>Summary!G12</f>
        <v>30524.166666666668</v>
      </c>
      <c r="F276" s="168">
        <f>Summary!H12</f>
        <v>30790.5</v>
      </c>
      <c r="G276" s="168">
        <f>Summary!I12</f>
        <v>31134.916666666668</v>
      </c>
      <c r="H276" s="168">
        <f>Summary!J12</f>
        <v>31445.159759078786</v>
      </c>
      <c r="I276" s="168">
        <f>Summary!K12</f>
        <v>31758.494260965992</v>
      </c>
      <c r="J276" s="235"/>
    </row>
    <row r="277" spans="1:10" ht="14.25">
      <c r="A277" s="286" t="s">
        <v>49</v>
      </c>
      <c r="B277" s="287"/>
      <c r="C277" s="167"/>
      <c r="D277" s="168">
        <v>301495708</v>
      </c>
      <c r="E277" s="168">
        <f>Summary!G13</f>
        <v>284464847</v>
      </c>
      <c r="F277" s="168">
        <f>Summary!H13</f>
        <v>287709082</v>
      </c>
      <c r="G277" s="168">
        <f>Summary!I13</f>
        <v>293541684</v>
      </c>
      <c r="H277" s="168">
        <f>Summary!J13</f>
        <v>294333518.3800358</v>
      </c>
      <c r="I277" s="168">
        <f>Summary!K13</f>
        <v>294240107.23884034</v>
      </c>
      <c r="J277" s="235"/>
    </row>
    <row r="278" spans="1:10" ht="14.25">
      <c r="A278" s="282"/>
      <c r="B278" s="284"/>
      <c r="C278" s="167"/>
      <c r="D278" s="168"/>
      <c r="E278" s="168"/>
      <c r="F278" s="240"/>
      <c r="G278" s="240"/>
      <c r="H278" s="240"/>
      <c r="I278" s="160"/>
      <c r="J278" s="202"/>
    </row>
    <row r="279" spans="1:10" ht="14.25">
      <c r="A279" s="290" t="str">
        <f>Summary!A15</f>
        <v>General Service
&lt; 50 kW</v>
      </c>
      <c r="B279" s="291"/>
      <c r="C279" s="167"/>
      <c r="D279" s="168"/>
      <c r="E279" s="168"/>
      <c r="F279" s="240"/>
      <c r="G279" s="240"/>
      <c r="H279" s="240"/>
      <c r="I279" s="160"/>
      <c r="J279" s="202"/>
    </row>
    <row r="280" spans="1:10" ht="14.25">
      <c r="A280" s="167" t="s">
        <v>48</v>
      </c>
      <c r="B280" s="167"/>
      <c r="C280" s="167"/>
      <c r="D280" s="168">
        <v>3638</v>
      </c>
      <c r="E280" s="168">
        <f>Summary!G16</f>
        <v>3619.0833333333335</v>
      </c>
      <c r="F280" s="168">
        <f>Summary!H16</f>
        <v>3599.5833333333335</v>
      </c>
      <c r="G280" s="168">
        <f>Summary!I16</f>
        <v>3569.5833333333335</v>
      </c>
      <c r="H280" s="168">
        <f>Summary!J16</f>
        <v>3558.18276593255</v>
      </c>
      <c r="I280" s="168">
        <f>Summary!K16</f>
        <v>3546.8186097666144</v>
      </c>
      <c r="J280" s="235"/>
    </row>
    <row r="281" spans="1:10" ht="14.25">
      <c r="A281" s="286" t="s">
        <v>49</v>
      </c>
      <c r="B281" s="287"/>
      <c r="C281" s="167"/>
      <c r="D281" s="168">
        <v>121412816</v>
      </c>
      <c r="E281" s="168">
        <f>Summary!G17</f>
        <v>117206107</v>
      </c>
      <c r="F281" s="168">
        <f>Summary!H17</f>
        <v>117506264</v>
      </c>
      <c r="G281" s="168">
        <f>Summary!I17</f>
        <v>114708317</v>
      </c>
      <c r="H281" s="168">
        <f>Summary!J17</f>
        <v>113597003.56461161</v>
      </c>
      <c r="I281" s="168">
        <f>Summary!K17</f>
        <v>112158205.35641587</v>
      </c>
      <c r="J281" s="235"/>
    </row>
    <row r="282" spans="1:10" ht="14.25">
      <c r="A282" s="282"/>
      <c r="B282" s="284"/>
      <c r="C282" s="167"/>
      <c r="D282" s="168"/>
      <c r="E282" s="168"/>
      <c r="F282" s="240"/>
      <c r="G282" s="240"/>
      <c r="H282" s="240"/>
      <c r="I282" s="160"/>
      <c r="J282" s="202"/>
    </row>
    <row r="283" spans="1:10" ht="14.25">
      <c r="A283" s="290" t="str">
        <f>Summary!A19</f>
        <v>General Service
&gt; 50 kW</v>
      </c>
      <c r="B283" s="291"/>
      <c r="C283" s="167"/>
      <c r="D283" s="168"/>
      <c r="E283" s="168"/>
      <c r="F283" s="240"/>
      <c r="G283" s="240"/>
      <c r="H283" s="240"/>
      <c r="I283" s="160"/>
      <c r="J283" s="202"/>
    </row>
    <row r="284" spans="1:10" ht="14.25">
      <c r="A284" s="167" t="s">
        <v>48</v>
      </c>
      <c r="B284" s="167"/>
      <c r="C284" s="167"/>
      <c r="D284" s="168">
        <v>368</v>
      </c>
      <c r="E284" s="168">
        <f>Summary!G20</f>
        <v>363</v>
      </c>
      <c r="F284" s="168">
        <f>Summary!H20</f>
        <v>372</v>
      </c>
      <c r="G284" s="168">
        <f>Summary!I20</f>
        <v>388.75</v>
      </c>
      <c r="H284" s="168">
        <f>Summary!J20</f>
        <v>389.4092105970397</v>
      </c>
      <c r="I284" s="168">
        <f>Summary!K20</f>
        <v>390.0695390297354</v>
      </c>
      <c r="J284" s="235"/>
    </row>
    <row r="285" spans="1:10" ht="14.25">
      <c r="A285" s="286" t="s">
        <v>49</v>
      </c>
      <c r="B285" s="287"/>
      <c r="C285" s="167"/>
      <c r="D285" s="168">
        <v>297624170</v>
      </c>
      <c r="E285" s="168">
        <f>Summary!G21</f>
        <v>327169221</v>
      </c>
      <c r="F285" s="168">
        <f>Summary!H21</f>
        <v>331296296</v>
      </c>
      <c r="G285" s="168">
        <f>Summary!I21</f>
        <v>345543415</v>
      </c>
      <c r="H285" s="168">
        <f>Summary!J21</f>
        <v>348573780.5421628</v>
      </c>
      <c r="I285" s="168">
        <f>Summary!K21</f>
        <v>350715604.9993504</v>
      </c>
      <c r="J285" s="235"/>
    </row>
    <row r="286" spans="1:10" ht="14.25">
      <c r="A286" s="286" t="s">
        <v>50</v>
      </c>
      <c r="B286" s="287"/>
      <c r="C286" s="167"/>
      <c r="D286" s="168">
        <v>731891</v>
      </c>
      <c r="E286" s="168">
        <f>Summary!G22</f>
        <v>819801</v>
      </c>
      <c r="F286" s="168">
        <f>Summary!H22</f>
        <v>825019</v>
      </c>
      <c r="G286" s="168">
        <f>Summary!I22</f>
        <v>848381</v>
      </c>
      <c r="H286" s="168">
        <f>Summary!J22</f>
        <v>856760.2539054027</v>
      </c>
      <c r="I286" s="168">
        <f>Summary!K22</f>
        <v>862024.6489006508</v>
      </c>
      <c r="J286" s="235"/>
    </row>
    <row r="287" spans="1:10" ht="14.25">
      <c r="A287" s="282"/>
      <c r="B287" s="284"/>
      <c r="C287" s="167"/>
      <c r="D287" s="168"/>
      <c r="E287" s="168"/>
      <c r="F287" s="168"/>
      <c r="G287" s="168"/>
      <c r="H287" s="168"/>
      <c r="I287" s="160"/>
      <c r="J287" s="202"/>
    </row>
    <row r="288" spans="1:10" ht="14.25">
      <c r="A288" s="290" t="str">
        <f>Summary!A24</f>
        <v>Large User</v>
      </c>
      <c r="B288" s="291"/>
      <c r="C288" s="167"/>
      <c r="D288" s="168">
        <v>2</v>
      </c>
      <c r="E288" s="168">
        <f>Summary!G25</f>
        <v>2</v>
      </c>
      <c r="F288" s="168">
        <f>Summary!H25</f>
        <v>2</v>
      </c>
      <c r="G288" s="168">
        <f>Summary!I25</f>
        <v>2</v>
      </c>
      <c r="H288" s="168">
        <f>Summary!J25</f>
        <v>2</v>
      </c>
      <c r="I288" s="168">
        <f>Summary!K25</f>
        <v>2</v>
      </c>
      <c r="J288" s="202"/>
    </row>
    <row r="289" spans="1:10" ht="14.25">
      <c r="A289" s="167" t="s">
        <v>48</v>
      </c>
      <c r="B289" s="167"/>
      <c r="C289" s="167"/>
      <c r="D289" s="168">
        <v>63699061</v>
      </c>
      <c r="E289" s="168">
        <f>Summary!G26</f>
        <v>58518018</v>
      </c>
      <c r="F289" s="168">
        <f>Summary!H26</f>
        <v>55529141</v>
      </c>
      <c r="G289" s="168">
        <f>Summary!I26</f>
        <v>56661879</v>
      </c>
      <c r="H289" s="168">
        <f>Summary!J26</f>
        <v>55262515.82851032</v>
      </c>
      <c r="I289" s="168">
        <f>Summary!K26</f>
        <v>53896861.989778064</v>
      </c>
      <c r="J289" s="202"/>
    </row>
    <row r="290" spans="1:10" ht="14.25">
      <c r="A290" s="286" t="s">
        <v>49</v>
      </c>
      <c r="B290" s="287"/>
      <c r="C290" s="167"/>
      <c r="D290" s="168">
        <v>128427</v>
      </c>
      <c r="E290" s="168">
        <f>Summary!G27</f>
        <v>126985</v>
      </c>
      <c r="F290" s="168">
        <f>Summary!H27</f>
        <v>121689</v>
      </c>
      <c r="G290" s="168">
        <f>Summary!I27</f>
        <v>121779</v>
      </c>
      <c r="H290" s="168">
        <f>Summary!J27</f>
        <v>116438.73303084826</v>
      </c>
      <c r="I290" s="168">
        <f>Summary!K27</f>
        <v>113561.28526437032</v>
      </c>
      <c r="J290" s="202"/>
    </row>
    <row r="291" spans="1:10" ht="14.25">
      <c r="A291" s="286" t="s">
        <v>50</v>
      </c>
      <c r="B291" s="287"/>
      <c r="C291" s="167"/>
      <c r="D291" s="168"/>
      <c r="E291" s="168"/>
      <c r="F291" s="168"/>
      <c r="G291" s="168"/>
      <c r="H291" s="168"/>
      <c r="I291" s="160"/>
      <c r="J291" s="202"/>
    </row>
    <row r="292" spans="1:10" ht="14.25">
      <c r="A292" s="282"/>
      <c r="B292" s="284"/>
      <c r="C292" s="167"/>
      <c r="D292" s="168"/>
      <c r="E292" s="168"/>
      <c r="F292" s="168"/>
      <c r="G292" s="168"/>
      <c r="H292" s="168"/>
      <c r="I292" s="160"/>
      <c r="J292" s="202"/>
    </row>
    <row r="293" spans="1:10" ht="14.25">
      <c r="A293" s="290" t="s">
        <v>200</v>
      </c>
      <c r="B293" s="291"/>
      <c r="C293" s="167"/>
      <c r="D293" s="168"/>
      <c r="E293" s="168"/>
      <c r="F293" s="168"/>
      <c r="G293" s="168"/>
      <c r="H293" s="168"/>
      <c r="I293" s="160"/>
      <c r="J293" s="202"/>
    </row>
    <row r="294" spans="1:10" ht="14.25">
      <c r="A294" s="167" t="s">
        <v>68</v>
      </c>
      <c r="B294" s="167"/>
      <c r="C294" s="167"/>
      <c r="D294" s="168">
        <v>401</v>
      </c>
      <c r="E294" s="168">
        <f>Summary!G35</f>
        <v>425.1666666666667</v>
      </c>
      <c r="F294" s="168">
        <f>Summary!H35</f>
        <v>422.5</v>
      </c>
      <c r="G294" s="168">
        <f>Summary!I35</f>
        <v>415.5</v>
      </c>
      <c r="H294" s="168">
        <f>Summary!J35</f>
        <v>387.2042202260511</v>
      </c>
      <c r="I294" s="168">
        <f>Summary!K35</f>
        <v>360.8353987024411</v>
      </c>
      <c r="J294" s="235"/>
    </row>
    <row r="295" spans="1:10" ht="14.25">
      <c r="A295" s="286" t="s">
        <v>49</v>
      </c>
      <c r="B295" s="287"/>
      <c r="C295" s="167"/>
      <c r="D295" s="168">
        <v>659151</v>
      </c>
      <c r="E295" s="168">
        <f>Summary!G36</f>
        <v>796438</v>
      </c>
      <c r="F295" s="168">
        <f>Summary!H36</f>
        <v>788608</v>
      </c>
      <c r="G295" s="168">
        <f>Summary!I36</f>
        <v>768502</v>
      </c>
      <c r="H295" s="168">
        <f>Summary!J36</f>
        <v>732274.7120112196</v>
      </c>
      <c r="I295" s="168">
        <f>Summary!K36</f>
        <v>697744.1745433661</v>
      </c>
      <c r="J295" s="235"/>
    </row>
    <row r="296" spans="1:10" ht="14.25">
      <c r="A296" s="286" t="s">
        <v>50</v>
      </c>
      <c r="B296" s="287"/>
      <c r="C296" s="167"/>
      <c r="D296" s="168">
        <v>1795</v>
      </c>
      <c r="E296" s="168">
        <f>Summary!G37</f>
        <v>1916</v>
      </c>
      <c r="F296" s="168">
        <f>Summary!H37</f>
        <v>2174</v>
      </c>
      <c r="G296" s="168">
        <f>Summary!I37</f>
        <v>2129</v>
      </c>
      <c r="H296" s="168">
        <f>Summary!J37</f>
        <v>2091.7093913212893</v>
      </c>
      <c r="I296" s="168">
        <f>Summary!K37</f>
        <v>1993.0744824214523</v>
      </c>
      <c r="J296" s="235"/>
    </row>
    <row r="297" spans="1:10" ht="14.25">
      <c r="A297" s="282"/>
      <c r="B297" s="284"/>
      <c r="C297" s="167"/>
      <c r="D297" s="168"/>
      <c r="E297" s="168"/>
      <c r="F297" s="168"/>
      <c r="G297" s="168"/>
      <c r="H297" s="168"/>
      <c r="I297" s="160"/>
      <c r="J297" s="202"/>
    </row>
    <row r="298" spans="1:10" ht="14.25">
      <c r="A298" s="239" t="s">
        <v>146</v>
      </c>
      <c r="B298" s="167"/>
      <c r="C298" s="167"/>
      <c r="D298" s="168"/>
      <c r="E298" s="168"/>
      <c r="F298" s="240"/>
      <c r="G298" s="240"/>
      <c r="H298" s="240"/>
      <c r="I298" s="160"/>
      <c r="J298" s="202"/>
    </row>
    <row r="299" spans="1:10" ht="14.25">
      <c r="A299" s="167" t="str">
        <f>A294</f>
        <v>  Connections</v>
      </c>
      <c r="B299" s="167"/>
      <c r="C299" s="167"/>
      <c r="D299" s="168">
        <v>8540</v>
      </c>
      <c r="E299" s="168">
        <f>Summary!G30</f>
        <v>8002.333333333333</v>
      </c>
      <c r="F299" s="168">
        <f>Summary!H30</f>
        <v>8064.166666666667</v>
      </c>
      <c r="G299" s="168">
        <f>Summary!I30</f>
        <v>8130.75</v>
      </c>
      <c r="H299" s="168">
        <f>Summary!J30</f>
        <v>8140.1744972835795</v>
      </c>
      <c r="I299" s="168">
        <f>Summary!K30</f>
        <v>8149.609918669985</v>
      </c>
      <c r="J299" s="235"/>
    </row>
    <row r="300" spans="1:10" ht="14.25">
      <c r="A300" s="286" t="s">
        <v>49</v>
      </c>
      <c r="B300" s="287"/>
      <c r="C300" s="167"/>
      <c r="D300" s="168">
        <v>6261525</v>
      </c>
      <c r="E300" s="168">
        <f>Summary!G31</f>
        <v>5539999</v>
      </c>
      <c r="F300" s="168">
        <f>Summary!H31</f>
        <v>5582044</v>
      </c>
      <c r="G300" s="168">
        <f>Summary!I31</f>
        <v>5614216</v>
      </c>
      <c r="H300" s="168">
        <f>Summary!J31</f>
        <v>5513077.022506365</v>
      </c>
      <c r="I300" s="168">
        <f>Summary!K31</f>
        <v>5413674.628692462</v>
      </c>
      <c r="J300" s="235"/>
    </row>
    <row r="301" spans="1:10" ht="14.25">
      <c r="A301" s="286" t="s">
        <v>50</v>
      </c>
      <c r="B301" s="287"/>
      <c r="C301" s="167"/>
      <c r="D301" s="168">
        <v>17527</v>
      </c>
      <c r="E301" s="168">
        <f>Summary!G32</f>
        <v>16284</v>
      </c>
      <c r="F301" s="168">
        <f>Summary!H32</f>
        <v>16388</v>
      </c>
      <c r="G301" s="168">
        <f>Summary!I32</f>
        <v>16448</v>
      </c>
      <c r="H301" s="168">
        <f>Summary!J32</f>
        <v>15150.407807567131</v>
      </c>
      <c r="I301" s="168">
        <f>Summary!K32</f>
        <v>14877.241516368764</v>
      </c>
      <c r="J301" s="235"/>
    </row>
    <row r="302" spans="1:10" ht="14.25">
      <c r="A302" s="282"/>
      <c r="B302" s="284"/>
      <c r="C302" s="167"/>
      <c r="D302" s="168"/>
      <c r="E302" s="168"/>
      <c r="F302" s="168"/>
      <c r="G302" s="168"/>
      <c r="H302" s="168"/>
      <c r="I302" s="160"/>
      <c r="J302" s="202"/>
    </row>
    <row r="303" spans="1:10" ht="14.25">
      <c r="A303" s="290" t="str">
        <f>Summary!A39</f>
        <v>Unmetered Scattered Loads </v>
      </c>
      <c r="B303" s="291"/>
      <c r="C303" s="167"/>
      <c r="D303" s="168"/>
      <c r="E303" s="168"/>
      <c r="F303" s="168"/>
      <c r="G303" s="168"/>
      <c r="H303" s="168"/>
      <c r="I303" s="160"/>
      <c r="J303" s="202"/>
    </row>
    <row r="304" spans="1:10" ht="14.25">
      <c r="A304" s="167" t="str">
        <f>A299</f>
        <v>  Connections</v>
      </c>
      <c r="B304" s="167"/>
      <c r="C304" s="167"/>
      <c r="D304" s="168">
        <v>9</v>
      </c>
      <c r="E304" s="168">
        <f>Summary!G40</f>
        <v>383</v>
      </c>
      <c r="F304" s="168">
        <f>Summary!H40</f>
        <v>383.0833333333333</v>
      </c>
      <c r="G304" s="168">
        <f>Summary!I40</f>
        <v>384</v>
      </c>
      <c r="H304" s="168">
        <f>Summary!J40</f>
        <v>384.20031309803426</v>
      </c>
      <c r="I304" s="168">
        <f>Summary!K40</f>
        <v>384.4007306891342</v>
      </c>
      <c r="J304" s="235"/>
    </row>
    <row r="305" spans="1:10" ht="14.25">
      <c r="A305" s="286" t="s">
        <v>49</v>
      </c>
      <c r="B305" s="287"/>
      <c r="C305" s="167"/>
      <c r="D305" s="168">
        <v>1909385</v>
      </c>
      <c r="E305" s="168">
        <f>Summary!G41</f>
        <v>1601817</v>
      </c>
      <c r="F305" s="168">
        <f>Summary!H41</f>
        <v>1565650</v>
      </c>
      <c r="G305" s="168">
        <f>Summary!I41</f>
        <v>1661205</v>
      </c>
      <c r="H305" s="168">
        <f>Summary!J41</f>
        <v>1646925.7997406481</v>
      </c>
      <c r="I305" s="168">
        <f>Summary!K41</f>
        <v>1632743.5782709413</v>
      </c>
      <c r="J305" s="235"/>
    </row>
    <row r="306" spans="1:10" ht="14.25">
      <c r="A306" s="282"/>
      <c r="B306" s="284"/>
      <c r="C306" s="167"/>
      <c r="D306" s="168"/>
      <c r="E306" s="168"/>
      <c r="F306" s="168"/>
      <c r="G306" s="168"/>
      <c r="H306" s="168"/>
      <c r="I306" s="168"/>
      <c r="J306" s="235"/>
    </row>
    <row r="307" spans="1:10" ht="14.25">
      <c r="A307" s="236" t="s">
        <v>56</v>
      </c>
      <c r="B307" s="167"/>
      <c r="C307" s="167"/>
      <c r="D307" s="242">
        <f aca="true" t="shared" si="60" ref="D307:I307">D276+D280+D284+D294+D299+D304+D288</f>
        <v>43841</v>
      </c>
      <c r="E307" s="242">
        <f t="shared" si="60"/>
        <v>43318.75</v>
      </c>
      <c r="F307" s="242">
        <f t="shared" si="60"/>
        <v>43633.833333333336</v>
      </c>
      <c r="G307" s="242">
        <f t="shared" si="60"/>
        <v>44025.5</v>
      </c>
      <c r="H307" s="242">
        <f t="shared" si="60"/>
        <v>44306.330766216044</v>
      </c>
      <c r="I307" s="242">
        <f t="shared" si="60"/>
        <v>44592.2284578239</v>
      </c>
      <c r="J307" s="243"/>
    </row>
    <row r="308" spans="1:10" ht="14.25">
      <c r="A308" s="288" t="s">
        <v>49</v>
      </c>
      <c r="B308" s="289"/>
      <c r="C308" s="167"/>
      <c r="D308" s="242">
        <f aca="true" t="shared" si="61" ref="D308:I308">D277+D281+D285+D295+D300+D305+D289</f>
        <v>793061816</v>
      </c>
      <c r="E308" s="242">
        <f t="shared" si="61"/>
        <v>795296447</v>
      </c>
      <c r="F308" s="242">
        <f t="shared" si="61"/>
        <v>799977085</v>
      </c>
      <c r="G308" s="242">
        <f t="shared" si="61"/>
        <v>818499218</v>
      </c>
      <c r="H308" s="242">
        <f t="shared" si="61"/>
        <v>819659095.8495787</v>
      </c>
      <c r="I308" s="242">
        <f t="shared" si="61"/>
        <v>818754941.9658915</v>
      </c>
      <c r="J308" s="243"/>
    </row>
    <row r="309" spans="1:10" ht="14.25">
      <c r="A309" s="288" t="s">
        <v>55</v>
      </c>
      <c r="B309" s="289"/>
      <c r="C309" s="167"/>
      <c r="D309" s="242">
        <f aca="true" t="shared" si="62" ref="D309:I309">D278+D282+D286+D296+D301+D306+D290</f>
        <v>879640</v>
      </c>
      <c r="E309" s="242">
        <f t="shared" si="62"/>
        <v>964986</v>
      </c>
      <c r="F309" s="242">
        <f t="shared" si="62"/>
        <v>965270</v>
      </c>
      <c r="G309" s="242">
        <f t="shared" si="62"/>
        <v>988737</v>
      </c>
      <c r="H309" s="242">
        <f t="shared" si="62"/>
        <v>990441.1041351394</v>
      </c>
      <c r="I309" s="242">
        <f t="shared" si="62"/>
        <v>992456.2501638115</v>
      </c>
      <c r="J309" s="243"/>
    </row>
    <row r="310" spans="1:10" ht="14.25">
      <c r="A310" s="244"/>
      <c r="B310" s="241"/>
      <c r="C310" s="138"/>
      <c r="D310" s="168"/>
      <c r="E310" s="168"/>
      <c r="F310" s="168"/>
      <c r="G310" s="168"/>
      <c r="H310" s="168"/>
      <c r="I310" s="160"/>
      <c r="J310" s="202"/>
    </row>
    <row r="311" spans="5:10" ht="12.75">
      <c r="E311" s="207"/>
      <c r="F311" s="207"/>
      <c r="G311" s="207"/>
      <c r="H311" s="207"/>
      <c r="I311" s="207"/>
      <c r="J311" s="207"/>
    </row>
    <row r="312" spans="4:10" ht="12.75">
      <c r="D312" s="207"/>
      <c r="E312" s="207"/>
      <c r="F312" s="207"/>
      <c r="G312" s="207"/>
      <c r="H312" s="207"/>
      <c r="I312" s="207"/>
      <c r="J312" s="207"/>
    </row>
    <row r="313" spans="5:10" ht="12.75">
      <c r="E313" s="207"/>
      <c r="F313" s="207"/>
      <c r="G313" s="207"/>
      <c r="H313" s="207"/>
      <c r="I313" s="207"/>
      <c r="J313" s="207"/>
    </row>
    <row r="314" spans="5:9" ht="12.75">
      <c r="E314" s="207"/>
      <c r="F314" s="207"/>
      <c r="G314" s="207"/>
      <c r="H314" s="207"/>
      <c r="I314" s="207"/>
    </row>
    <row r="315" spans="5:10" ht="12.75">
      <c r="E315" s="207"/>
      <c r="F315" s="207"/>
      <c r="G315" s="207"/>
      <c r="H315" s="207"/>
      <c r="I315" s="207"/>
      <c r="J315" s="207"/>
    </row>
    <row r="316" spans="5:10" ht="12.75">
      <c r="E316" s="207"/>
      <c r="F316" s="207"/>
      <c r="G316" s="207"/>
      <c r="H316" s="207"/>
      <c r="I316" s="207"/>
      <c r="J316" s="207"/>
    </row>
    <row r="317" spans="5:10" ht="12.75">
      <c r="E317" s="207"/>
      <c r="F317" s="207"/>
      <c r="G317" s="207"/>
      <c r="H317" s="207"/>
      <c r="I317" s="207"/>
      <c r="J317" s="207"/>
    </row>
    <row r="318" spans="5:9" ht="12.75">
      <c r="E318" s="207"/>
      <c r="F318" s="207"/>
      <c r="G318" s="207"/>
      <c r="H318" s="207"/>
      <c r="I318" s="207"/>
    </row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  <row r="590" ht="12.75"/>
    <row r="591" ht="12.75"/>
    <row r="592" ht="12.75"/>
    <row r="593" ht="12.75"/>
    <row r="594" ht="12.75"/>
    <row r="595" ht="12.75"/>
    <row r="596" ht="12.75"/>
    <row r="597" ht="12.75"/>
    <row r="598" ht="12.75"/>
    <row r="599" ht="12.75"/>
    <row r="600" ht="12.75"/>
    <row r="601" ht="12.75"/>
    <row r="602" ht="12.75"/>
    <row r="603" ht="12.75"/>
    <row r="604" ht="12.75"/>
    <row r="605" ht="12.75"/>
    <row r="606" ht="12.75"/>
    <row r="607" ht="12.75"/>
    <row r="608" ht="12.75"/>
    <row r="609" ht="12.75"/>
    <row r="610" ht="12.75"/>
    <row r="611" ht="12.75"/>
    <row r="612" ht="12.75"/>
    <row r="613" ht="12.75"/>
    <row r="614" ht="12.75"/>
    <row r="615" ht="12.75"/>
    <row r="616" ht="12.75"/>
    <row r="617" ht="12.75"/>
    <row r="618" ht="12.75"/>
    <row r="619" ht="12.75"/>
    <row r="620" ht="12.75"/>
    <row r="621" ht="12.75"/>
    <row r="622" ht="12.75"/>
    <row r="623" ht="12.75"/>
    <row r="624" ht="12.75"/>
    <row r="625" ht="12.75"/>
    <row r="626" ht="12.75"/>
    <row r="627" ht="12.75"/>
    <row r="628" ht="12.75"/>
    <row r="629" ht="12.75"/>
    <row r="630" ht="12.75"/>
    <row r="631" ht="12.75"/>
    <row r="632" ht="12.75"/>
    <row r="633" ht="12.75"/>
    <row r="634" ht="12.75"/>
    <row r="635" ht="12.75"/>
    <row r="636" ht="12.75"/>
    <row r="637" ht="12.75"/>
    <row r="638" ht="12.75"/>
    <row r="639" ht="12.75"/>
    <row r="640" ht="12.75"/>
    <row r="641" ht="12.75"/>
    <row r="642" ht="12.75"/>
    <row r="643" ht="12.75"/>
    <row r="644" ht="12.75"/>
    <row r="645" ht="12.75"/>
    <row r="646" ht="12.75"/>
    <row r="647" ht="12.75"/>
    <row r="648" ht="12.75"/>
    <row r="649" ht="12.75"/>
    <row r="650" ht="12.75"/>
    <row r="651" ht="12.75"/>
    <row r="652" ht="12.75"/>
    <row r="653" ht="12.75"/>
    <row r="654" ht="12.75"/>
    <row r="655" ht="12.75"/>
    <row r="656" ht="12.75"/>
    <row r="657" ht="12.75"/>
    <row r="658" ht="12.75"/>
    <row r="659" ht="12.75"/>
    <row r="660" ht="12.75"/>
    <row r="661" ht="12.75"/>
    <row r="662" ht="12.75"/>
    <row r="663" ht="12.75"/>
    <row r="664" ht="12.75"/>
    <row r="665" ht="12.75"/>
    <row r="666" ht="12.75"/>
    <row r="667" ht="12.75"/>
    <row r="668" ht="12.75"/>
    <row r="669" ht="12.75"/>
    <row r="670" ht="12.75"/>
    <row r="671" ht="12.75"/>
    <row r="672" ht="12.75"/>
    <row r="673" ht="12.75"/>
    <row r="674" ht="12.75"/>
    <row r="675" ht="12.75"/>
  </sheetData>
  <sheetProtection/>
  <mergeCells count="171">
    <mergeCell ref="A21:K21"/>
    <mergeCell ref="A22:B22"/>
    <mergeCell ref="A35:I35"/>
    <mergeCell ref="A36:K36"/>
    <mergeCell ref="A2:I2"/>
    <mergeCell ref="A4:I4"/>
    <mergeCell ref="A5:B5"/>
    <mergeCell ref="A7:B7"/>
    <mergeCell ref="A19:K19"/>
    <mergeCell ref="A20:B20"/>
    <mergeCell ref="A55:I55"/>
    <mergeCell ref="A82:D82"/>
    <mergeCell ref="A66:J66"/>
    <mergeCell ref="A68:J68"/>
    <mergeCell ref="A70:J70"/>
    <mergeCell ref="A51:B51"/>
    <mergeCell ref="A67:J67"/>
    <mergeCell ref="A100:B100"/>
    <mergeCell ref="A101:B101"/>
    <mergeCell ref="A83:B83"/>
    <mergeCell ref="A84:B84"/>
    <mergeCell ref="A86:B86"/>
    <mergeCell ref="A96:F96"/>
    <mergeCell ref="A97:B97"/>
    <mergeCell ref="A115:B115"/>
    <mergeCell ref="A117:B117"/>
    <mergeCell ref="A116:K116"/>
    <mergeCell ref="A102:B102"/>
    <mergeCell ref="A103:B103"/>
    <mergeCell ref="A104:B104"/>
    <mergeCell ref="A105:B105"/>
    <mergeCell ref="A106:B106"/>
    <mergeCell ref="A107:B107"/>
    <mergeCell ref="A124:B124"/>
    <mergeCell ref="A127:B127"/>
    <mergeCell ref="A126:J126"/>
    <mergeCell ref="A128:J128"/>
    <mergeCell ref="A118:B118"/>
    <mergeCell ref="A119:B119"/>
    <mergeCell ref="A120:B120"/>
    <mergeCell ref="A121:B121"/>
    <mergeCell ref="A122:B122"/>
    <mergeCell ref="A123:B123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40:B140"/>
    <mergeCell ref="A139:K139"/>
    <mergeCell ref="A141:K141"/>
    <mergeCell ref="A148:B148"/>
    <mergeCell ref="A149:B149"/>
    <mergeCell ref="A150:B150"/>
    <mergeCell ref="A151:B151"/>
    <mergeCell ref="A152:B152"/>
    <mergeCell ref="A142:B142"/>
    <mergeCell ref="A143:B143"/>
    <mergeCell ref="A145:J145"/>
    <mergeCell ref="A146:B146"/>
    <mergeCell ref="A147:H147"/>
    <mergeCell ref="A160:B160"/>
    <mergeCell ref="A161:B161"/>
    <mergeCell ref="A162:B162"/>
    <mergeCell ref="A163:B163"/>
    <mergeCell ref="A153:B153"/>
    <mergeCell ref="A154:B154"/>
    <mergeCell ref="A155:B155"/>
    <mergeCell ref="A158:B158"/>
    <mergeCell ref="A159:J159"/>
    <mergeCell ref="A157:J157"/>
    <mergeCell ref="A164:B164"/>
    <mergeCell ref="A165:B165"/>
    <mergeCell ref="A166:B166"/>
    <mergeCell ref="A167:B167"/>
    <mergeCell ref="A168:B168"/>
    <mergeCell ref="A171:B171"/>
    <mergeCell ref="A173:B173"/>
    <mergeCell ref="A174:B174"/>
    <mergeCell ref="A176:K176"/>
    <mergeCell ref="A177:B177"/>
    <mergeCell ref="A178:I178"/>
    <mergeCell ref="D182:J182"/>
    <mergeCell ref="D184:J184"/>
    <mergeCell ref="D187:H187"/>
    <mergeCell ref="B199:H199"/>
    <mergeCell ref="B200:H200"/>
    <mergeCell ref="B201:H201"/>
    <mergeCell ref="B208:H208"/>
    <mergeCell ref="A220:K220"/>
    <mergeCell ref="A221:B221"/>
    <mergeCell ref="A222:K222"/>
    <mergeCell ref="A225:K225"/>
    <mergeCell ref="A226:B226"/>
    <mergeCell ref="B215:K215"/>
    <mergeCell ref="A227:B227"/>
    <mergeCell ref="A228:K228"/>
    <mergeCell ref="A229:B229"/>
    <mergeCell ref="A230:B230"/>
    <mergeCell ref="A231:K231"/>
    <mergeCell ref="A235:H235"/>
    <mergeCell ref="A236:B236"/>
    <mergeCell ref="A238:B238"/>
    <mergeCell ref="A239:B239"/>
    <mergeCell ref="A237:H237"/>
    <mergeCell ref="A240:B240"/>
    <mergeCell ref="A241:B241"/>
    <mergeCell ref="A242:B242"/>
    <mergeCell ref="A243:B243"/>
    <mergeCell ref="A244:B244"/>
    <mergeCell ref="A245:B245"/>
    <mergeCell ref="A248:B248"/>
    <mergeCell ref="A250:B250"/>
    <mergeCell ref="A251:B251"/>
    <mergeCell ref="A247:G247"/>
    <mergeCell ref="A249:G249"/>
    <mergeCell ref="A252:B252"/>
    <mergeCell ref="A253:B253"/>
    <mergeCell ref="A254:B254"/>
    <mergeCell ref="A255:B255"/>
    <mergeCell ref="A256:B256"/>
    <mergeCell ref="A257:B257"/>
    <mergeCell ref="A258:B258"/>
    <mergeCell ref="A261:B261"/>
    <mergeCell ref="A266:I266"/>
    <mergeCell ref="A267:B267"/>
    <mergeCell ref="A268:B268"/>
    <mergeCell ref="A260:H260"/>
    <mergeCell ref="A262:H262"/>
    <mergeCell ref="A269:I269"/>
    <mergeCell ref="A273:B273"/>
    <mergeCell ref="A274:I274"/>
    <mergeCell ref="A277:B277"/>
    <mergeCell ref="A278:B278"/>
    <mergeCell ref="A279:B279"/>
    <mergeCell ref="A281:B281"/>
    <mergeCell ref="A282:B282"/>
    <mergeCell ref="A283:B283"/>
    <mergeCell ref="A285:B285"/>
    <mergeCell ref="A306:B306"/>
    <mergeCell ref="A286:B286"/>
    <mergeCell ref="A287:B287"/>
    <mergeCell ref="A293:B293"/>
    <mergeCell ref="A295:B295"/>
    <mergeCell ref="A296:B296"/>
    <mergeCell ref="A297:B297"/>
    <mergeCell ref="A288:B288"/>
    <mergeCell ref="A290:B290"/>
    <mergeCell ref="A308:B308"/>
    <mergeCell ref="A309:B309"/>
    <mergeCell ref="A300:B300"/>
    <mergeCell ref="A301:B301"/>
    <mergeCell ref="A302:B302"/>
    <mergeCell ref="A303:B303"/>
    <mergeCell ref="A305:B305"/>
    <mergeCell ref="A291:B291"/>
    <mergeCell ref="A292:B292"/>
    <mergeCell ref="A114:K114"/>
    <mergeCell ref="A3:B3"/>
    <mergeCell ref="B24:K24"/>
    <mergeCell ref="A38:K38"/>
    <mergeCell ref="A50:J50"/>
    <mergeCell ref="A52:J52"/>
    <mergeCell ref="A53:J53"/>
    <mergeCell ref="A108:B108"/>
    <mergeCell ref="A98:F98"/>
    <mergeCell ref="A99:B99"/>
  </mergeCells>
  <printOptions/>
  <pageMargins left="0.7" right="0.7" top="0.75" bottom="0.75" header="0.3" footer="0.3"/>
  <pageSetup horizontalDpi="200" verticalDpi="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London 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Bacon</dc:creator>
  <cp:keywords/>
  <dc:description/>
  <cp:lastModifiedBy> Amanda Jankowski</cp:lastModifiedBy>
  <cp:lastPrinted>2009-07-21T19:47:49Z</cp:lastPrinted>
  <dcterms:created xsi:type="dcterms:W3CDTF">2008-02-06T18:24:44Z</dcterms:created>
  <dcterms:modified xsi:type="dcterms:W3CDTF">2013-02-12T20:30:56Z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307958618</vt:i4>
  </property>
  <property fmtid="{D5CDD505-2E9C-101B-9397-08002B2CF9AE}" pid="3" name="_EmailSubject">
    <vt:lpwstr>Follow-Up - London Hydro Rate Application</vt:lpwstr>
  </property>
  <property fmtid="{D5CDD505-2E9C-101B-9397-08002B2CF9AE}" pid="4" name="_AuthorEmail">
    <vt:lpwstr>cascians@LondonHydro.com</vt:lpwstr>
  </property>
  <property fmtid="{D5CDD505-2E9C-101B-9397-08002B2CF9AE}" pid="5" name="_AuthorEmailDisplayName">
    <vt:lpwstr>Casciano, Susan</vt:lpwstr>
  </property>
  <property fmtid="{D5CDD505-2E9C-101B-9397-08002B2CF9AE}" pid="6" name="DM_Links_Updated">
    <vt:bool>true</vt:bool>
  </property>
  <property fmtid="{D5CDD505-2E9C-101B-9397-08002B2CF9AE}" pid="7" name="_ReviewingToolsShownOnce">
    <vt:lpwstr/>
  </property>
</Properties>
</file>