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22980" windowHeight="9528" activeTab="4"/>
  </bookViews>
  <sheets>
    <sheet name="2.0-EP-41b" sheetId="4" r:id="rId1"/>
    <sheet name="2.0-EP-41d" sheetId="6" r:id="rId2"/>
    <sheet name="2.0-EP-42" sheetId="7" r:id="rId3"/>
    <sheet name="2.0-EP-45c" sheetId="10" r:id="rId4"/>
    <sheet name="4.0-Staff-76" sheetId="11" r:id="rId5"/>
    <sheet name="8.0-STAFF-79a-VECC-44a" sheetId="8" r:id="rId6"/>
    <sheet name="8.0-STAFF-79b" sheetId="9" r:id="rId7"/>
  </sheets>
  <externalReferences>
    <externalReference r:id="rId8"/>
    <externalReference r:id="rId9"/>
    <externalReference r:id="rId10"/>
    <externalReference r:id="rId11"/>
  </externalReferences>
  <definedNames>
    <definedName name="LDC_LIST">[1]lists!$AM$1:$AM$80</definedName>
    <definedName name="LDCLIST" localSheetId="1">'[2]LDC Info'!$AA$3:$AA$80</definedName>
    <definedName name="LDCLIST" localSheetId="3">'[3]LDC Info'!$AA$3:$AA$80</definedName>
    <definedName name="LDCLIST">'[4]LDC Info'!$AA$3:$AA$80</definedName>
    <definedName name="_xlnm.Print_Area" localSheetId="0">'2.0-EP-41b'!$A$1:$N$73</definedName>
    <definedName name="_xlnm.Print_Area" localSheetId="1">'2.0-EP-41d'!$A$1:$N$78</definedName>
    <definedName name="_xlnm.Print_Area" localSheetId="3">'2.0-EP-45c'!$A$1:$M$679</definedName>
    <definedName name="_xlnm.Print_Area" localSheetId="5">'8.0-STAFF-79a-VECC-44a'!$A$1:$N$37</definedName>
    <definedName name="_xlnm.Print_Area" localSheetId="6">'8.0-STAFF-79b'!$A$1:$N$21</definedName>
    <definedName name="_xlnm.Print_Titles" localSheetId="3">'2.0-EP-45c'!$9:$14</definedName>
  </definedNames>
  <calcPr calcId="125725"/>
</workbook>
</file>

<file path=xl/calcChain.xml><?xml version="1.0" encoding="utf-8"?>
<calcChain xmlns="http://schemas.openxmlformats.org/spreadsheetml/2006/main">
  <c r="B22" i="8"/>
  <c r="E36" i="11"/>
  <c r="D36"/>
  <c r="C36"/>
  <c r="I704" i="10"/>
  <c r="I703"/>
  <c r="I702"/>
  <c r="I701"/>
  <c r="I706" s="1"/>
  <c r="H696" s="1"/>
  <c r="M691"/>
  <c r="M675" s="1"/>
  <c r="M690"/>
  <c r="M674" s="1"/>
  <c r="M689"/>
  <c r="M673" s="1"/>
  <c r="M688"/>
  <c r="M672" s="1"/>
  <c r="M687"/>
  <c r="M671" s="1"/>
  <c r="M686"/>
  <c r="M670" s="1"/>
  <c r="M685"/>
  <c r="M669" s="1"/>
  <c r="J684"/>
  <c r="J668" s="1"/>
  <c r="I684"/>
  <c r="H684"/>
  <c r="L677"/>
  <c r="I668"/>
  <c r="M677"/>
  <c r="K654"/>
  <c r="I654"/>
  <c r="I677" s="1"/>
  <c r="H654"/>
  <c r="G654"/>
  <c r="F654"/>
  <c r="E654"/>
  <c r="D654"/>
  <c r="C654"/>
  <c r="B654"/>
  <c r="E653"/>
  <c r="E655" s="1"/>
  <c r="R650"/>
  <c r="Q650"/>
  <c r="P650"/>
  <c r="M650"/>
  <c r="M678" s="1"/>
  <c r="L650"/>
  <c r="L678" s="1"/>
  <c r="K650"/>
  <c r="H650"/>
  <c r="G650"/>
  <c r="F650"/>
  <c r="E650"/>
  <c r="D650"/>
  <c r="B650"/>
  <c r="I649"/>
  <c r="J649" s="1"/>
  <c r="C649"/>
  <c r="C648"/>
  <c r="C647"/>
  <c r="C646"/>
  <c r="J645"/>
  <c r="I645"/>
  <c r="C645"/>
  <c r="C644"/>
  <c r="J643"/>
  <c r="I643"/>
  <c r="C643"/>
  <c r="J642"/>
  <c r="I642"/>
  <c r="C642"/>
  <c r="I641"/>
  <c r="J641" s="1"/>
  <c r="C641"/>
  <c r="J640"/>
  <c r="J650" s="1"/>
  <c r="J678" s="1"/>
  <c r="I640"/>
  <c r="I650" s="1"/>
  <c r="I678" s="1"/>
  <c r="C640"/>
  <c r="C650" s="1"/>
  <c r="M636"/>
  <c r="L636"/>
  <c r="K636"/>
  <c r="H636"/>
  <c r="G636"/>
  <c r="R626"/>
  <c r="Q626"/>
  <c r="P626"/>
  <c r="L626"/>
  <c r="K626"/>
  <c r="H626"/>
  <c r="G626"/>
  <c r="F626"/>
  <c r="E626"/>
  <c r="D626"/>
  <c r="C626"/>
  <c r="B626"/>
  <c r="R616"/>
  <c r="Q616"/>
  <c r="P616"/>
  <c r="L616"/>
  <c r="K616"/>
  <c r="H616"/>
  <c r="G616"/>
  <c r="F616"/>
  <c r="E616"/>
  <c r="D616"/>
  <c r="C616"/>
  <c r="B616"/>
  <c r="F615"/>
  <c r="R604"/>
  <c r="Q604"/>
  <c r="P604"/>
  <c r="L604"/>
  <c r="K604"/>
  <c r="H604"/>
  <c r="G604"/>
  <c r="F604"/>
  <c r="E604"/>
  <c r="D604"/>
  <c r="C604"/>
  <c r="B604"/>
  <c r="R593"/>
  <c r="Q593"/>
  <c r="P593"/>
  <c r="L593"/>
  <c r="K593"/>
  <c r="H593"/>
  <c r="G593"/>
  <c r="F593"/>
  <c r="E593"/>
  <c r="D593"/>
  <c r="C593"/>
  <c r="B593"/>
  <c r="R583"/>
  <c r="Q583"/>
  <c r="P583"/>
  <c r="L583"/>
  <c r="K583"/>
  <c r="H583"/>
  <c r="G583"/>
  <c r="F583"/>
  <c r="E583"/>
  <c r="D583"/>
  <c r="C583"/>
  <c r="B583"/>
  <c r="R573"/>
  <c r="Q573"/>
  <c r="P573"/>
  <c r="L573"/>
  <c r="K573"/>
  <c r="H573"/>
  <c r="G573"/>
  <c r="F573"/>
  <c r="E573"/>
  <c r="D573"/>
  <c r="C573"/>
  <c r="B573"/>
  <c r="R563"/>
  <c r="Q563"/>
  <c r="P563"/>
  <c r="L563"/>
  <c r="K563"/>
  <c r="H563"/>
  <c r="G563"/>
  <c r="F563"/>
  <c r="E563"/>
  <c r="D563"/>
  <c r="C563"/>
  <c r="B563"/>
  <c r="R553"/>
  <c r="Q553"/>
  <c r="P553"/>
  <c r="L553"/>
  <c r="K553"/>
  <c r="H553"/>
  <c r="G553"/>
  <c r="F553"/>
  <c r="E553"/>
  <c r="D553"/>
  <c r="C553"/>
  <c r="B553"/>
  <c r="R543"/>
  <c r="Q543"/>
  <c r="P543"/>
  <c r="L543"/>
  <c r="K543"/>
  <c r="H543"/>
  <c r="G543"/>
  <c r="F543"/>
  <c r="E543"/>
  <c r="D543"/>
  <c r="C543"/>
  <c r="B543"/>
  <c r="R533"/>
  <c r="Q533"/>
  <c r="P533"/>
  <c r="L533"/>
  <c r="K533"/>
  <c r="H533"/>
  <c r="G533"/>
  <c r="F533"/>
  <c r="E533"/>
  <c r="D533"/>
  <c r="C533"/>
  <c r="B533"/>
  <c r="R523"/>
  <c r="Q523"/>
  <c r="P523"/>
  <c r="L523"/>
  <c r="K523"/>
  <c r="H523"/>
  <c r="G523"/>
  <c r="F523"/>
  <c r="E523"/>
  <c r="D523"/>
  <c r="C523"/>
  <c r="B523"/>
  <c r="R513"/>
  <c r="Q513"/>
  <c r="P513"/>
  <c r="L513"/>
  <c r="K513"/>
  <c r="H513"/>
  <c r="G513"/>
  <c r="F513"/>
  <c r="E513"/>
  <c r="D513"/>
  <c r="C513"/>
  <c r="B513"/>
  <c r="R503"/>
  <c r="Q503"/>
  <c r="P503"/>
  <c r="L503"/>
  <c r="K503"/>
  <c r="H503"/>
  <c r="G503"/>
  <c r="F503"/>
  <c r="E503"/>
  <c r="D503"/>
  <c r="C503"/>
  <c r="B503"/>
  <c r="R493"/>
  <c r="Q493"/>
  <c r="P493"/>
  <c r="L493"/>
  <c r="K493"/>
  <c r="H493"/>
  <c r="G493"/>
  <c r="F493"/>
  <c r="E493"/>
  <c r="D493"/>
  <c r="C493"/>
  <c r="B493"/>
  <c r="R489"/>
  <c r="Q489"/>
  <c r="P489"/>
  <c r="L489"/>
  <c r="K489"/>
  <c r="H489"/>
  <c r="G489"/>
  <c r="F489"/>
  <c r="E489"/>
  <c r="D489"/>
  <c r="C489"/>
  <c r="B489"/>
  <c r="R485"/>
  <c r="Q485"/>
  <c r="P485"/>
  <c r="L485"/>
  <c r="K485"/>
  <c r="H485"/>
  <c r="G485"/>
  <c r="F485"/>
  <c r="E485"/>
  <c r="D485"/>
  <c r="C485"/>
  <c r="B485"/>
  <c r="R481"/>
  <c r="Q481"/>
  <c r="P481"/>
  <c r="L481"/>
  <c r="K481"/>
  <c r="H481"/>
  <c r="G481"/>
  <c r="F481"/>
  <c r="E481"/>
  <c r="D481"/>
  <c r="C481"/>
  <c r="B481"/>
  <c r="R477"/>
  <c r="Q477"/>
  <c r="P477"/>
  <c r="L477"/>
  <c r="K477"/>
  <c r="H477"/>
  <c r="G477"/>
  <c r="F477"/>
  <c r="E477"/>
  <c r="D477"/>
  <c r="C477"/>
  <c r="B477"/>
  <c r="R473"/>
  <c r="Q473"/>
  <c r="P473"/>
  <c r="L473"/>
  <c r="K473"/>
  <c r="H473"/>
  <c r="G473"/>
  <c r="F473"/>
  <c r="E473"/>
  <c r="D473"/>
  <c r="C473"/>
  <c r="B473"/>
  <c r="R469"/>
  <c r="Q469"/>
  <c r="P469"/>
  <c r="L469"/>
  <c r="K469"/>
  <c r="H469"/>
  <c r="G469"/>
  <c r="F469"/>
  <c r="E469"/>
  <c r="D469"/>
  <c r="C469"/>
  <c r="B469"/>
  <c r="R465"/>
  <c r="Q465"/>
  <c r="P465"/>
  <c r="L465"/>
  <c r="K465"/>
  <c r="H465"/>
  <c r="G465"/>
  <c r="F465"/>
  <c r="E465"/>
  <c r="D465"/>
  <c r="C465"/>
  <c r="B465"/>
  <c r="R461"/>
  <c r="Q461"/>
  <c r="P461"/>
  <c r="L461"/>
  <c r="K461"/>
  <c r="H461"/>
  <c r="G461"/>
  <c r="F461"/>
  <c r="E461"/>
  <c r="D461"/>
  <c r="C461"/>
  <c r="B461"/>
  <c r="R457"/>
  <c r="Q457"/>
  <c r="P457"/>
  <c r="L457"/>
  <c r="K457"/>
  <c r="H457"/>
  <c r="G457"/>
  <c r="F457"/>
  <c r="E457"/>
  <c r="D457"/>
  <c r="C457"/>
  <c r="B457"/>
  <c r="R453"/>
  <c r="Q453"/>
  <c r="P453"/>
  <c r="L453"/>
  <c r="K453"/>
  <c r="H453"/>
  <c r="G453"/>
  <c r="F453"/>
  <c r="E453"/>
  <c r="D453"/>
  <c r="C453"/>
  <c r="B453"/>
  <c r="R449"/>
  <c r="Q449"/>
  <c r="P449"/>
  <c r="L449"/>
  <c r="K449"/>
  <c r="H449"/>
  <c r="G449"/>
  <c r="F449"/>
  <c r="E449"/>
  <c r="D449"/>
  <c r="C449"/>
  <c r="B449"/>
  <c r="R445"/>
  <c r="Q445"/>
  <c r="P445"/>
  <c r="L445"/>
  <c r="K445"/>
  <c r="H445"/>
  <c r="G445"/>
  <c r="F445"/>
  <c r="E445"/>
  <c r="D445"/>
  <c r="C445"/>
  <c r="B445"/>
  <c r="R441"/>
  <c r="Q441"/>
  <c r="P441"/>
  <c r="L441"/>
  <c r="K441"/>
  <c r="H441"/>
  <c r="G441"/>
  <c r="F441"/>
  <c r="E441"/>
  <c r="D441"/>
  <c r="C441"/>
  <c r="B441"/>
  <c r="R437"/>
  <c r="Q437"/>
  <c r="P437"/>
  <c r="L437"/>
  <c r="K437"/>
  <c r="H437"/>
  <c r="G437"/>
  <c r="F437"/>
  <c r="E437"/>
  <c r="D437"/>
  <c r="C437"/>
  <c r="B437"/>
  <c r="R433"/>
  <c r="Q433"/>
  <c r="P433"/>
  <c r="M433"/>
  <c r="K433"/>
  <c r="H433"/>
  <c r="G724" s="1"/>
  <c r="G433"/>
  <c r="F433"/>
  <c r="E433"/>
  <c r="D433"/>
  <c r="C433"/>
  <c r="B433"/>
  <c r="L432"/>
  <c r="L691" s="1"/>
  <c r="L675" s="1"/>
  <c r="R429"/>
  <c r="Q429"/>
  <c r="P429"/>
  <c r="M429"/>
  <c r="L429"/>
  <c r="K723" s="1"/>
  <c r="K429"/>
  <c r="G429"/>
  <c r="E429"/>
  <c r="D429"/>
  <c r="C429"/>
  <c r="B429"/>
  <c r="F428"/>
  <c r="S420"/>
  <c r="R418"/>
  <c r="Q418"/>
  <c r="P418"/>
  <c r="L418"/>
  <c r="K418"/>
  <c r="H418"/>
  <c r="G418"/>
  <c r="F418"/>
  <c r="E418"/>
  <c r="D418"/>
  <c r="C418"/>
  <c r="B418"/>
  <c r="R408"/>
  <c r="Q408"/>
  <c r="P408"/>
  <c r="L408"/>
  <c r="K408"/>
  <c r="H408"/>
  <c r="G408"/>
  <c r="F408"/>
  <c r="E408"/>
  <c r="D408"/>
  <c r="C408"/>
  <c r="B408"/>
  <c r="R397"/>
  <c r="Q397"/>
  <c r="P397"/>
  <c r="L397"/>
  <c r="K397"/>
  <c r="H397"/>
  <c r="G397"/>
  <c r="F397"/>
  <c r="E397"/>
  <c r="D397"/>
  <c r="C397"/>
  <c r="B397"/>
  <c r="R387"/>
  <c r="Q387"/>
  <c r="P387"/>
  <c r="L387"/>
  <c r="K387"/>
  <c r="H387"/>
  <c r="G387"/>
  <c r="F387"/>
  <c r="E387"/>
  <c r="D387"/>
  <c r="C387"/>
  <c r="B387"/>
  <c r="R377"/>
  <c r="Q377"/>
  <c r="P377"/>
  <c r="L377"/>
  <c r="K377"/>
  <c r="H377"/>
  <c r="G377"/>
  <c r="F377"/>
  <c r="E377"/>
  <c r="D377"/>
  <c r="C377"/>
  <c r="B377"/>
  <c r="R367"/>
  <c r="Q367"/>
  <c r="P367"/>
  <c r="L367"/>
  <c r="K367"/>
  <c r="H367"/>
  <c r="G367"/>
  <c r="F367"/>
  <c r="E367"/>
  <c r="D367"/>
  <c r="C367"/>
  <c r="B367"/>
  <c r="R357"/>
  <c r="Q357"/>
  <c r="P357"/>
  <c r="L357"/>
  <c r="K357"/>
  <c r="H357"/>
  <c r="G357"/>
  <c r="F357"/>
  <c r="E357"/>
  <c r="D357"/>
  <c r="C357"/>
  <c r="B357"/>
  <c r="R346"/>
  <c r="Q346"/>
  <c r="P346"/>
  <c r="L346"/>
  <c r="K346"/>
  <c r="H346"/>
  <c r="G346"/>
  <c r="F346"/>
  <c r="E346"/>
  <c r="D346"/>
  <c r="C346"/>
  <c r="B346"/>
  <c r="R335"/>
  <c r="Q335"/>
  <c r="P335"/>
  <c r="L335"/>
  <c r="K335"/>
  <c r="H335"/>
  <c r="G335"/>
  <c r="F335"/>
  <c r="E335"/>
  <c r="D335"/>
  <c r="C335"/>
  <c r="B335"/>
  <c r="R325"/>
  <c r="Q325"/>
  <c r="P325"/>
  <c r="L325"/>
  <c r="K325"/>
  <c r="H325"/>
  <c r="G325"/>
  <c r="F325"/>
  <c r="E325"/>
  <c r="D325"/>
  <c r="C325"/>
  <c r="B325"/>
  <c r="R314"/>
  <c r="Q314"/>
  <c r="P314"/>
  <c r="L314"/>
  <c r="K314"/>
  <c r="H314"/>
  <c r="G314"/>
  <c r="F314"/>
  <c r="E314"/>
  <c r="D314"/>
  <c r="C314"/>
  <c r="B314"/>
  <c r="R304"/>
  <c r="Q304"/>
  <c r="P304"/>
  <c r="L304"/>
  <c r="K304"/>
  <c r="H304"/>
  <c r="G304"/>
  <c r="F304"/>
  <c r="E304"/>
  <c r="D304"/>
  <c r="C304"/>
  <c r="B304"/>
  <c r="R294"/>
  <c r="Q294"/>
  <c r="P294"/>
  <c r="L294"/>
  <c r="K294"/>
  <c r="H294"/>
  <c r="G294"/>
  <c r="F294"/>
  <c r="E294"/>
  <c r="D294"/>
  <c r="C294"/>
  <c r="B294"/>
  <c r="R283"/>
  <c r="Q283"/>
  <c r="P283"/>
  <c r="L283"/>
  <c r="K283"/>
  <c r="H283"/>
  <c r="G283"/>
  <c r="F283"/>
  <c r="E283"/>
  <c r="D283"/>
  <c r="C283"/>
  <c r="B283"/>
  <c r="R273"/>
  <c r="Q273"/>
  <c r="P273"/>
  <c r="L273"/>
  <c r="K273"/>
  <c r="H273"/>
  <c r="G273"/>
  <c r="F273"/>
  <c r="E273"/>
  <c r="D273"/>
  <c r="C273"/>
  <c r="B273"/>
  <c r="R263"/>
  <c r="Q263"/>
  <c r="P263"/>
  <c r="L263"/>
  <c r="K263"/>
  <c r="H263"/>
  <c r="G263"/>
  <c r="F263"/>
  <c r="E263"/>
  <c r="D263"/>
  <c r="C263"/>
  <c r="B263"/>
  <c r="R253"/>
  <c r="Q253"/>
  <c r="P253"/>
  <c r="L253"/>
  <c r="K253"/>
  <c r="H253"/>
  <c r="G253"/>
  <c r="F253"/>
  <c r="E253"/>
  <c r="D253"/>
  <c r="C253"/>
  <c r="B253"/>
  <c r="R243"/>
  <c r="Q243"/>
  <c r="P243"/>
  <c r="L243"/>
  <c r="K243"/>
  <c r="H243"/>
  <c r="G243"/>
  <c r="F243"/>
  <c r="E243"/>
  <c r="D243"/>
  <c r="C243"/>
  <c r="B243"/>
  <c r="Q233"/>
  <c r="P233"/>
  <c r="M233"/>
  <c r="L233"/>
  <c r="K722" s="1"/>
  <c r="K233"/>
  <c r="G233"/>
  <c r="F233"/>
  <c r="E233"/>
  <c r="D233"/>
  <c r="C233"/>
  <c r="B233"/>
  <c r="S231"/>
  <c r="H231"/>
  <c r="I231" s="1"/>
  <c r="J231" s="1"/>
  <c r="S230"/>
  <c r="H230"/>
  <c r="I230" s="1"/>
  <c r="J230" s="1"/>
  <c r="S229"/>
  <c r="H229"/>
  <c r="I229" s="1"/>
  <c r="J229" s="1"/>
  <c r="S228"/>
  <c r="H228"/>
  <c r="I228" s="1"/>
  <c r="J228" s="1"/>
  <c r="S227"/>
  <c r="H227"/>
  <c r="I227" s="1"/>
  <c r="J227" s="1"/>
  <c r="S226"/>
  <c r="H226"/>
  <c r="H233" s="1"/>
  <c r="G722" s="1"/>
  <c r="R225"/>
  <c r="R233" s="1"/>
  <c r="Q223"/>
  <c r="P223"/>
  <c r="M223"/>
  <c r="L223"/>
  <c r="K721" s="1"/>
  <c r="K223"/>
  <c r="G223"/>
  <c r="F223"/>
  <c r="E223"/>
  <c r="D223"/>
  <c r="C223"/>
  <c r="B223"/>
  <c r="S218"/>
  <c r="H218"/>
  <c r="I218" s="1"/>
  <c r="J218" s="1"/>
  <c r="S217"/>
  <c r="S216"/>
  <c r="I216"/>
  <c r="J216" s="1"/>
  <c r="J223" s="1"/>
  <c r="H216"/>
  <c r="H223" s="1"/>
  <c r="G721" s="1"/>
  <c r="R215"/>
  <c r="R223" s="1"/>
  <c r="P213"/>
  <c r="M213"/>
  <c r="L213"/>
  <c r="K720" s="1"/>
  <c r="K213"/>
  <c r="G213"/>
  <c r="S212" s="1"/>
  <c r="H212" s="1"/>
  <c r="I212" s="1"/>
  <c r="J212" s="1"/>
  <c r="F213"/>
  <c r="E213"/>
  <c r="D213"/>
  <c r="C213"/>
  <c r="B213"/>
  <c r="F212"/>
  <c r="Q205"/>
  <c r="Q213" s="1"/>
  <c r="P203"/>
  <c r="M203"/>
  <c r="L203"/>
  <c r="K719" s="1"/>
  <c r="K203"/>
  <c r="G203"/>
  <c r="E203"/>
  <c r="D203"/>
  <c r="C203"/>
  <c r="B203"/>
  <c r="S202"/>
  <c r="H202" s="1"/>
  <c r="J202"/>
  <c r="F202"/>
  <c r="F203" s="1"/>
  <c r="S201"/>
  <c r="J201"/>
  <c r="H201"/>
  <c r="I201" s="1"/>
  <c r="S200"/>
  <c r="J200"/>
  <c r="H200"/>
  <c r="I200" s="1"/>
  <c r="S199"/>
  <c r="J199"/>
  <c r="H199"/>
  <c r="I199" s="1"/>
  <c r="S198"/>
  <c r="J198"/>
  <c r="H198"/>
  <c r="I198" s="1"/>
  <c r="S197"/>
  <c r="J197"/>
  <c r="H197"/>
  <c r="I197" s="1"/>
  <c r="S196"/>
  <c r="J196"/>
  <c r="J203" s="1"/>
  <c r="H196"/>
  <c r="H203" s="1"/>
  <c r="G719" s="1"/>
  <c r="R195"/>
  <c r="R203" s="1"/>
  <c r="Q195"/>
  <c r="Q203" s="1"/>
  <c r="R193"/>
  <c r="Q193"/>
  <c r="P193"/>
  <c r="L193"/>
  <c r="K193"/>
  <c r="H193"/>
  <c r="G193"/>
  <c r="F193"/>
  <c r="E193"/>
  <c r="D193"/>
  <c r="C193"/>
  <c r="B193"/>
  <c r="R182"/>
  <c r="Q182"/>
  <c r="P182"/>
  <c r="L182"/>
  <c r="K182"/>
  <c r="H182"/>
  <c r="G182"/>
  <c r="F182"/>
  <c r="E182"/>
  <c r="D182"/>
  <c r="C182"/>
  <c r="B182"/>
  <c r="R178"/>
  <c r="Q178"/>
  <c r="P178"/>
  <c r="L178"/>
  <c r="K178"/>
  <c r="H178"/>
  <c r="G178"/>
  <c r="F178"/>
  <c r="E178"/>
  <c r="D178"/>
  <c r="C178"/>
  <c r="B178"/>
  <c r="R174"/>
  <c r="Q174"/>
  <c r="P174"/>
  <c r="L174"/>
  <c r="K174"/>
  <c r="H174"/>
  <c r="G174"/>
  <c r="F174"/>
  <c r="E174"/>
  <c r="D174"/>
  <c r="C174"/>
  <c r="B174"/>
  <c r="Q170"/>
  <c r="P170"/>
  <c r="M170"/>
  <c r="L170"/>
  <c r="K718" s="1"/>
  <c r="K170"/>
  <c r="J170"/>
  <c r="H170"/>
  <c r="G718" s="1"/>
  <c r="G170"/>
  <c r="F170"/>
  <c r="E170"/>
  <c r="D170"/>
  <c r="C170"/>
  <c r="B170"/>
  <c r="I168"/>
  <c r="I167"/>
  <c r="I166"/>
  <c r="I165"/>
  <c r="I164"/>
  <c r="I170" s="1"/>
  <c r="I163"/>
  <c r="R162"/>
  <c r="R170" s="1"/>
  <c r="Q162"/>
  <c r="R159"/>
  <c r="Q159"/>
  <c r="P159"/>
  <c r="L159"/>
  <c r="K159"/>
  <c r="H159"/>
  <c r="G159"/>
  <c r="F159"/>
  <c r="E159"/>
  <c r="D159"/>
  <c r="C159"/>
  <c r="B159"/>
  <c r="R155"/>
  <c r="Q155"/>
  <c r="P155"/>
  <c r="L155"/>
  <c r="K155"/>
  <c r="H155"/>
  <c r="G155"/>
  <c r="F155"/>
  <c r="E155"/>
  <c r="D155"/>
  <c r="C155"/>
  <c r="B155"/>
  <c r="R151"/>
  <c r="Q151"/>
  <c r="P151"/>
  <c r="L151"/>
  <c r="K151"/>
  <c r="H151"/>
  <c r="G151"/>
  <c r="F151"/>
  <c r="E151"/>
  <c r="D151"/>
  <c r="C151"/>
  <c r="B151"/>
  <c r="Q147"/>
  <c r="P147"/>
  <c r="M147"/>
  <c r="K147"/>
  <c r="I147"/>
  <c r="H147"/>
  <c r="G717" s="1"/>
  <c r="G147"/>
  <c r="F147"/>
  <c r="E147"/>
  <c r="D147"/>
  <c r="C147"/>
  <c r="B147"/>
  <c r="R146"/>
  <c r="R147" s="1"/>
  <c r="L146"/>
  <c r="L147" s="1"/>
  <c r="K717" s="1"/>
  <c r="I146"/>
  <c r="I145"/>
  <c r="R142"/>
  <c r="Q142"/>
  <c r="P142"/>
  <c r="L142"/>
  <c r="K142"/>
  <c r="H142"/>
  <c r="G142"/>
  <c r="F142"/>
  <c r="E142"/>
  <c r="D142"/>
  <c r="C142"/>
  <c r="B142"/>
  <c r="R138"/>
  <c r="Q138"/>
  <c r="P138"/>
  <c r="L138"/>
  <c r="K138"/>
  <c r="H138"/>
  <c r="G138"/>
  <c r="F138"/>
  <c r="E138"/>
  <c r="D138"/>
  <c r="C138"/>
  <c r="B138"/>
  <c r="R134"/>
  <c r="Q134"/>
  <c r="P134"/>
  <c r="K134"/>
  <c r="H134"/>
  <c r="G716" s="1"/>
  <c r="G134"/>
  <c r="F134"/>
  <c r="E134"/>
  <c r="D134"/>
  <c r="C134"/>
  <c r="B134"/>
  <c r="R133"/>
  <c r="M133"/>
  <c r="M684" s="1"/>
  <c r="L133"/>
  <c r="L134" s="1"/>
  <c r="K716" s="1"/>
  <c r="I133"/>
  <c r="I132"/>
  <c r="I134" s="1"/>
  <c r="R129"/>
  <c r="Q129"/>
  <c r="P129"/>
  <c r="L129"/>
  <c r="K129"/>
  <c r="H129"/>
  <c r="G129"/>
  <c r="F129"/>
  <c r="E129"/>
  <c r="D129"/>
  <c r="C129"/>
  <c r="B129"/>
  <c r="R117"/>
  <c r="Q117"/>
  <c r="P117"/>
  <c r="L117"/>
  <c r="K117"/>
  <c r="H117"/>
  <c r="G117"/>
  <c r="F117"/>
  <c r="E117"/>
  <c r="D117"/>
  <c r="C117"/>
  <c r="B117"/>
  <c r="Q113"/>
  <c r="P113"/>
  <c r="M113"/>
  <c r="L113"/>
  <c r="K715" s="1"/>
  <c r="K113"/>
  <c r="I113"/>
  <c r="H113"/>
  <c r="G715" s="1"/>
  <c r="G113"/>
  <c r="F113"/>
  <c r="E113"/>
  <c r="D113"/>
  <c r="C113"/>
  <c r="B113"/>
  <c r="R112"/>
  <c r="R113" s="1"/>
  <c r="I112"/>
  <c r="I111"/>
  <c r="R108"/>
  <c r="Q108"/>
  <c r="P108"/>
  <c r="M108"/>
  <c r="L108"/>
  <c r="K714" s="1"/>
  <c r="K108"/>
  <c r="H108"/>
  <c r="G714" s="1"/>
  <c r="G108"/>
  <c r="F108"/>
  <c r="E108"/>
  <c r="D108"/>
  <c r="C108"/>
  <c r="B108"/>
  <c r="R104"/>
  <c r="Q104"/>
  <c r="P104"/>
  <c r="L104"/>
  <c r="K104"/>
  <c r="H104"/>
  <c r="G104"/>
  <c r="F104"/>
  <c r="E104"/>
  <c r="D104"/>
  <c r="C104"/>
  <c r="B104"/>
  <c r="R100"/>
  <c r="Q100"/>
  <c r="P100"/>
  <c r="L100"/>
  <c r="K100"/>
  <c r="H100"/>
  <c r="G100"/>
  <c r="F100"/>
  <c r="E100"/>
  <c r="D100"/>
  <c r="C100"/>
  <c r="B100"/>
  <c r="R96"/>
  <c r="Q96"/>
  <c r="P96"/>
  <c r="M96"/>
  <c r="L96"/>
  <c r="K713" s="1"/>
  <c r="K96"/>
  <c r="H96"/>
  <c r="G713" s="1"/>
  <c r="G96"/>
  <c r="F96"/>
  <c r="E96"/>
  <c r="D96"/>
  <c r="C96"/>
  <c r="B96"/>
  <c r="R90"/>
  <c r="Q90"/>
  <c r="P90"/>
  <c r="L90"/>
  <c r="K90"/>
  <c r="H90"/>
  <c r="G90"/>
  <c r="F90"/>
  <c r="E90"/>
  <c r="D90"/>
  <c r="C90"/>
  <c r="B90"/>
  <c r="R80"/>
  <c r="Q80"/>
  <c r="P80"/>
  <c r="L80"/>
  <c r="K80"/>
  <c r="H80"/>
  <c r="G80"/>
  <c r="F80"/>
  <c r="E80"/>
  <c r="D80"/>
  <c r="C80"/>
  <c r="B80"/>
  <c r="R69"/>
  <c r="Q69"/>
  <c r="P69"/>
  <c r="L69"/>
  <c r="K69"/>
  <c r="H69"/>
  <c r="G69"/>
  <c r="F69"/>
  <c r="E69"/>
  <c r="D69"/>
  <c r="C69"/>
  <c r="B69"/>
  <c r="R58"/>
  <c r="Q58"/>
  <c r="P58"/>
  <c r="L58"/>
  <c r="K58"/>
  <c r="H58"/>
  <c r="G58"/>
  <c r="F58"/>
  <c r="E58"/>
  <c r="D58"/>
  <c r="C58"/>
  <c r="B58"/>
  <c r="R54"/>
  <c r="Q54"/>
  <c r="P54"/>
  <c r="L54"/>
  <c r="K54"/>
  <c r="H54"/>
  <c r="G54"/>
  <c r="F54"/>
  <c r="E54"/>
  <c r="D54"/>
  <c r="C54"/>
  <c r="B54"/>
  <c r="R43"/>
  <c r="Q43"/>
  <c r="P43"/>
  <c r="M43"/>
  <c r="K43"/>
  <c r="G43"/>
  <c r="F43"/>
  <c r="E43"/>
  <c r="D43"/>
  <c r="C43"/>
  <c r="B43"/>
  <c r="T41"/>
  <c r="L41" s="1"/>
  <c r="S41"/>
  <c r="J41"/>
  <c r="I41"/>
  <c r="H41"/>
  <c r="T40"/>
  <c r="S40"/>
  <c r="L40"/>
  <c r="J40"/>
  <c r="H40"/>
  <c r="I40" s="1"/>
  <c r="T39"/>
  <c r="L39" s="1"/>
  <c r="S39"/>
  <c r="J39"/>
  <c r="I39"/>
  <c r="H39"/>
  <c r="T38"/>
  <c r="S38"/>
  <c r="H38" s="1"/>
  <c r="L38"/>
  <c r="T37"/>
  <c r="S37"/>
  <c r="L37"/>
  <c r="J37"/>
  <c r="H37"/>
  <c r="I37" s="1"/>
  <c r="T36"/>
  <c r="L36" s="1"/>
  <c r="L43" s="1"/>
  <c r="K712" s="1"/>
  <c r="S36"/>
  <c r="J36"/>
  <c r="J43" s="1"/>
  <c r="I36"/>
  <c r="H36"/>
  <c r="H43" s="1"/>
  <c r="G712" s="1"/>
  <c r="R35"/>
  <c r="R33"/>
  <c r="Q33"/>
  <c r="P33"/>
  <c r="M33"/>
  <c r="K33"/>
  <c r="T30" s="1"/>
  <c r="L30" s="1"/>
  <c r="L689" s="1"/>
  <c r="L673" s="1"/>
  <c r="J33"/>
  <c r="H33"/>
  <c r="G711" s="1"/>
  <c r="G33"/>
  <c r="F33"/>
  <c r="E33"/>
  <c r="D33"/>
  <c r="D653" s="1"/>
  <c r="D655" s="1"/>
  <c r="C33"/>
  <c r="B33"/>
  <c r="I31"/>
  <c r="I30"/>
  <c r="T29"/>
  <c r="L29" s="1"/>
  <c r="L688" s="1"/>
  <c r="L672" s="1"/>
  <c r="I29"/>
  <c r="T28"/>
  <c r="L28" s="1"/>
  <c r="L687" s="1"/>
  <c r="L671" s="1"/>
  <c r="I28"/>
  <c r="I27"/>
  <c r="I26"/>
  <c r="I33" s="1"/>
  <c r="R25"/>
  <c r="Q25"/>
  <c r="Q23"/>
  <c r="P23"/>
  <c r="M23"/>
  <c r="L23"/>
  <c r="K710" s="1"/>
  <c r="K23"/>
  <c r="K653" s="1"/>
  <c r="K655" s="1"/>
  <c r="G23"/>
  <c r="G653" s="1"/>
  <c r="G655" s="1"/>
  <c r="F23"/>
  <c r="F653" s="1"/>
  <c r="F655" s="1"/>
  <c r="E23"/>
  <c r="D23"/>
  <c r="C23"/>
  <c r="C653" s="1"/>
  <c r="C655" s="1"/>
  <c r="B23"/>
  <c r="B653" s="1"/>
  <c r="B655" s="1"/>
  <c r="J21"/>
  <c r="J20"/>
  <c r="J19"/>
  <c r="S17"/>
  <c r="H17" s="1"/>
  <c r="J17"/>
  <c r="S16"/>
  <c r="H16" s="1"/>
  <c r="J16"/>
  <c r="R15"/>
  <c r="R23" s="1"/>
  <c r="Q15"/>
  <c r="F13"/>
  <c r="E13"/>
  <c r="D13"/>
  <c r="C13"/>
  <c r="B13"/>
  <c r="M1"/>
  <c r="M20" i="9"/>
  <c r="I20"/>
  <c r="E20"/>
  <c r="M18"/>
  <c r="L18"/>
  <c r="K18"/>
  <c r="J18"/>
  <c r="I18"/>
  <c r="H18"/>
  <c r="G18"/>
  <c r="F18"/>
  <c r="E18"/>
  <c r="D18"/>
  <c r="C18"/>
  <c r="B18"/>
  <c r="N18" s="1"/>
  <c r="M15"/>
  <c r="L15"/>
  <c r="K15"/>
  <c r="J15"/>
  <c r="I15"/>
  <c r="H15"/>
  <c r="G15"/>
  <c r="F15"/>
  <c r="E15"/>
  <c r="D15"/>
  <c r="C15"/>
  <c r="B15"/>
  <c r="N15" s="1"/>
  <c r="M11"/>
  <c r="L11"/>
  <c r="L20" s="1"/>
  <c r="K11"/>
  <c r="K20" s="1"/>
  <c r="J11"/>
  <c r="J20" s="1"/>
  <c r="I11"/>
  <c r="H11"/>
  <c r="H20" s="1"/>
  <c r="G11"/>
  <c r="G20" s="1"/>
  <c r="F11"/>
  <c r="F20" s="1"/>
  <c r="E11"/>
  <c r="D11"/>
  <c r="D20" s="1"/>
  <c r="C11"/>
  <c r="C20" s="1"/>
  <c r="B11"/>
  <c r="B20" s="1"/>
  <c r="M34" i="8"/>
  <c r="L34"/>
  <c r="K34"/>
  <c r="J34"/>
  <c r="I34"/>
  <c r="H34"/>
  <c r="G34"/>
  <c r="F34"/>
  <c r="E34"/>
  <c r="D34"/>
  <c r="C34"/>
  <c r="B34"/>
  <c r="N34" s="1"/>
  <c r="N23"/>
  <c r="M22"/>
  <c r="M29" s="1"/>
  <c r="M31" s="1"/>
  <c r="L22"/>
  <c r="L29" s="1"/>
  <c r="L31" s="1"/>
  <c r="K22"/>
  <c r="J22"/>
  <c r="I22"/>
  <c r="I29" s="1"/>
  <c r="I31" s="1"/>
  <c r="H22"/>
  <c r="H29" s="1"/>
  <c r="H31" s="1"/>
  <c r="G22"/>
  <c r="F22"/>
  <c r="E22"/>
  <c r="E29" s="1"/>
  <c r="E31" s="1"/>
  <c r="D22"/>
  <c r="D29" s="1"/>
  <c r="D31" s="1"/>
  <c r="C22"/>
  <c r="E15"/>
  <c r="D15"/>
  <c r="C15"/>
  <c r="F15" s="1"/>
  <c r="E14"/>
  <c r="D14"/>
  <c r="C14"/>
  <c r="F14" s="1"/>
  <c r="E26" i="7"/>
  <c r="F26"/>
  <c r="G26"/>
  <c r="H26"/>
  <c r="I26"/>
  <c r="J26"/>
  <c r="E27"/>
  <c r="I27"/>
  <c r="J27"/>
  <c r="E28"/>
  <c r="F28"/>
  <c r="G28"/>
  <c r="H28"/>
  <c r="I28"/>
  <c r="J28"/>
  <c r="E29"/>
  <c r="F29"/>
  <c r="G29"/>
  <c r="H29"/>
  <c r="I29"/>
  <c r="J29"/>
  <c r="E30"/>
  <c r="F30"/>
  <c r="H30"/>
  <c r="I30"/>
  <c r="E31"/>
  <c r="H31"/>
  <c r="I31"/>
  <c r="J31"/>
  <c r="E32"/>
  <c r="H32"/>
  <c r="I32"/>
  <c r="J32"/>
  <c r="D28"/>
  <c r="D29"/>
  <c r="D30"/>
  <c r="D31"/>
  <c r="D32"/>
  <c r="D26"/>
  <c r="I11"/>
  <c r="E11"/>
  <c r="J8"/>
  <c r="J11" s="1"/>
  <c r="H5"/>
  <c r="H11" s="1"/>
  <c r="G5"/>
  <c r="G11" s="1"/>
  <c r="F5"/>
  <c r="F27" s="1"/>
  <c r="D5"/>
  <c r="D27" s="1"/>
  <c r="I43" i="10" l="1"/>
  <c r="I17"/>
  <c r="M668"/>
  <c r="M676" s="1"/>
  <c r="M679" s="1"/>
  <c r="M692"/>
  <c r="I202"/>
  <c r="M653"/>
  <c r="M655" s="1"/>
  <c r="I16"/>
  <c r="H697"/>
  <c r="J23"/>
  <c r="I223"/>
  <c r="S19"/>
  <c r="H19" s="1"/>
  <c r="T26"/>
  <c r="L26" s="1"/>
  <c r="T27"/>
  <c r="L27" s="1"/>
  <c r="L686" s="1"/>
  <c r="L670" s="1"/>
  <c r="T31"/>
  <c r="L31" s="1"/>
  <c r="L690" s="1"/>
  <c r="L674" s="1"/>
  <c r="M134"/>
  <c r="I196"/>
  <c r="I203" s="1"/>
  <c r="R205"/>
  <c r="R213" s="1"/>
  <c r="S206"/>
  <c r="H206" s="1"/>
  <c r="S207"/>
  <c r="H207" s="1"/>
  <c r="I207" s="1"/>
  <c r="J207" s="1"/>
  <c r="S208"/>
  <c r="H208" s="1"/>
  <c r="I208" s="1"/>
  <c r="J208" s="1"/>
  <c r="S209"/>
  <c r="H209" s="1"/>
  <c r="I209" s="1"/>
  <c r="J209" s="1"/>
  <c r="S210"/>
  <c r="H210" s="1"/>
  <c r="I210" s="1"/>
  <c r="J210" s="1"/>
  <c r="S211"/>
  <c r="H211" s="1"/>
  <c r="I211" s="1"/>
  <c r="J211" s="1"/>
  <c r="I226"/>
  <c r="F429"/>
  <c r="L433"/>
  <c r="K724" s="1"/>
  <c r="J654"/>
  <c r="J677" s="1"/>
  <c r="L684"/>
  <c r="S18"/>
  <c r="H18" s="1"/>
  <c r="S20"/>
  <c r="H20" s="1"/>
  <c r="S21"/>
  <c r="H21" s="1"/>
  <c r="N11" i="9"/>
  <c r="N20" s="1"/>
  <c r="J25" i="8"/>
  <c r="J27" s="1"/>
  <c r="F25"/>
  <c r="F27" s="1"/>
  <c r="F36" s="1"/>
  <c r="B25"/>
  <c r="B27" s="1"/>
  <c r="K25"/>
  <c r="K27" s="1"/>
  <c r="K36" s="1"/>
  <c r="C25"/>
  <c r="C27" s="1"/>
  <c r="H25"/>
  <c r="H27" s="1"/>
  <c r="H36" s="1"/>
  <c r="G25"/>
  <c r="G27" s="1"/>
  <c r="L25"/>
  <c r="L27" s="1"/>
  <c r="L36" s="1"/>
  <c r="D25"/>
  <c r="D27" s="1"/>
  <c r="D36" s="1"/>
  <c r="M25"/>
  <c r="M27" s="1"/>
  <c r="M36" s="1"/>
  <c r="I25"/>
  <c r="I27" s="1"/>
  <c r="I36" s="1"/>
  <c r="E25"/>
  <c r="E27" s="1"/>
  <c r="E36" s="1"/>
  <c r="K29"/>
  <c r="K31" s="1"/>
  <c r="G29"/>
  <c r="G31" s="1"/>
  <c r="C29"/>
  <c r="C31" s="1"/>
  <c r="B29"/>
  <c r="B31" s="1"/>
  <c r="F29"/>
  <c r="F31" s="1"/>
  <c r="J29"/>
  <c r="J31" s="1"/>
  <c r="J30" i="7"/>
  <c r="H27"/>
  <c r="D11"/>
  <c r="G27"/>
  <c r="F11"/>
  <c r="J687" i="10" l="1"/>
  <c r="I20"/>
  <c r="I21"/>
  <c r="I690" s="1"/>
  <c r="J226"/>
  <c r="J233" s="1"/>
  <c r="I233"/>
  <c r="L33"/>
  <c r="K711" s="1"/>
  <c r="L653"/>
  <c r="L655" s="1"/>
  <c r="L685"/>
  <c r="L669" s="1"/>
  <c r="L668"/>
  <c r="L692"/>
  <c r="S427"/>
  <c r="H427" s="1"/>
  <c r="I427" s="1"/>
  <c r="J427" s="1"/>
  <c r="J690" s="1"/>
  <c r="S424"/>
  <c r="H424" s="1"/>
  <c r="I424" s="1"/>
  <c r="J424" s="1"/>
  <c r="S422"/>
  <c r="H422" s="1"/>
  <c r="S426"/>
  <c r="H426" s="1"/>
  <c r="I426" s="1"/>
  <c r="J426" s="1"/>
  <c r="J689" s="1"/>
  <c r="S425"/>
  <c r="H425" s="1"/>
  <c r="I425" s="1"/>
  <c r="J425" s="1"/>
  <c r="J688" s="1"/>
  <c r="S423"/>
  <c r="H423" s="1"/>
  <c r="I423" s="1"/>
  <c r="J423" s="1"/>
  <c r="J686" s="1"/>
  <c r="H213"/>
  <c r="G720" s="1"/>
  <c r="I206"/>
  <c r="I687"/>
  <c r="I686"/>
  <c r="H23"/>
  <c r="S428"/>
  <c r="H428" s="1"/>
  <c r="I19"/>
  <c r="I688" s="1"/>
  <c r="H688"/>
  <c r="H686"/>
  <c r="N27" i="8"/>
  <c r="B36"/>
  <c r="G36"/>
  <c r="N31"/>
  <c r="C36"/>
  <c r="J36"/>
  <c r="J22" i="7"/>
  <c r="J33" s="1"/>
  <c r="G21"/>
  <c r="G32" s="1"/>
  <c r="G20"/>
  <c r="G31" s="1"/>
  <c r="G19"/>
  <c r="G30" s="1"/>
  <c r="F21"/>
  <c r="F20"/>
  <c r="F31" s="1"/>
  <c r="E22"/>
  <c r="E33" s="1"/>
  <c r="H22"/>
  <c r="H33" s="1"/>
  <c r="I22"/>
  <c r="I33" s="1"/>
  <c r="D22"/>
  <c r="D33" s="1"/>
  <c r="L66" i="6"/>
  <c r="M60"/>
  <c r="K60"/>
  <c r="J60"/>
  <c r="E60"/>
  <c r="H60" s="1"/>
  <c r="K59"/>
  <c r="J59"/>
  <c r="E59"/>
  <c r="H59" s="1"/>
  <c r="K58"/>
  <c r="J58"/>
  <c r="M58" s="1"/>
  <c r="E58"/>
  <c r="H58" s="1"/>
  <c r="L56"/>
  <c r="L61" s="1"/>
  <c r="G56"/>
  <c r="G61" s="1"/>
  <c r="M54"/>
  <c r="H54"/>
  <c r="J53"/>
  <c r="M53" s="1"/>
  <c r="E53"/>
  <c r="H53" s="1"/>
  <c r="N53" s="1"/>
  <c r="J52"/>
  <c r="M52" s="1"/>
  <c r="E52"/>
  <c r="H52" s="1"/>
  <c r="J51"/>
  <c r="M51" s="1"/>
  <c r="E51"/>
  <c r="H51" s="1"/>
  <c r="J50"/>
  <c r="M50" s="1"/>
  <c r="E50"/>
  <c r="H50" s="1"/>
  <c r="J49"/>
  <c r="M49" s="1"/>
  <c r="E49"/>
  <c r="H49" s="1"/>
  <c r="J48"/>
  <c r="M48" s="1"/>
  <c r="E48"/>
  <c r="H48" s="1"/>
  <c r="J47"/>
  <c r="M47" s="1"/>
  <c r="E47"/>
  <c r="H47" s="1"/>
  <c r="J46"/>
  <c r="M46" s="1"/>
  <c r="E46"/>
  <c r="H46" s="1"/>
  <c r="J45"/>
  <c r="M45" s="1"/>
  <c r="E45"/>
  <c r="H45" s="1"/>
  <c r="J44"/>
  <c r="M44" s="1"/>
  <c r="H44"/>
  <c r="E44"/>
  <c r="J43"/>
  <c r="M43" s="1"/>
  <c r="E43"/>
  <c r="H43" s="1"/>
  <c r="J42"/>
  <c r="M42" s="1"/>
  <c r="E42"/>
  <c r="H42" s="1"/>
  <c r="J41"/>
  <c r="M41" s="1"/>
  <c r="E41"/>
  <c r="H41" s="1"/>
  <c r="N41" s="1"/>
  <c r="K40"/>
  <c r="J40"/>
  <c r="E40"/>
  <c r="H40" s="1"/>
  <c r="J39"/>
  <c r="M39" s="1"/>
  <c r="E39"/>
  <c r="H39" s="1"/>
  <c r="J38"/>
  <c r="M38" s="1"/>
  <c r="E38"/>
  <c r="H38" s="1"/>
  <c r="J37"/>
  <c r="M37" s="1"/>
  <c r="E37"/>
  <c r="H37" s="1"/>
  <c r="N37" s="1"/>
  <c r="M36"/>
  <c r="J36"/>
  <c r="E36"/>
  <c r="H36" s="1"/>
  <c r="J35"/>
  <c r="M35" s="1"/>
  <c r="E35"/>
  <c r="H35" s="1"/>
  <c r="J34"/>
  <c r="M34" s="1"/>
  <c r="E34"/>
  <c r="H34" s="1"/>
  <c r="J33"/>
  <c r="M33" s="1"/>
  <c r="H33"/>
  <c r="E33"/>
  <c r="K32"/>
  <c r="J32"/>
  <c r="M32" s="1"/>
  <c r="F32"/>
  <c r="E32"/>
  <c r="H32" s="1"/>
  <c r="J31"/>
  <c r="M31" s="1"/>
  <c r="H31"/>
  <c r="E31"/>
  <c r="J30"/>
  <c r="M30" s="1"/>
  <c r="E30"/>
  <c r="H30" s="1"/>
  <c r="J29"/>
  <c r="M29" s="1"/>
  <c r="E29"/>
  <c r="H29" s="1"/>
  <c r="J28"/>
  <c r="M28" s="1"/>
  <c r="E28"/>
  <c r="H28" s="1"/>
  <c r="J27"/>
  <c r="M27" s="1"/>
  <c r="E27"/>
  <c r="H27" s="1"/>
  <c r="M26"/>
  <c r="J26"/>
  <c r="E26"/>
  <c r="H26" s="1"/>
  <c r="K25"/>
  <c r="J25"/>
  <c r="F25"/>
  <c r="E25"/>
  <c r="H25" s="1"/>
  <c r="M24"/>
  <c r="J24"/>
  <c r="E24"/>
  <c r="H24" s="1"/>
  <c r="K23"/>
  <c r="J23"/>
  <c r="M23" s="1"/>
  <c r="F23"/>
  <c r="E23"/>
  <c r="H23" s="1"/>
  <c r="M22"/>
  <c r="J22"/>
  <c r="E22"/>
  <c r="H22" s="1"/>
  <c r="J21"/>
  <c r="M21" s="1"/>
  <c r="E21"/>
  <c r="H21" s="1"/>
  <c r="J20"/>
  <c r="M20" s="1"/>
  <c r="E20"/>
  <c r="H20" s="1"/>
  <c r="M19"/>
  <c r="E19"/>
  <c r="H19" s="1"/>
  <c r="N19" s="1"/>
  <c r="M18"/>
  <c r="H18"/>
  <c r="M17"/>
  <c r="H17"/>
  <c r="N17" s="1"/>
  <c r="N1"/>
  <c r="N18" l="1"/>
  <c r="M25"/>
  <c r="N25" s="1"/>
  <c r="M40"/>
  <c r="N49"/>
  <c r="N22"/>
  <c r="F56"/>
  <c r="F61" s="1"/>
  <c r="N45"/>
  <c r="N54"/>
  <c r="N58"/>
  <c r="K56"/>
  <c r="K61" s="1"/>
  <c r="N23"/>
  <c r="N60"/>
  <c r="I428" i="10"/>
  <c r="H691"/>
  <c r="I422"/>
  <c r="I685" s="1"/>
  <c r="H429"/>
  <c r="G723" s="1"/>
  <c r="H685"/>
  <c r="H690"/>
  <c r="I23"/>
  <c r="H689"/>
  <c r="H687"/>
  <c r="L676"/>
  <c r="L679" s="1"/>
  <c r="I689"/>
  <c r="I213"/>
  <c r="J206"/>
  <c r="L711"/>
  <c r="K727"/>
  <c r="G710"/>
  <c r="H653"/>
  <c r="H655" s="1"/>
  <c r="N36" i="8"/>
  <c r="N32" i="6"/>
  <c r="N42"/>
  <c r="N46"/>
  <c r="N50"/>
  <c r="E56"/>
  <c r="E61" s="1"/>
  <c r="N29"/>
  <c r="N35"/>
  <c r="N39"/>
  <c r="N43"/>
  <c r="N47"/>
  <c r="N51"/>
  <c r="H56"/>
  <c r="H61" s="1"/>
  <c r="N26"/>
  <c r="N27"/>
  <c r="N30"/>
  <c r="N31"/>
  <c r="N33"/>
  <c r="N36"/>
  <c r="N40"/>
  <c r="M59"/>
  <c r="N21"/>
  <c r="J56"/>
  <c r="J61" s="1"/>
  <c r="N24"/>
  <c r="G22" i="7"/>
  <c r="G33" s="1"/>
  <c r="F22"/>
  <c r="F33" s="1"/>
  <c r="F32"/>
  <c r="N28" i="6"/>
  <c r="N34"/>
  <c r="N38"/>
  <c r="N59"/>
  <c r="M56"/>
  <c r="M61" s="1"/>
  <c r="N20"/>
  <c r="N44"/>
  <c r="N48"/>
  <c r="N52"/>
  <c r="L725" i="10" l="1"/>
  <c r="L723"/>
  <c r="L712"/>
  <c r="L717"/>
  <c r="L714"/>
  <c r="L722"/>
  <c r="L716"/>
  <c r="L721"/>
  <c r="L713"/>
  <c r="L720"/>
  <c r="L715"/>
  <c r="L710"/>
  <c r="L718"/>
  <c r="L719"/>
  <c r="L724"/>
  <c r="H692"/>
  <c r="G685" s="1"/>
  <c r="J428"/>
  <c r="J691" s="1"/>
  <c r="I691"/>
  <c r="I692" s="1"/>
  <c r="J213"/>
  <c r="G690"/>
  <c r="I634" s="1"/>
  <c r="J634" s="1"/>
  <c r="J674" s="1"/>
  <c r="H723"/>
  <c r="G727"/>
  <c r="H710"/>
  <c r="J422"/>
  <c r="J429" s="1"/>
  <c r="I429"/>
  <c r="N56" i="6"/>
  <c r="N61" s="1"/>
  <c r="F23" i="4"/>
  <c r="K23"/>
  <c r="L727" i="10" l="1"/>
  <c r="I629"/>
  <c r="H725"/>
  <c r="H713"/>
  <c r="H714"/>
  <c r="H716"/>
  <c r="H712"/>
  <c r="H721"/>
  <c r="H711"/>
  <c r="H718"/>
  <c r="H715"/>
  <c r="H719"/>
  <c r="H724"/>
  <c r="H722"/>
  <c r="H717"/>
  <c r="H720"/>
  <c r="I674"/>
  <c r="G689"/>
  <c r="I633" s="1"/>
  <c r="G686"/>
  <c r="I630" s="1"/>
  <c r="G688"/>
  <c r="I632" s="1"/>
  <c r="H727"/>
  <c r="G691"/>
  <c r="I635" s="1"/>
  <c r="J685"/>
  <c r="G687"/>
  <c r="I631" s="1"/>
  <c r="L56" i="4"/>
  <c r="L61" s="1"/>
  <c r="G56"/>
  <c r="F56"/>
  <c r="M54"/>
  <c r="H54"/>
  <c r="J53"/>
  <c r="M53" s="1"/>
  <c r="E53"/>
  <c r="H53" s="1"/>
  <c r="J52"/>
  <c r="M52" s="1"/>
  <c r="E52"/>
  <c r="H52" s="1"/>
  <c r="J51"/>
  <c r="M51" s="1"/>
  <c r="H51"/>
  <c r="J50"/>
  <c r="M50" s="1"/>
  <c r="E50"/>
  <c r="H50" s="1"/>
  <c r="J49"/>
  <c r="M49" s="1"/>
  <c r="E49"/>
  <c r="H49" s="1"/>
  <c r="J48"/>
  <c r="M48" s="1"/>
  <c r="N48" s="1"/>
  <c r="H48"/>
  <c r="M47"/>
  <c r="J47"/>
  <c r="E47"/>
  <c r="H47" s="1"/>
  <c r="J46"/>
  <c r="M46" s="1"/>
  <c r="E46"/>
  <c r="H46" s="1"/>
  <c r="J45"/>
  <c r="M45" s="1"/>
  <c r="E45"/>
  <c r="H45" s="1"/>
  <c r="J44"/>
  <c r="M44" s="1"/>
  <c r="H44"/>
  <c r="E44"/>
  <c r="J43"/>
  <c r="M43" s="1"/>
  <c r="E43"/>
  <c r="H43" s="1"/>
  <c r="J42"/>
  <c r="M42" s="1"/>
  <c r="E42"/>
  <c r="H42" s="1"/>
  <c r="J41"/>
  <c r="M41" s="1"/>
  <c r="E41"/>
  <c r="H41" s="1"/>
  <c r="K40"/>
  <c r="J40"/>
  <c r="E40"/>
  <c r="H40" s="1"/>
  <c r="M39"/>
  <c r="J39"/>
  <c r="E39"/>
  <c r="H39" s="1"/>
  <c r="J38"/>
  <c r="M38" s="1"/>
  <c r="H38"/>
  <c r="E38"/>
  <c r="J37"/>
  <c r="M37" s="1"/>
  <c r="H37"/>
  <c r="J36"/>
  <c r="M36" s="1"/>
  <c r="E36"/>
  <c r="H36" s="1"/>
  <c r="J35"/>
  <c r="M35" s="1"/>
  <c r="H35"/>
  <c r="J34"/>
  <c r="M34" s="1"/>
  <c r="N34" s="1"/>
  <c r="H34"/>
  <c r="J33"/>
  <c r="M33" s="1"/>
  <c r="N33" s="1"/>
  <c r="H33"/>
  <c r="M32"/>
  <c r="J32"/>
  <c r="E32"/>
  <c r="H32" s="1"/>
  <c r="N32" s="1"/>
  <c r="J31"/>
  <c r="M31" s="1"/>
  <c r="E31"/>
  <c r="H31" s="1"/>
  <c r="J30"/>
  <c r="M30" s="1"/>
  <c r="E30"/>
  <c r="H30" s="1"/>
  <c r="J29"/>
  <c r="M29" s="1"/>
  <c r="H29"/>
  <c r="E29"/>
  <c r="M28"/>
  <c r="J28"/>
  <c r="E28"/>
  <c r="H28" s="1"/>
  <c r="J27"/>
  <c r="M27" s="1"/>
  <c r="E27"/>
  <c r="H27" s="1"/>
  <c r="J26"/>
  <c r="M26" s="1"/>
  <c r="E26"/>
  <c r="H26" s="1"/>
  <c r="J25"/>
  <c r="M25" s="1"/>
  <c r="H25"/>
  <c r="N25" s="1"/>
  <c r="E25"/>
  <c r="M24"/>
  <c r="J24"/>
  <c r="H24"/>
  <c r="J23"/>
  <c r="M23" s="1"/>
  <c r="E23"/>
  <c r="H23" s="1"/>
  <c r="J22"/>
  <c r="M22" s="1"/>
  <c r="N22" s="1"/>
  <c r="H22"/>
  <c r="J21"/>
  <c r="M21" s="1"/>
  <c r="N21" s="1"/>
  <c r="H21"/>
  <c r="J20"/>
  <c r="M20" s="1"/>
  <c r="E20"/>
  <c r="H20" s="1"/>
  <c r="M19"/>
  <c r="E19"/>
  <c r="M18"/>
  <c r="H18"/>
  <c r="N18" s="1"/>
  <c r="N17"/>
  <c r="M17"/>
  <c r="H17"/>
  <c r="N1"/>
  <c r="N44" l="1"/>
  <c r="E56"/>
  <c r="N29"/>
  <c r="J631" i="10"/>
  <c r="J671" s="1"/>
  <c r="I671"/>
  <c r="J635"/>
  <c r="J675" s="1"/>
  <c r="I675"/>
  <c r="J633"/>
  <c r="J673" s="1"/>
  <c r="I673"/>
  <c r="J629"/>
  <c r="I636"/>
  <c r="I669"/>
  <c r="I653"/>
  <c r="I655" s="1"/>
  <c r="G692"/>
  <c r="J692"/>
  <c r="J669"/>
  <c r="J676" s="1"/>
  <c r="J679" s="1"/>
  <c r="J630"/>
  <c r="J670" s="1"/>
  <c r="I670"/>
  <c r="J632"/>
  <c r="J672" s="1"/>
  <c r="I672"/>
  <c r="N28" i="4"/>
  <c r="N36"/>
  <c r="N35"/>
  <c r="N39"/>
  <c r="N43"/>
  <c r="N47"/>
  <c r="N51"/>
  <c r="J56"/>
  <c r="N54"/>
  <c r="N20"/>
  <c r="N24"/>
  <c r="N52"/>
  <c r="N27"/>
  <c r="N31"/>
  <c r="M40"/>
  <c r="N40" s="1"/>
  <c r="N42"/>
  <c r="N46"/>
  <c r="N53"/>
  <c r="M56"/>
  <c r="N23"/>
  <c r="N30"/>
  <c r="N37"/>
  <c r="N49"/>
  <c r="N38"/>
  <c r="N50"/>
  <c r="N26"/>
  <c r="N41"/>
  <c r="N45"/>
  <c r="K56"/>
  <c r="H19"/>
  <c r="N19" s="1"/>
  <c r="J636" i="10" l="1"/>
  <c r="J653"/>
  <c r="J655" s="1"/>
  <c r="I676"/>
  <c r="I679" s="1"/>
  <c r="N56" i="4"/>
  <c r="H56"/>
</calcChain>
</file>

<file path=xl/comments1.xml><?xml version="1.0" encoding="utf-8"?>
<comments xmlns="http://schemas.openxmlformats.org/spreadsheetml/2006/main">
  <authors>
    <author>carterj</author>
  </authors>
  <commentList>
    <comment ref="I700" authorId="0">
      <text>
        <r>
          <rPr>
            <b/>
            <sz val="9"/>
            <color indexed="81"/>
            <rFont val="Tahoma"/>
            <family val="2"/>
          </rPr>
          <t>carterj:</t>
        </r>
        <r>
          <rPr>
            <sz val="9"/>
            <color indexed="81"/>
            <rFont val="Tahoma"/>
            <family val="2"/>
          </rPr>
          <t xml:space="preserve">
used $300K - conservative adjustment</t>
        </r>
      </text>
    </comment>
  </commentList>
</comments>
</file>

<file path=xl/sharedStrings.xml><?xml version="1.0" encoding="utf-8"?>
<sst xmlns="http://schemas.openxmlformats.org/spreadsheetml/2006/main" count="986" uniqueCount="335">
  <si>
    <t>Total</t>
  </si>
  <si>
    <t>File Number:</t>
  </si>
  <si>
    <t>Appendix 2-B</t>
  </si>
  <si>
    <t>Fixed Asset Continuity Schedule - MIFRS</t>
  </si>
  <si>
    <t xml:space="preserve">Year </t>
  </si>
  <si>
    <t>Cost</t>
  </si>
  <si>
    <t>Accumulated Depreciation</t>
  </si>
  <si>
    <t>CCA Class</t>
  </si>
  <si>
    <t>OEB</t>
  </si>
  <si>
    <t>Description</t>
  </si>
  <si>
    <t>Depreciation Rate</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</si>
  <si>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</si>
  <si>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</si>
  <si>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</si>
  <si>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</si>
  <si>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</si>
  <si>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</si>
  <si>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</si>
  <si>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</si>
  <si>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</si>
  <si>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</si>
  <si>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</si>
  <si>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</si>
  <si>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</si>
  <si>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</si>
  <si>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</si>
  <si>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</si>
  <si>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</si>
  <si>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</si>
  <si>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</si>
  <si>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</si>
  <si>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</si>
  <si>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</si>
  <si>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</si>
  <si>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</si>
  <si>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</si>
  <si>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</si>
  <si>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</si>
  <si>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</si>
  <si>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</si>
  <si>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</si>
  <si>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</si>
  <si>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</si>
  <si>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</si>
  <si>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</si>
  <si>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</si>
  <si>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</si>
  <si>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</si>
  <si>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Utility Premises</t>
  </si>
  <si>
    <t>System Supervisor Equipment</t>
  </si>
  <si>
    <t>Miscellaneous Fixed Assets</t>
  </si>
  <si>
    <t>Contributions &amp; Grants</t>
  </si>
  <si>
    <t>etc.</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</si>
  <si>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</si>
  <si>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</si>
  <si>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</si>
  <si>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</si>
  <si>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</si>
  <si>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</si>
  <si>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</si>
  <si>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depreciation column (D) is not required as the relevant information will be provided in the following 2-C series of appendices.</t>
  </si>
  <si>
    <t>Smart Meter Additions (from 1555)</t>
  </si>
  <si>
    <t>Computer Hardware (Smart Meters)</t>
  </si>
  <si>
    <t>Computer Software (Smart Meters)</t>
  </si>
  <si>
    <t>Revised Total</t>
  </si>
  <si>
    <t>OEB Account</t>
  </si>
  <si>
    <t>Gross Additions</t>
  </si>
  <si>
    <t>Contributions and Grants</t>
  </si>
  <si>
    <t>Ratio of Contributions to Gross Assets</t>
  </si>
  <si>
    <t>Historic Load &amp; Transmission Data</t>
  </si>
  <si>
    <t>Components</t>
  </si>
  <si>
    <t>Total Energy (KWh)</t>
  </si>
  <si>
    <t>Low Voltage ST Common KW</t>
  </si>
  <si>
    <t>LVDS KW</t>
  </si>
  <si>
    <t>Ratio</t>
  </si>
  <si>
    <t>2010, 2011 Average</t>
  </si>
  <si>
    <t>Low Voltage ST Common KW / KWh</t>
  </si>
  <si>
    <t>LVDS KW / KWh</t>
  </si>
  <si>
    <t>Low Voltage (LV) Cost Estimate for 2013</t>
  </si>
  <si>
    <t>Jan</t>
  </si>
  <si>
    <t>Feb</t>
  </si>
  <si>
    <t>Mar</t>
  </si>
  <si>
    <t>Apr</t>
  </si>
  <si>
    <t>May</t>
  </si>
  <si>
    <t>Jun</t>
  </si>
  <si>
    <t>Jul</t>
  </si>
  <si>
    <t>Aug</t>
  </si>
  <si>
    <t>Sep</t>
  </si>
  <si>
    <t>Oct</t>
  </si>
  <si>
    <t>Nov</t>
  </si>
  <si>
    <t>Dec</t>
  </si>
  <si>
    <t>Total Purchases (kWh)</t>
  </si>
  <si>
    <t>Monthly Energy Usage Distribution</t>
  </si>
  <si>
    <t>LV Quantities (kW)</t>
  </si>
  <si>
    <t xml:space="preserve"> LV Charges - Rate</t>
  </si>
  <si>
    <t>LV Charges - Cost</t>
  </si>
  <si>
    <t>LVDS Quantities (kW)</t>
  </si>
  <si>
    <t>LVDS (per kW)</t>
  </si>
  <si>
    <t>LVDS (on average 1,850 kW)</t>
  </si>
  <si>
    <t>Monthly Service charges (fixed per account)</t>
  </si>
  <si>
    <t>Monthly Service charges (20 accounts)</t>
  </si>
  <si>
    <t>Total LV Cost</t>
  </si>
  <si>
    <t>Low Voltage (LV) Cost Estimate for 2013 based on Monthly Total KW from 2012</t>
  </si>
  <si>
    <t>Total Purchases (KWh)</t>
  </si>
  <si>
    <t>LV Quantities (Monthly total KW from 2012)</t>
  </si>
  <si>
    <t>LVDS Quantities (Monthly Total KW from 2012)</t>
  </si>
  <si>
    <t>LVDS (per KW)</t>
  </si>
  <si>
    <t>LVDS (on average 1,850 KW)</t>
  </si>
  <si>
    <t>Appendix 2-A</t>
  </si>
  <si>
    <t>Capital Projects Table</t>
  </si>
  <si>
    <t>Updated As Per 2.0-Energy Probe #45c</t>
  </si>
  <si>
    <t>Projects</t>
  </si>
  <si>
    <t>2012 Bridge Year (As Originally Filed)</t>
  </si>
  <si>
    <t>2012 Bridge Year (Actual YTD + forecast to year end) At Jan 2013</t>
  </si>
  <si>
    <r>
      <t xml:space="preserve">2012 Bridge Year (Actual YTD + forecast to year end) At </t>
    </r>
    <r>
      <rPr>
        <b/>
        <sz val="10"/>
        <color rgb="FFFF0000"/>
        <rFont val="Arial"/>
        <family val="2"/>
      </rPr>
      <t>Feb 2013</t>
    </r>
  </si>
  <si>
    <r>
      <t>2012 Bridge Year (Actual YTD + forecast to year end) At</t>
    </r>
    <r>
      <rPr>
        <b/>
        <sz val="10"/>
        <color rgb="FFFF0000"/>
        <rFont val="Arial"/>
        <family val="2"/>
      </rPr>
      <t xml:space="preserve"> Feb 2013</t>
    </r>
  </si>
  <si>
    <t>2013 Test Year (As Originally Filed)</t>
  </si>
  <si>
    <t>2013 Test Year (with known revisions at Jan 2013)</t>
  </si>
  <si>
    <r>
      <t>2013 Test Year (with known revisions at</t>
    </r>
    <r>
      <rPr>
        <b/>
        <sz val="10"/>
        <color rgb="FFFF0000"/>
        <rFont val="Arial"/>
        <family val="2"/>
      </rPr>
      <t xml:space="preserve"> Feb 2013</t>
    </r>
    <r>
      <rPr>
        <b/>
        <sz val="10"/>
        <rFont val="Arial"/>
        <family val="2"/>
      </rPr>
      <t>)</t>
    </r>
  </si>
  <si>
    <t>2012 Actual at Nov 30 2012</t>
  </si>
  <si>
    <t>2012 forecast to year end</t>
  </si>
  <si>
    <t>2012 Total revised budget</t>
  </si>
  <si>
    <t>2012 Reallocation</t>
  </si>
  <si>
    <t>2013 Reallocation</t>
  </si>
  <si>
    <t>Reporting Basis</t>
  </si>
  <si>
    <t>CGAAP</t>
  </si>
  <si>
    <t>MIFRS</t>
  </si>
  <si>
    <t>Capital #6 Primary Replacement</t>
  </si>
  <si>
    <t>Per WC 92% complete at year end</t>
  </si>
  <si>
    <t>Services</t>
  </si>
  <si>
    <t>Sub-Total</t>
  </si>
  <si>
    <t>Capital Poles - Priority Level 5</t>
  </si>
  <si>
    <t>Per WC 100% complete at year end</t>
  </si>
  <si>
    <t>2013, additional 231,801 added to budget from capital poles</t>
  </si>
  <si>
    <t>Capital Poles</t>
  </si>
  <si>
    <t>Per WC 42% complete at year end</t>
  </si>
  <si>
    <t>2013 moved to Capital P5 poles budget</t>
  </si>
  <si>
    <t>Southampton Saugeen Street</t>
  </si>
  <si>
    <t>Capital Cost</t>
  </si>
  <si>
    <t>Kincardine Saugeen Street Rebuild</t>
  </si>
  <si>
    <t>Harriston Substation Contingency 2 MVA</t>
  </si>
  <si>
    <t>Distribution Station Equipment</t>
  </si>
  <si>
    <t>Wingham MS1 Reclosure Replacement</t>
  </si>
  <si>
    <t>Southampton MS1 Structure Rebuild</t>
  </si>
  <si>
    <t>Emergency Transformer Refurb &amp; Ready Stations</t>
  </si>
  <si>
    <t>Hanover MS2 Cable Replacement</t>
  </si>
  <si>
    <t>Hanover MS2 Ground Grid Reactor</t>
  </si>
  <si>
    <t>Upgrade Station Metering</t>
  </si>
  <si>
    <t>Hanover MS1 Reactor Installation</t>
  </si>
  <si>
    <t>Per WC, will not be completed in 2012</t>
  </si>
  <si>
    <t>Project deferred to 2013</t>
  </si>
  <si>
    <t>Palmerston MS Recloser Replacement</t>
  </si>
  <si>
    <t>Substation Fencing</t>
  </si>
  <si>
    <t>Building</t>
  </si>
  <si>
    <t>Station Grid Upgrade - 25 Stations</t>
  </si>
  <si>
    <t>Substation Transformer Refurbishment</t>
  </si>
  <si>
    <t>Harriston MS Spare Substation Transformer</t>
  </si>
  <si>
    <t>Harriston T2 Upgrade</t>
  </si>
  <si>
    <t>Distribution Substation Equipment</t>
  </si>
  <si>
    <t>Walkerton MS1 New Substation Transformer</t>
  </si>
  <si>
    <t>Live Line Openers</t>
  </si>
  <si>
    <t>Lucknow 6-Plex</t>
  </si>
  <si>
    <t>Port Elgin 5KV Cable &amp; Poletran Replacement</t>
  </si>
  <si>
    <t>Per WC, 100% complete at year end</t>
  </si>
  <si>
    <t>Kincardine Poletran &amp; BRI Cable Replacement</t>
  </si>
  <si>
    <t>Harriston Poletran Rebuild</t>
  </si>
  <si>
    <t>Kincardine Hunter Street Defective Transformer Foundations</t>
  </si>
  <si>
    <t>Padmount Transformers with no Ground Gradient</t>
  </si>
  <si>
    <t>New 3 Phase Customers</t>
  </si>
  <si>
    <t>Per WC 78% complete at year end</t>
  </si>
  <si>
    <t>New low voltage services</t>
  </si>
  <si>
    <t>no % provided by WC, JC used 2/11 for forecast purposes</t>
  </si>
  <si>
    <t>Non-demarcation Customers</t>
  </si>
  <si>
    <t>took actual YTD + $5,000.  WC had input Nil for 2012 but there were some</t>
  </si>
  <si>
    <t>New Lots Developed</t>
  </si>
  <si>
    <t>took actual YTD (no year end forecast provided by WC)</t>
  </si>
  <si>
    <t>Registered Meter Point Resealing</t>
  </si>
  <si>
    <t>Prior Year Capital Projects Completed</t>
  </si>
  <si>
    <t>Current Year Capital Projects - non budgeted</t>
  </si>
  <si>
    <t>Municipal Roads Act</t>
  </si>
  <si>
    <t>Mildmay PME Lightning Strike</t>
  </si>
  <si>
    <t>Walkerton MS3 - Copper Theft</t>
  </si>
  <si>
    <t>Service Upgrade for Customer Owned Substation</t>
  </si>
  <si>
    <t>Service Upgrade for Industrial Customer - EkoFuels</t>
  </si>
  <si>
    <t>Service Upgrade - PE Docks</t>
  </si>
  <si>
    <t>Power Supply - Eastlink</t>
  </si>
  <si>
    <t>Fibre Make Ready</t>
  </si>
  <si>
    <t>New Service or Upgrade to 400 Amp</t>
  </si>
  <si>
    <t>Replace 3 Phase Bank</t>
  </si>
  <si>
    <t>New Load Transfer Customer</t>
  </si>
  <si>
    <t>Service Relocation for Town of Hanover - Left Turn Lane Reconstruction</t>
  </si>
  <si>
    <t>Steel Pole Relocation for Town of Lucknow - Fire Hall</t>
  </si>
  <si>
    <t>Pole Line Relocation</t>
  </si>
  <si>
    <t>Infrastructure Rebuild - Storm</t>
  </si>
  <si>
    <t>Non-budgeted Work Orders</t>
  </si>
  <si>
    <t>Metering</t>
  </si>
  <si>
    <t>Walkerton: Peter Street</t>
  </si>
  <si>
    <t>Southampton: Strut Guy Conversion</t>
  </si>
  <si>
    <t>Hanover: Broken Pole</t>
  </si>
  <si>
    <t>Walkerton: Walkerton Industrial Park</t>
  </si>
  <si>
    <t>Port Elgin: Elgin Lodge Addition</t>
  </si>
  <si>
    <t>Hanover: Hanover Industrial Park</t>
  </si>
  <si>
    <t>Hanover: Mini Plaza</t>
  </si>
  <si>
    <t>Overhead to Underground - Customer Driven</t>
  </si>
  <si>
    <t>Port Elgin 4-Plex</t>
  </si>
  <si>
    <t>Service Upgrade - Teeswater School</t>
  </si>
  <si>
    <t>Southampton: Service 2 Lots to Line Lot</t>
  </si>
  <si>
    <t>Walkerton: Durham Street - Metering Upgrade</t>
  </si>
  <si>
    <t>Walkerton: Industrial Road Updgrade</t>
  </si>
  <si>
    <t>Wingham: Capital Rebuild - Martha to George Street</t>
  </si>
  <si>
    <t>Wingham: Metering Upgrade</t>
  </si>
  <si>
    <t>Underground Burnoffs</t>
  </si>
  <si>
    <t>Neustadt PME</t>
  </si>
  <si>
    <t>Bi-Directional Meters</t>
  </si>
  <si>
    <t>Rellocate Transformers</t>
  </si>
  <si>
    <t>Underground Cable Installation</t>
  </si>
  <si>
    <t>New Pole</t>
  </si>
  <si>
    <t>Install Primary, Transformer &amp; Metering</t>
  </si>
  <si>
    <t>Strut Guy Installation</t>
  </si>
  <si>
    <t>Harriston Library Upgrade</t>
  </si>
  <si>
    <t>Retro for Demolition</t>
  </si>
  <si>
    <t>Stock</t>
  </si>
  <si>
    <t>Other - Burden Clearing and Scrap Inventory Adjustment</t>
  </si>
  <si>
    <t>Reclassified or Transferred</t>
  </si>
  <si>
    <t>Other - burden clearing and scrap inventory adjustment</t>
  </si>
  <si>
    <t>Other</t>
  </si>
  <si>
    <t>Office Furniture &amp; Equipment</t>
  </si>
  <si>
    <t>Computer Hardware</t>
  </si>
  <si>
    <t>Computer Sofware</t>
  </si>
  <si>
    <t>Miscellaneous Equipment</t>
  </si>
  <si>
    <t>Miscellaneous</t>
  </si>
  <si>
    <t>Contributed Capital</t>
  </si>
  <si>
    <t>Net Total</t>
  </si>
  <si>
    <t>1   Please provide a breakdown of the major components of each capital project.  Please ensure that all projects below the materiality threshold are included in the miscellaneous line.  Add more projects as required.</t>
  </si>
  <si>
    <t>2   Amounts should be reported on a MIFRS basis for the adoption year and any subsequent years, only.</t>
  </si>
  <si>
    <t>WPI Notes:</t>
  </si>
  <si>
    <t>1  Received direction from Ted A at OEB that it was acceptable to report CGAAP for each year as the proper accounting treatment is addressed along with all other assets in subsequent schedules</t>
  </si>
  <si>
    <t>Total by Asset Account (Distribution Assets)</t>
  </si>
  <si>
    <t>Total Distribution Assets</t>
  </si>
  <si>
    <t>Total Assets</t>
  </si>
  <si>
    <t>Assets before burden adjustments</t>
  </si>
  <si>
    <t>Over/under adjustment</t>
  </si>
  <si>
    <t xml:space="preserve">  CGAAP</t>
  </si>
  <si>
    <t xml:space="preserve">  MIFRS</t>
  </si>
  <si>
    <t>Capital portion</t>
  </si>
  <si>
    <t xml:space="preserve">  Eng burden</t>
  </si>
  <si>
    <t xml:space="preserve">  Labour clearing</t>
  </si>
  <si>
    <t xml:space="preserve">  Inventory clearing</t>
  </si>
  <si>
    <t xml:space="preserve">  Admin burden</t>
  </si>
  <si>
    <t xml:space="preserve">  Stores burden</t>
  </si>
  <si>
    <t>Total adjustment</t>
  </si>
  <si>
    <t>Capital #6 Primary Replacment</t>
  </si>
  <si>
    <t>Station Gride Code Upgrade - 25 Stations</t>
  </si>
  <si>
    <t>Non-demarcation customers</t>
  </si>
  <si>
    <t>New lots developed</t>
  </si>
  <si>
    <t>Non-budgeted work orders</t>
  </si>
  <si>
    <t>**Before Revision for 2012 Actual Forecast - as filed January 2013**</t>
  </si>
  <si>
    <t>**Before Revision for 2013 Forecast - as filed January 2013**</t>
  </si>
  <si>
    <t>Reason for Variance  - please see the following References</t>
  </si>
  <si>
    <t>2013 Test Year</t>
  </si>
  <si>
    <t>2012 Bridge Year</t>
  </si>
  <si>
    <t>Variance</t>
  </si>
  <si>
    <t>Original Submission</t>
  </si>
  <si>
    <t>Interrogatories</t>
  </si>
  <si>
    <t>Supplemental Interrogatories</t>
  </si>
  <si>
    <t>5114-Maintenance of Distribution Station Equipment</t>
  </si>
  <si>
    <t>Ex 4, Tab 3, Sch 1, pg 1-2 of 30</t>
  </si>
  <si>
    <t>5160-Maintenance of Line Transformers</t>
  </si>
  <si>
    <t xml:space="preserve">Ex 4, Tab 3, Sch 1, pg 3 of 28 </t>
  </si>
  <si>
    <t>Board Staff 23</t>
  </si>
  <si>
    <t>5040-Underground Distribution Lines and Feeders - Operation Labour</t>
  </si>
  <si>
    <t>Ex 4, Tab 3, Sch 1, pg 4 &amp; 5 of 28 + Irs</t>
  </si>
  <si>
    <t>5065-Meter Expense</t>
  </si>
  <si>
    <t>Ex 4, Tab 3, Sch 1, pg 6 of 28</t>
  </si>
  <si>
    <t>Board Staff 24</t>
  </si>
  <si>
    <t>5085-Miscellaneous Distribution Expense</t>
  </si>
  <si>
    <t>Ex 4, Tab 3, Sch 1, pg 7 of 28</t>
  </si>
  <si>
    <t>5105-Maintenance Supervision and Engineering</t>
  </si>
  <si>
    <t>VECC 20 a</t>
  </si>
  <si>
    <t>5120-Maintenance of Poles, Towers and Fixtures</t>
  </si>
  <si>
    <t>Ex 4, Tab 3, Sch 1, pg 8 of 28</t>
  </si>
  <si>
    <t>SEC 9</t>
  </si>
  <si>
    <t>5125-Maintenance of Overhead Conductors and Devices</t>
  </si>
  <si>
    <t>Ex 4, Tab 3, Sch 1, pg 9 of 28</t>
  </si>
  <si>
    <t>5130-Maintenance of Overhead Services</t>
  </si>
  <si>
    <t>Ex 4, Tab 3, Sch 1, pg 10 of 28</t>
  </si>
  <si>
    <t>Board Staff 25</t>
  </si>
  <si>
    <t>5155-Maintenance of Underground Services</t>
  </si>
  <si>
    <t>Ex 4, Tab 3, Sch 1, pg 10 of 29</t>
  </si>
  <si>
    <t>5135-Overhead Distribution Lines and Feeders - Right of Way</t>
  </si>
  <si>
    <t>Ex 4, Tab 3, Sch 1, pg 11 &amp; 12 of 28 + Irs</t>
  </si>
  <si>
    <t>Board Staff 26 &amp; SEC 10</t>
  </si>
  <si>
    <t>4.0-Staff-73</t>
  </si>
  <si>
    <t>5145-Maintenance of Underground Conduit</t>
  </si>
  <si>
    <t>Ex 4, Tab 3, Sch 1, pg 13 of 28</t>
  </si>
  <si>
    <t>Board Staff 27</t>
  </si>
  <si>
    <t>5305-Supervision</t>
  </si>
  <si>
    <t>5310-Meter Reading Expense</t>
  </si>
  <si>
    <t>Ex 4, Tab 3, Sch 1, pg 14 of 28</t>
  </si>
  <si>
    <t>Board Staff 28 &amp; VECC 18</t>
  </si>
  <si>
    <t>4.0-Staff-74 &amp; 4.0-VECC-40</t>
  </si>
  <si>
    <t>5315-Customer Billing</t>
  </si>
  <si>
    <t>Ex 4, Tab 3, Sch 1, pg 15 of 28</t>
  </si>
  <si>
    <t>5320-Collecting</t>
  </si>
  <si>
    <t>Ex 4, Tab 3, Sch 1, pg 15 &amp; 16 of 28</t>
  </si>
  <si>
    <t>5330-Collection Charges</t>
  </si>
  <si>
    <t>Increase in costs from third party collection agency</t>
  </si>
  <si>
    <t>5335-Bad Debt Expense</t>
  </si>
  <si>
    <t>Ex 4, Tab 3, Sch 1, pg 16 of 28</t>
  </si>
  <si>
    <t>VECC 19 a</t>
  </si>
  <si>
    <t>5410-Community Relations - Sundry</t>
  </si>
  <si>
    <t>Ex 4, Tab 3, Sch 1, pg 17 &amp; 18 of 28</t>
  </si>
  <si>
    <t>Board Staff 29 &amp; VECC 19 b</t>
  </si>
  <si>
    <t>4.0-Staff-75</t>
  </si>
  <si>
    <t>5420-Community Safety Program</t>
  </si>
  <si>
    <t>Ex 4, Tab 3, Sch 1, pg 17 &amp; 18 of 29</t>
  </si>
  <si>
    <t>5425-Miscellaneous Customer Service and Informational Expenses</t>
  </si>
  <si>
    <t>Ex 4, Tab 3, Sch 1, pg 17 &amp; 18 of 30</t>
  </si>
  <si>
    <t>5605-Executive Salaries and Expenses</t>
  </si>
  <si>
    <t>Ex 4, Tab 4</t>
  </si>
  <si>
    <t>5610-Management Salaries and Expenses</t>
  </si>
  <si>
    <t>5615-General Administrative Salaries and Expenses</t>
  </si>
  <si>
    <t>5620-Office Supplies and Expenses</t>
  </si>
  <si>
    <t>Ex 4, Tab 3, Sch 1, pg 21-23 of 28</t>
  </si>
  <si>
    <t>5635-Property Insurance</t>
  </si>
  <si>
    <t>Ex 4, Tab 3, Sch 1, pg 24 of 28</t>
  </si>
  <si>
    <t>5655-Regulatory Expenses</t>
  </si>
  <si>
    <t>Ex 4, Tab 2, Sch 3</t>
  </si>
  <si>
    <t>5660-General Advertising Expenses</t>
  </si>
  <si>
    <t>Ex 4, Tab 3, Sch 1, pg 26 of 28</t>
  </si>
  <si>
    <t>5665-Miscellaneous General Expenses</t>
  </si>
  <si>
    <t>Ex 4, Tab 3, Sch 1, pg 26 &amp; 27 of 28</t>
  </si>
  <si>
    <t>5675-Maintenance of General Plant</t>
  </si>
  <si>
    <t>Ex 4, Tab 3, Sch 1, 27 &amp; 28 of 28</t>
  </si>
  <si>
    <t>Total of 'Other'</t>
  </si>
</sst>
</file>

<file path=xl/styles.xml><?xml version="1.0" encoding="utf-8"?>
<styleSheet xmlns="http://schemas.openxmlformats.org/spreadsheetml/2006/main">
  <numFmts count="13">
    <numFmt numFmtId="42" formatCode="_-&quot;$&quot;* #,##0_-;\-&quot;$&quot;* #,##0_-;_-&quot;$&quot;* &quot;-&quot;_-;_-@_-"/>
    <numFmt numFmtId="44" formatCode="_-&quot;$&quot;* #,##0.00_-;\-&quot;$&quot;* #,##0.00_-;_-&quot;$&quot;* &quot;-&quot;??_-;_-@_-"/>
    <numFmt numFmtId="43" formatCode="_-* #,##0.00_-;\-* #,##0.00_-;_-* &quot;-&quot;??_-;_-@_-"/>
    <numFmt numFmtId="164" formatCode="_-&quot;$&quot;* #,##0_-;\-&quot;$&quot;* #,##0_-;_-&quot;$&quot;* &quot;-&quot;??_-;_-@_-"/>
    <numFmt numFmtId="165" formatCode="_(* #,##0.00_);_(* \(#,##0.00\);_(* &quot;-&quot;??_);_(@_)"/>
    <numFmt numFmtId="166" formatCode="_(&quot;$&quot;* #,##0.00_);_(&quot;$&quot;* \(#,##0.00\);_(&quot;$&quot;* &quot;-&quot;??_);_(@_)"/>
    <numFmt numFmtId="167" formatCode="&quot;$&quot;#,##0_);\(&quot;$&quot;#,##0\)"/>
    <numFmt numFmtId="168" formatCode="_-* #,##0_-;\-* #,##0_-;_-* &quot;-&quot;??_-;_-@_-"/>
    <numFmt numFmtId="169" formatCode="0.0%"/>
    <numFmt numFmtId="170" formatCode="0.00000%"/>
    <numFmt numFmtId="171" formatCode="0.000%"/>
    <numFmt numFmtId="172" formatCode="0.0000%"/>
    <numFmt numFmtId="173" formatCode="_(&quot;$&quot;* #,##0.0000_);_(&quot;$&quot;* \(#,##0.0000\);_(&quot;$&quot;* &quot;-&quot;????_);_(@_)"/>
  </numFmts>
  <fonts count="7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i/>
      <sz val="10"/>
      <name val="Arial"/>
      <family val="2"/>
    </font>
    <font>
      <b/>
      <i/>
      <sz val="10"/>
      <name val="Arial"/>
      <family val="2"/>
    </font>
    <font>
      <sz val="10"/>
      <color theme="1"/>
      <name val="Arial"/>
      <family val="2"/>
    </font>
    <font>
      <sz val="11"/>
      <color indexed="8"/>
      <name val="Calibri"/>
      <family val="2"/>
    </font>
    <font>
      <sz val="10"/>
      <color theme="0"/>
      <name val="Arial"/>
      <family val="2"/>
    </font>
    <font>
      <sz val="11"/>
      <color indexed="9"/>
      <name val="Calibri"/>
      <family val="2"/>
    </font>
    <font>
      <sz val="10"/>
      <color rgb="FF9C0006"/>
      <name val="Arial"/>
      <family val="2"/>
    </font>
    <font>
      <sz val="11"/>
      <color indexed="20"/>
      <name val="Calibri"/>
      <family val="2"/>
    </font>
    <font>
      <b/>
      <sz val="10"/>
      <color rgb="FFFA7D00"/>
      <name val="Arial"/>
      <family val="2"/>
    </font>
    <font>
      <b/>
      <sz val="11"/>
      <color indexed="52"/>
      <name val="Calibri"/>
      <family val="2"/>
    </font>
    <font>
      <b/>
      <sz val="10"/>
      <color theme="0"/>
      <name val="Arial"/>
      <family val="2"/>
    </font>
    <font>
      <b/>
      <sz val="11"/>
      <color indexed="9"/>
      <name val="Calibri"/>
      <family val="2"/>
    </font>
    <font>
      <i/>
      <sz val="10"/>
      <color rgb="FF7F7F7F"/>
      <name val="Arial"/>
      <family val="2"/>
    </font>
    <font>
      <i/>
      <sz val="11"/>
      <color indexed="23"/>
      <name val="Calibri"/>
      <family val="2"/>
    </font>
    <font>
      <sz val="10"/>
      <color rgb="FF006100"/>
      <name val="Arial"/>
      <family val="2"/>
    </font>
    <font>
      <sz val="11"/>
      <color indexed="17"/>
      <name val="Calibri"/>
      <family val="2"/>
    </font>
    <font>
      <b/>
      <sz val="15"/>
      <color theme="3"/>
      <name val="Arial"/>
      <family val="2"/>
    </font>
    <font>
      <b/>
      <sz val="15"/>
      <color indexed="56"/>
      <name val="Calibri"/>
      <family val="2"/>
    </font>
    <font>
      <b/>
      <sz val="18"/>
      <name val="Arial"/>
      <family val="2"/>
    </font>
    <font>
      <b/>
      <sz val="13"/>
      <color theme="3"/>
      <name val="Arial"/>
      <family val="2"/>
    </font>
    <font>
      <b/>
      <sz val="13"/>
      <color indexed="56"/>
      <name val="Calibri"/>
      <family val="2"/>
    </font>
    <font>
      <b/>
      <sz val="12"/>
      <name val="Arial"/>
      <family val="2"/>
    </font>
    <font>
      <b/>
      <sz val="11"/>
      <color theme="3"/>
      <name val="Arial"/>
      <family val="2"/>
    </font>
    <font>
      <b/>
      <sz val="11"/>
      <color indexed="56"/>
      <name val="Calibri"/>
      <family val="2"/>
    </font>
    <font>
      <u/>
      <sz val="10"/>
      <color indexed="12"/>
      <name val="Arial"/>
      <family val="2"/>
    </font>
    <font>
      <u/>
      <sz val="7.5"/>
      <color indexed="12"/>
      <name val="Arial"/>
      <family val="2"/>
    </font>
    <font>
      <sz val="10"/>
      <color rgb="FF3F3F76"/>
      <name val="Arial"/>
      <family val="2"/>
    </font>
    <font>
      <sz val="11"/>
      <color indexed="62"/>
      <name val="Calibri"/>
      <family val="2"/>
    </font>
    <font>
      <sz val="10"/>
      <color rgb="FFFA7D00"/>
      <name val="Arial"/>
      <family val="2"/>
    </font>
    <font>
      <sz val="11"/>
      <color indexed="52"/>
      <name val="Calibri"/>
      <family val="2"/>
    </font>
    <font>
      <sz val="10"/>
      <color rgb="FF9C6500"/>
      <name val="Arial"/>
      <family val="2"/>
    </font>
    <font>
      <sz val="11"/>
      <color indexed="60"/>
      <name val="Calibri"/>
      <family val="2"/>
    </font>
    <font>
      <sz val="10"/>
      <color theme="1"/>
      <name val="Courier"/>
      <family val="2"/>
    </font>
    <font>
      <b/>
      <sz val="10"/>
      <color rgb="FF3F3F3F"/>
      <name val="Arial"/>
      <family val="2"/>
    </font>
    <font>
      <b/>
      <sz val="11"/>
      <color indexed="63"/>
      <name val="Calibri"/>
      <family val="2"/>
    </font>
    <font>
      <sz val="10"/>
      <name val="MS Sans Serif"/>
      <family val="2"/>
    </font>
    <font>
      <b/>
      <sz val="18"/>
      <color indexed="56"/>
      <name val="Cambria"/>
      <family val="2"/>
    </font>
    <font>
      <b/>
      <sz val="10"/>
      <color theme="1"/>
      <name val="Arial"/>
      <family val="2"/>
    </font>
    <font>
      <b/>
      <sz val="11"/>
      <color indexed="8"/>
      <name val="Calibri"/>
      <family val="2"/>
    </font>
    <font>
      <sz val="10"/>
      <color rgb="FFFF0000"/>
      <name val="Arial"/>
      <family val="2"/>
    </font>
    <font>
      <sz val="11"/>
      <color indexed="10"/>
      <name val="Calibri"/>
      <family val="2"/>
    </font>
    <font>
      <u/>
      <sz val="11"/>
      <color theme="1"/>
      <name val="Calibri"/>
      <family val="2"/>
      <scheme val="minor"/>
    </font>
    <font>
      <sz val="10"/>
      <color indexed="10"/>
      <name val="Arial"/>
      <family val="2"/>
    </font>
    <font>
      <b/>
      <sz val="10"/>
      <color indexed="10"/>
      <name val="Arial"/>
      <family val="2"/>
    </font>
    <font>
      <b/>
      <sz val="10"/>
      <color rgb="FFFF0000"/>
      <name val="Arial"/>
      <family val="2"/>
    </font>
    <font>
      <b/>
      <sz val="9"/>
      <color indexed="81"/>
      <name val="Tahoma"/>
      <family val="2"/>
    </font>
    <font>
      <sz val="9"/>
      <color indexed="81"/>
      <name val="Tahoma"/>
      <family val="2"/>
    </font>
    <font>
      <b/>
      <i/>
      <sz val="11"/>
      <color theme="1"/>
      <name val="Calibri"/>
      <family val="2"/>
      <scheme val="minor"/>
    </font>
    <font>
      <i/>
      <sz val="11"/>
      <color theme="1"/>
      <name val="Calibri"/>
      <family val="2"/>
      <scheme val="min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9"/>
        <bgColor indexed="64"/>
      </patternFill>
    </fill>
    <fill>
      <patternFill patternType="lightUp">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indexed="22"/>
        <bgColor indexed="64"/>
      </patternFill>
    </fill>
    <fill>
      <patternFill patternType="solid">
        <fgColor theme="4" tint="0.79998168889431442"/>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s>
  <cellStyleXfs count="1232">
    <xf numFmtId="0" fontId="0" fillId="0" borderId="0"/>
    <xf numFmtId="0" fontId="18" fillId="0" borderId="0"/>
    <xf numFmtId="44" fontId="18" fillId="0" borderId="0" applyFont="0" applyFill="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1" fillId="10" borderId="0" applyNumberFormat="0" applyBorder="0" applyAlignment="0" applyProtection="0"/>
    <xf numFmtId="0" fontId="26" fillId="10" borderId="0" applyNumberFormat="0" applyBorder="0" applyAlignment="0" applyProtection="0"/>
    <xf numFmtId="0" fontId="27" fillId="36"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10" borderId="0" applyNumberFormat="0" applyBorder="0" applyAlignment="0" applyProtection="0"/>
    <xf numFmtId="0" fontId="1"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 fillId="14" borderId="0" applyNumberFormat="0" applyBorder="0" applyAlignment="0" applyProtection="0"/>
    <xf numFmtId="0" fontId="26" fillId="14" borderId="0" applyNumberFormat="0" applyBorder="0" applyAlignment="0" applyProtection="0"/>
    <xf numFmtId="0" fontId="27" fillId="37"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14" borderId="0" applyNumberFormat="0" applyBorder="0" applyAlignment="0" applyProtection="0"/>
    <xf numFmtId="0" fontId="1"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 fillId="18" borderId="0" applyNumberFormat="0" applyBorder="0" applyAlignment="0" applyProtection="0"/>
    <xf numFmtId="0" fontId="26" fillId="18" borderId="0" applyNumberFormat="0" applyBorder="0" applyAlignment="0" applyProtection="0"/>
    <xf numFmtId="0" fontId="27" fillId="3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6" fillId="18" borderId="0" applyNumberFormat="0" applyBorder="0" applyAlignment="0" applyProtection="0"/>
    <xf numFmtId="0" fontId="1"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 fillId="22" borderId="0" applyNumberFormat="0" applyBorder="0" applyAlignment="0" applyProtection="0"/>
    <xf numFmtId="0" fontId="26" fillId="22" borderId="0" applyNumberFormat="0" applyBorder="0" applyAlignment="0" applyProtection="0"/>
    <xf numFmtId="0" fontId="27" fillId="39"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6" fillId="22" borderId="0" applyNumberFormat="0" applyBorder="0" applyAlignment="0" applyProtection="0"/>
    <xf numFmtId="0" fontId="1"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1" fillId="26" borderId="0" applyNumberFormat="0" applyBorder="0" applyAlignment="0" applyProtection="0"/>
    <xf numFmtId="0" fontId="26" fillId="26" borderId="0" applyNumberFormat="0" applyBorder="0" applyAlignment="0" applyProtection="0"/>
    <xf numFmtId="0" fontId="27" fillId="40"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6" fillId="26" borderId="0" applyNumberFormat="0" applyBorder="0" applyAlignment="0" applyProtection="0"/>
    <xf numFmtId="0" fontId="1"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1" fillId="30" borderId="0" applyNumberFormat="0" applyBorder="0" applyAlignment="0" applyProtection="0"/>
    <xf numFmtId="0" fontId="26" fillId="30" borderId="0" applyNumberFormat="0" applyBorder="0" applyAlignment="0" applyProtection="0"/>
    <xf numFmtId="0" fontId="27" fillId="41"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6" fillId="30" borderId="0" applyNumberFormat="0" applyBorder="0" applyAlignment="0" applyProtection="0"/>
    <xf numFmtId="0" fontId="1"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1" fillId="11" borderId="0" applyNumberFormat="0" applyBorder="0" applyAlignment="0" applyProtection="0"/>
    <xf numFmtId="0" fontId="26" fillId="11" borderId="0" applyNumberFormat="0" applyBorder="0" applyAlignment="0" applyProtection="0"/>
    <xf numFmtId="0" fontId="27" fillId="42"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11" borderId="0" applyNumberFormat="0" applyBorder="0" applyAlignment="0" applyProtection="0"/>
    <xf numFmtId="0" fontId="1"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1" fillId="15" borderId="0" applyNumberFormat="0" applyBorder="0" applyAlignment="0" applyProtection="0"/>
    <xf numFmtId="0" fontId="26" fillId="15" borderId="0" applyNumberFormat="0" applyBorder="0" applyAlignment="0" applyProtection="0"/>
    <xf numFmtId="0" fontId="27" fillId="4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15" borderId="0" applyNumberFormat="0" applyBorder="0" applyAlignment="0" applyProtection="0"/>
    <xf numFmtId="0" fontId="1"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1" fillId="19" borderId="0" applyNumberFormat="0" applyBorder="0" applyAlignment="0" applyProtection="0"/>
    <xf numFmtId="0" fontId="26" fillId="19" borderId="0" applyNumberFormat="0" applyBorder="0" applyAlignment="0" applyProtection="0"/>
    <xf numFmtId="0" fontId="27" fillId="44"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6" fillId="19" borderId="0" applyNumberFormat="0" applyBorder="0" applyAlignment="0" applyProtection="0"/>
    <xf numFmtId="0" fontId="1"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1" fillId="23" borderId="0" applyNumberFormat="0" applyBorder="0" applyAlignment="0" applyProtection="0"/>
    <xf numFmtId="0" fontId="26" fillId="23" borderId="0" applyNumberFormat="0" applyBorder="0" applyAlignment="0" applyProtection="0"/>
    <xf numFmtId="0" fontId="27" fillId="3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6" fillId="23" borderId="0" applyNumberFormat="0" applyBorder="0" applyAlignment="0" applyProtection="0"/>
    <xf numFmtId="0" fontId="1"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1" fillId="27" borderId="0" applyNumberFormat="0" applyBorder="0" applyAlignment="0" applyProtection="0"/>
    <xf numFmtId="0" fontId="26" fillId="27" borderId="0" applyNumberFormat="0" applyBorder="0" applyAlignment="0" applyProtection="0"/>
    <xf numFmtId="0" fontId="27" fillId="4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6" fillId="27" borderId="0" applyNumberFormat="0" applyBorder="0" applyAlignment="0" applyProtection="0"/>
    <xf numFmtId="0" fontId="1"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1" fillId="31" borderId="0" applyNumberFormat="0" applyBorder="0" applyAlignment="0" applyProtection="0"/>
    <xf numFmtId="0" fontId="26" fillId="31" borderId="0" applyNumberFormat="0" applyBorder="0" applyAlignment="0" applyProtection="0"/>
    <xf numFmtId="0" fontId="27" fillId="45"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6" fillId="31" borderId="0" applyNumberFormat="0" applyBorder="0" applyAlignment="0" applyProtection="0"/>
    <xf numFmtId="0" fontId="1"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17" fillId="12" borderId="0" applyNumberFormat="0" applyBorder="0" applyAlignment="0" applyProtection="0"/>
    <xf numFmtId="0" fontId="28" fillId="12" borderId="0" applyNumberFormat="0" applyBorder="0" applyAlignment="0" applyProtection="0"/>
    <xf numFmtId="0" fontId="29" fillId="46"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17"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7" fillId="16" borderId="0" applyNumberFormat="0" applyBorder="0" applyAlignment="0" applyProtection="0"/>
    <xf numFmtId="0" fontId="28" fillId="16" borderId="0" applyNumberFormat="0" applyBorder="0" applyAlignment="0" applyProtection="0"/>
    <xf numFmtId="0" fontId="29" fillId="43"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7"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7" fillId="20" borderId="0" applyNumberFormat="0" applyBorder="0" applyAlignment="0" applyProtection="0"/>
    <xf numFmtId="0" fontId="28" fillId="20" borderId="0" applyNumberFormat="0" applyBorder="0" applyAlignment="0" applyProtection="0"/>
    <xf numFmtId="0" fontId="29" fillId="44"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7"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17" fillId="24" borderId="0" applyNumberFormat="0" applyBorder="0" applyAlignment="0" applyProtection="0"/>
    <xf numFmtId="0" fontId="28" fillId="24" borderId="0" applyNumberFormat="0" applyBorder="0" applyAlignment="0" applyProtection="0"/>
    <xf numFmtId="0" fontId="29" fillId="47"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17"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17" fillId="28" borderId="0" applyNumberFormat="0" applyBorder="0" applyAlignment="0" applyProtection="0"/>
    <xf numFmtId="0" fontId="28" fillId="28" borderId="0" applyNumberFormat="0" applyBorder="0" applyAlignment="0" applyProtection="0"/>
    <xf numFmtId="0" fontId="29" fillId="4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17"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17" fillId="32" borderId="0" applyNumberFormat="0" applyBorder="0" applyAlignment="0" applyProtection="0"/>
    <xf numFmtId="0" fontId="28" fillId="32" borderId="0" applyNumberFormat="0" applyBorder="0" applyAlignment="0" applyProtection="0"/>
    <xf numFmtId="0" fontId="29" fillId="49"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17"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7" fillId="9" borderId="0" applyNumberFormat="0" applyBorder="0" applyAlignment="0" applyProtection="0"/>
    <xf numFmtId="0" fontId="28" fillId="9" borderId="0" applyNumberFormat="0" applyBorder="0" applyAlignment="0" applyProtection="0"/>
    <xf numFmtId="0" fontId="29" fillId="50"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7"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7" fillId="13" borderId="0" applyNumberFormat="0" applyBorder="0" applyAlignment="0" applyProtection="0"/>
    <xf numFmtId="0" fontId="28" fillId="13" borderId="0" applyNumberFormat="0" applyBorder="0" applyAlignment="0" applyProtection="0"/>
    <xf numFmtId="0" fontId="29" fillId="51"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7"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7" fillId="17" borderId="0" applyNumberFormat="0" applyBorder="0" applyAlignment="0" applyProtection="0"/>
    <xf numFmtId="0" fontId="28" fillId="17" borderId="0" applyNumberFormat="0" applyBorder="0" applyAlignment="0" applyProtection="0"/>
    <xf numFmtId="0" fontId="29" fillId="5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7"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7" fillId="21" borderId="0" applyNumberFormat="0" applyBorder="0" applyAlignment="0" applyProtection="0"/>
    <xf numFmtId="0" fontId="28" fillId="21" borderId="0" applyNumberFormat="0" applyBorder="0" applyAlignment="0" applyProtection="0"/>
    <xf numFmtId="0" fontId="29" fillId="4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7"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17" fillId="25" borderId="0" applyNumberFormat="0" applyBorder="0" applyAlignment="0" applyProtection="0"/>
    <xf numFmtId="0" fontId="28" fillId="25" borderId="0" applyNumberFormat="0" applyBorder="0" applyAlignment="0" applyProtection="0"/>
    <xf numFmtId="0" fontId="29" fillId="48"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17"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17" fillId="29" borderId="0" applyNumberFormat="0" applyBorder="0" applyAlignment="0" applyProtection="0"/>
    <xf numFmtId="0" fontId="28" fillId="29" borderId="0" applyNumberFormat="0" applyBorder="0" applyAlignment="0" applyProtection="0"/>
    <xf numFmtId="0" fontId="29" fillId="53"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17"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7" fillId="3" borderId="0" applyNumberFormat="0" applyBorder="0" applyAlignment="0" applyProtection="0"/>
    <xf numFmtId="0" fontId="30" fillId="3" borderId="0" applyNumberFormat="0" applyBorder="0" applyAlignment="0" applyProtection="0"/>
    <xf numFmtId="0" fontId="31" fillId="37"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7"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11" fillId="6" borderId="4" applyNumberFormat="0" applyAlignment="0" applyProtection="0"/>
    <xf numFmtId="0" fontId="32" fillId="6" borderId="4" applyNumberFormat="0" applyAlignment="0" applyProtection="0"/>
    <xf numFmtId="0" fontId="33" fillId="54" borderId="19"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11"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13" fillId="7" borderId="7" applyNumberFormat="0" applyAlignment="0" applyProtection="0"/>
    <xf numFmtId="0" fontId="34" fillId="7" borderId="7" applyNumberFormat="0" applyAlignment="0" applyProtection="0"/>
    <xf numFmtId="0" fontId="35" fillId="55" borderId="20"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13"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0" fontId="34" fillId="7" borderId="7" applyNumberFormat="0" applyAlignment="0" applyProtection="0"/>
    <xf numFmtId="165" fontId="27"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166" fontId="27"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6" fillId="2" borderId="0" applyNumberFormat="0" applyBorder="0" applyAlignment="0" applyProtection="0"/>
    <xf numFmtId="0" fontId="38" fillId="2" borderId="0" applyNumberFormat="0" applyBorder="0" applyAlignment="0" applyProtection="0"/>
    <xf numFmtId="0" fontId="39" fillId="38"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6"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3" fillId="0" borderId="1" applyNumberFormat="0" applyFill="0" applyAlignment="0" applyProtection="0"/>
    <xf numFmtId="0" fontId="40" fillId="0" borderId="1" applyNumberFormat="0" applyFill="0" applyAlignment="0" applyProtection="0"/>
    <xf numFmtId="0" fontId="41" fillId="0" borderId="2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3" fillId="0" borderId="1" applyNumberFormat="0" applyFill="0" applyAlignment="0" applyProtection="0"/>
    <xf numFmtId="0" fontId="42" fillId="0" borderId="0" applyNumberFormat="0" applyFon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0" fillId="0" borderId="1"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 fillId="0" borderId="2" applyNumberFormat="0" applyFill="0" applyAlignment="0" applyProtection="0"/>
    <xf numFmtId="0" fontId="43" fillId="0" borderId="2" applyNumberFormat="0" applyFill="0" applyAlignment="0" applyProtection="0"/>
    <xf numFmtId="0" fontId="44" fillId="0" borderId="2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 fillId="0" borderId="2" applyNumberFormat="0" applyFill="0" applyAlignment="0" applyProtection="0"/>
    <xf numFmtId="0" fontId="45" fillId="0" borderId="0" applyNumberFormat="0" applyFon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3" fillId="0" borderId="2"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5" fillId="0" borderId="3" applyNumberFormat="0" applyFill="0" applyAlignment="0" applyProtection="0"/>
    <xf numFmtId="0" fontId="46" fillId="0" borderId="3" applyNumberFormat="0" applyFill="0" applyAlignment="0" applyProtection="0"/>
    <xf numFmtId="0" fontId="47" fillId="0" borderId="2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5"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3"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9" fillId="5" borderId="4" applyNumberFormat="0" applyAlignment="0" applyProtection="0"/>
    <xf numFmtId="0" fontId="50" fillId="5" borderId="4" applyNumberFormat="0" applyAlignment="0" applyProtection="0"/>
    <xf numFmtId="0" fontId="51" fillId="41" borderId="19"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9"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0" fillId="5" borderId="4" applyNumberFormat="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12" fillId="0" borderId="6" applyNumberFormat="0" applyFill="0" applyAlignment="0" applyProtection="0"/>
    <xf numFmtId="0" fontId="52" fillId="0" borderId="6" applyNumberFormat="0" applyFill="0" applyAlignment="0" applyProtection="0"/>
    <xf numFmtId="0" fontId="53" fillId="0" borderId="24"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1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2" fillId="0" borderId="6" applyNumberFormat="0" applyFill="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8" fillId="4" borderId="0" applyNumberFormat="0" applyBorder="0" applyAlignment="0" applyProtection="0"/>
    <xf numFmtId="0" fontId="54" fillId="4" borderId="0" applyNumberFormat="0" applyBorder="0" applyAlignment="0" applyProtection="0"/>
    <xf numFmtId="0" fontId="55" fillId="56"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8"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18" fillId="0" borderId="0"/>
    <xf numFmtId="0" fontId="18" fillId="0" borderId="0"/>
    <xf numFmtId="0" fontId="1" fillId="0" borderId="0"/>
    <xf numFmtId="0" fontId="1" fillId="0" borderId="0"/>
    <xf numFmtId="0" fontId="1" fillId="0" borderId="0"/>
    <xf numFmtId="0" fontId="26" fillId="0" borderId="0"/>
    <xf numFmtId="0" fontId="1" fillId="0" borderId="0"/>
    <xf numFmtId="0" fontId="56"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1" fillId="8" borderId="8" applyNumberFormat="0" applyFont="0" applyAlignment="0" applyProtection="0"/>
    <xf numFmtId="0" fontId="26" fillId="8" borderId="8" applyNumberFormat="0" applyFont="0" applyAlignment="0" applyProtection="0"/>
    <xf numFmtId="0" fontId="18" fillId="57" borderId="25"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7" borderId="25" applyNumberFormat="0" applyFont="0" applyAlignment="0" applyProtection="0"/>
    <xf numFmtId="0" fontId="26" fillId="8" borderId="8" applyNumberFormat="0" applyFont="0" applyAlignment="0" applyProtection="0"/>
    <xf numFmtId="0" fontId="18" fillId="57" borderId="25"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26" fillId="8" borderId="8" applyNumberFormat="0" applyFon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10" fillId="6" borderId="5" applyNumberFormat="0" applyAlignment="0" applyProtection="0"/>
    <xf numFmtId="0" fontId="57" fillId="6" borderId="5" applyNumberFormat="0" applyAlignment="0" applyProtection="0"/>
    <xf numFmtId="0" fontId="58" fillId="54" borderId="26"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10"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0" fontId="57" fillId="6" borderId="5" applyNumberFormat="0" applyAlignment="0" applyProtection="0"/>
    <xf numFmtId="9" fontId="18"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9" fillId="0" borderId="0" applyNumberFormat="0" applyFont="0" applyFill="0" applyBorder="0" applyAlignment="0" applyProtection="0">
      <alignment horizontal="left"/>
    </xf>
    <xf numFmtId="0" fontId="2" fillId="0" borderId="0" applyNumberFormat="0" applyFill="0" applyBorder="0" applyAlignment="0" applyProtection="0"/>
    <xf numFmtId="0" fontId="60" fillId="0" borderId="0" applyNumberFormat="0" applyFill="0" applyBorder="0" applyAlignment="0" applyProtection="0"/>
    <xf numFmtId="0" fontId="2" fillId="0" borderId="0" applyNumberFormat="0" applyFill="0" applyBorder="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16" fillId="0" borderId="9" applyNumberFormat="0" applyFill="0" applyAlignment="0" applyProtection="0"/>
    <xf numFmtId="0" fontId="61" fillId="0" borderId="9" applyNumberFormat="0" applyFill="0" applyAlignment="0" applyProtection="0"/>
    <xf numFmtId="0" fontId="18" fillId="0" borderId="27" applyNumberFormat="0" applyFont="0" applyBorder="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16" fillId="0" borderId="9" applyNumberFormat="0" applyFill="0" applyAlignment="0" applyProtection="0"/>
    <xf numFmtId="0" fontId="62" fillId="0" borderId="28" applyNumberFormat="0" applyFill="0" applyAlignment="0" applyProtection="0"/>
    <xf numFmtId="0" fontId="61" fillId="0" borderId="9" applyNumberFormat="0" applyFill="0" applyAlignment="0" applyProtection="0"/>
    <xf numFmtId="0" fontId="18" fillId="0" borderId="27" applyNumberFormat="0" applyFont="0" applyBorder="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cellStyleXfs>
  <cellXfs count="207">
    <xf numFmtId="0" fontId="0" fillId="0" borderId="0" xfId="0"/>
    <xf numFmtId="0" fontId="18" fillId="0" borderId="0" xfId="1" applyAlignment="1">
      <alignment horizontal="center"/>
    </xf>
    <xf numFmtId="0" fontId="18" fillId="0" borderId="0" xfId="1"/>
    <xf numFmtId="0" fontId="18" fillId="0" borderId="0" xfId="1" applyBorder="1"/>
    <xf numFmtId="0" fontId="19" fillId="0" borderId="0" xfId="1" applyFont="1"/>
    <xf numFmtId="0" fontId="20" fillId="0" borderId="0" xfId="1" applyFont="1" applyAlignment="1">
      <alignment horizontal="right" vertical="top"/>
    </xf>
    <xf numFmtId="0" fontId="18" fillId="0" borderId="0" xfId="1" applyFont="1"/>
    <xf numFmtId="0" fontId="19" fillId="0" borderId="0" xfId="1" applyFont="1" applyAlignment="1">
      <alignment horizontal="right"/>
    </xf>
    <xf numFmtId="0" fontId="22" fillId="33" borderId="0" xfId="1" applyFont="1" applyFill="1" applyAlignment="1"/>
    <xf numFmtId="0" fontId="23" fillId="0" borderId="0" xfId="1" applyFont="1" applyAlignment="1">
      <alignment horizontal="center"/>
    </xf>
    <xf numFmtId="0" fontId="18" fillId="0" borderId="0" xfId="1" applyFill="1" applyBorder="1"/>
    <xf numFmtId="0" fontId="18" fillId="34" borderId="11" xfId="1" applyFill="1" applyBorder="1"/>
    <xf numFmtId="0" fontId="19" fillId="34" borderId="12" xfId="1" applyFont="1" applyFill="1" applyBorder="1" applyAlignment="1"/>
    <xf numFmtId="0" fontId="19" fillId="34" borderId="13" xfId="1" applyFont="1" applyFill="1" applyBorder="1" applyAlignment="1"/>
    <xf numFmtId="0" fontId="19" fillId="34" borderId="14" xfId="1" applyFont="1" applyFill="1" applyBorder="1" applyAlignment="1">
      <alignment horizontal="center" wrapText="1"/>
    </xf>
    <xf numFmtId="0" fontId="19" fillId="34" borderId="14" xfId="1" applyFont="1" applyFill="1" applyBorder="1" applyAlignment="1">
      <alignment horizontal="center"/>
    </xf>
    <xf numFmtId="0" fontId="19" fillId="34" borderId="14" xfId="1" applyFont="1" applyFill="1" applyBorder="1"/>
    <xf numFmtId="0" fontId="18" fillId="34" borderId="15" xfId="1" applyFill="1" applyBorder="1"/>
    <xf numFmtId="0" fontId="19" fillId="34" borderId="16" xfId="1" applyFont="1" applyFill="1" applyBorder="1" applyAlignment="1">
      <alignment horizontal="center" wrapText="1"/>
    </xf>
    <xf numFmtId="0" fontId="19" fillId="34" borderId="17" xfId="1" applyFont="1" applyFill="1" applyBorder="1" applyAlignment="1">
      <alignment horizontal="center"/>
    </xf>
    <xf numFmtId="0" fontId="19" fillId="34" borderId="17" xfId="1" applyFont="1" applyFill="1" applyBorder="1" applyAlignment="1">
      <alignment horizontal="center" wrapText="1"/>
    </xf>
    <xf numFmtId="0" fontId="18" fillId="0" borderId="14" xfId="1" applyBorder="1" applyAlignment="1">
      <alignment horizontal="center" vertical="center"/>
    </xf>
    <xf numFmtId="0" fontId="18" fillId="0" borderId="14" xfId="1" applyFont="1" applyBorder="1" applyAlignment="1">
      <alignment vertical="center" wrapText="1"/>
    </xf>
    <xf numFmtId="10" fontId="18" fillId="35" borderId="14" xfId="1" applyNumberFormat="1" applyFill="1" applyBorder="1"/>
    <xf numFmtId="164" fontId="0" fillId="33" borderId="14" xfId="2" applyNumberFormat="1" applyFont="1" applyFill="1" applyBorder="1"/>
    <xf numFmtId="164" fontId="0" fillId="0" borderId="14" xfId="2" applyNumberFormat="1" applyFont="1" applyBorder="1"/>
    <xf numFmtId="0" fontId="18" fillId="0" borderId="15" xfId="1" applyBorder="1"/>
    <xf numFmtId="164" fontId="0" fillId="33" borderId="13" xfId="2" applyNumberFormat="1" applyFont="1" applyFill="1" applyBorder="1"/>
    <xf numFmtId="164" fontId="18" fillId="0" borderId="14" xfId="1" applyNumberFormat="1" applyBorder="1"/>
    <xf numFmtId="0" fontId="18" fillId="0" borderId="14" xfId="1" applyFill="1" applyBorder="1" applyAlignment="1">
      <alignment horizontal="center" vertical="center"/>
    </xf>
    <xf numFmtId="0" fontId="18" fillId="0" borderId="14" xfId="1" applyFill="1" applyBorder="1" applyAlignment="1">
      <alignment vertical="center" wrapText="1"/>
    </xf>
    <xf numFmtId="0" fontId="18" fillId="0" borderId="14" xfId="1" applyBorder="1" applyAlignment="1">
      <alignment vertical="center" wrapText="1"/>
    </xf>
    <xf numFmtId="0" fontId="18" fillId="0" borderId="14" xfId="1" applyFont="1" applyBorder="1" applyAlignment="1">
      <alignment horizontal="center" vertical="center"/>
    </xf>
    <xf numFmtId="164" fontId="0" fillId="33" borderId="0" xfId="2" applyNumberFormat="1" applyFont="1" applyFill="1"/>
    <xf numFmtId="0" fontId="18" fillId="0" borderId="14" xfId="1" applyFont="1" applyFill="1" applyBorder="1" applyAlignment="1">
      <alignment horizontal="center" vertical="center"/>
    </xf>
    <xf numFmtId="0" fontId="18" fillId="0" borderId="14" xfId="1" applyFont="1" applyFill="1" applyBorder="1" applyAlignment="1">
      <alignment vertical="center" wrapText="1"/>
    </xf>
    <xf numFmtId="0" fontId="18" fillId="0" borderId="14" xfId="1" applyBorder="1" applyAlignment="1">
      <alignment horizontal="center"/>
    </xf>
    <xf numFmtId="0" fontId="18" fillId="0" borderId="14" xfId="1" applyBorder="1"/>
    <xf numFmtId="0" fontId="18" fillId="33" borderId="14" xfId="1" applyFill="1" applyBorder="1"/>
    <xf numFmtId="0" fontId="19" fillId="0" borderId="14" xfId="1" applyFont="1" applyBorder="1"/>
    <xf numFmtId="164" fontId="19" fillId="0" borderId="14" xfId="1" applyNumberFormat="1" applyFont="1" applyBorder="1"/>
    <xf numFmtId="0" fontId="18" fillId="0" borderId="0" xfId="1" applyFont="1" applyAlignment="1"/>
    <xf numFmtId="0" fontId="18" fillId="0" borderId="0" xfId="1" applyAlignment="1"/>
    <xf numFmtId="164" fontId="0" fillId="33" borderId="10" xfId="2" applyNumberFormat="1" applyFont="1" applyFill="1" applyBorder="1"/>
    <xf numFmtId="164" fontId="0" fillId="33" borderId="18" xfId="2" applyNumberFormat="1" applyFont="1" applyFill="1" applyBorder="1"/>
    <xf numFmtId="0" fontId="19" fillId="0" borderId="0" xfId="1" applyFont="1" applyFill="1" applyBorder="1" applyAlignment="1"/>
    <xf numFmtId="164" fontId="0" fillId="0" borderId="12" xfId="2" applyNumberFormat="1" applyFont="1" applyBorder="1"/>
    <xf numFmtId="0" fontId="25" fillId="0" borderId="0" xfId="1" applyFont="1" applyAlignment="1">
      <alignment horizontal="center"/>
    </xf>
    <xf numFmtId="0" fontId="18" fillId="0" borderId="0" xfId="1" applyFont="1" applyAlignment="1">
      <alignment horizontal="left"/>
    </xf>
    <xf numFmtId="164" fontId="19" fillId="0" borderId="0" xfId="1" applyNumberFormat="1" applyFont="1" applyBorder="1"/>
    <xf numFmtId="0" fontId="18" fillId="0" borderId="14" xfId="1" applyFill="1" applyBorder="1" applyAlignment="1">
      <alignment horizontal="center"/>
    </xf>
    <xf numFmtId="0" fontId="18" fillId="0" borderId="14" xfId="1" applyFill="1" applyBorder="1"/>
    <xf numFmtId="0" fontId="18" fillId="0" borderId="0" xfId="1" applyBorder="1" applyAlignment="1">
      <alignment horizontal="center"/>
    </xf>
    <xf numFmtId="0" fontId="19" fillId="0" borderId="0" xfId="1" applyFont="1" applyBorder="1"/>
    <xf numFmtId="164" fontId="18" fillId="0" borderId="0" xfId="1" applyNumberFormat="1"/>
    <xf numFmtId="0" fontId="65" fillId="0" borderId="0" xfId="0" applyFont="1" applyAlignment="1">
      <alignment horizontal="center"/>
    </xf>
    <xf numFmtId="168" fontId="0" fillId="0" borderId="14" xfId="1228" applyNumberFormat="1" applyFont="1" applyBorder="1"/>
    <xf numFmtId="168" fontId="0" fillId="0" borderId="14" xfId="1228" applyNumberFormat="1" applyFont="1" applyFill="1" applyBorder="1"/>
    <xf numFmtId="168" fontId="16" fillId="0" borderId="14" xfId="1228" applyNumberFormat="1" applyFont="1" applyBorder="1"/>
    <xf numFmtId="168" fontId="16" fillId="0" borderId="14" xfId="1228" applyNumberFormat="1" applyFont="1" applyFill="1" applyBorder="1"/>
    <xf numFmtId="169" fontId="0" fillId="0" borderId="14" xfId="1229" applyNumberFormat="1" applyFont="1" applyBorder="1"/>
    <xf numFmtId="169" fontId="16" fillId="0" borderId="14" xfId="1229" applyNumberFormat="1" applyFont="1" applyBorder="1"/>
    <xf numFmtId="168" fontId="0" fillId="58" borderId="14" xfId="1228" applyNumberFormat="1" applyFont="1" applyFill="1" applyBorder="1"/>
    <xf numFmtId="169" fontId="0" fillId="58" borderId="14" xfId="1229" applyNumberFormat="1" applyFont="1" applyFill="1" applyBorder="1"/>
    <xf numFmtId="169" fontId="16" fillId="58" borderId="14" xfId="1229" applyNumberFormat="1" applyFont="1" applyFill="1" applyBorder="1"/>
    <xf numFmtId="0" fontId="65" fillId="0" borderId="0" xfId="0" applyFont="1"/>
    <xf numFmtId="0" fontId="45" fillId="0" borderId="0" xfId="1230" applyFont="1"/>
    <xf numFmtId="0" fontId="18" fillId="0" borderId="0" xfId="1230"/>
    <xf numFmtId="0" fontId="66" fillId="0" borderId="0" xfId="1230" applyFont="1"/>
    <xf numFmtId="0" fontId="19" fillId="0" borderId="29" xfId="1230" applyFont="1" applyFill="1" applyBorder="1" applyAlignment="1">
      <alignment horizontal="center"/>
    </xf>
    <xf numFmtId="0" fontId="19" fillId="0" borderId="30" xfId="1230" applyFont="1" applyFill="1" applyBorder="1" applyAlignment="1">
      <alignment horizontal="center"/>
    </xf>
    <xf numFmtId="0" fontId="19" fillId="0" borderId="31" xfId="1230" applyFont="1" applyFill="1" applyBorder="1" applyAlignment="1">
      <alignment horizontal="center"/>
    </xf>
    <xf numFmtId="0" fontId="18" fillId="0" borderId="0" xfId="1230" applyFont="1" applyAlignment="1">
      <alignment horizontal="right"/>
    </xf>
    <xf numFmtId="0" fontId="18" fillId="0" borderId="32" xfId="1230" applyFont="1" applyFill="1" applyBorder="1"/>
    <xf numFmtId="3" fontId="18" fillId="0" borderId="0" xfId="1230" applyNumberFormat="1" applyFont="1" applyFill="1" applyBorder="1"/>
    <xf numFmtId="3" fontId="18" fillId="0" borderId="33" xfId="1230" applyNumberFormat="1" applyFont="1" applyFill="1" applyBorder="1"/>
    <xf numFmtId="0" fontId="18" fillId="0" borderId="0" xfId="1230" applyFont="1"/>
    <xf numFmtId="0" fontId="18" fillId="0" borderId="34" xfId="1230" applyFont="1" applyFill="1" applyBorder="1"/>
    <xf numFmtId="3" fontId="18" fillId="0" borderId="35" xfId="1230" applyNumberFormat="1" applyFont="1" applyFill="1" applyBorder="1"/>
    <xf numFmtId="3" fontId="18" fillId="0" borderId="36" xfId="1230" applyNumberFormat="1" applyFont="1" applyFill="1" applyBorder="1"/>
    <xf numFmtId="3" fontId="18" fillId="0" borderId="0" xfId="1230" applyNumberFormat="1" applyFont="1"/>
    <xf numFmtId="0" fontId="19" fillId="0" borderId="0" xfId="1230" applyFont="1"/>
    <xf numFmtId="0" fontId="19" fillId="0" borderId="29" xfId="1230" applyFont="1" applyBorder="1" applyAlignment="1">
      <alignment horizontal="center"/>
    </xf>
    <xf numFmtId="0" fontId="18" fillId="0" borderId="37" xfId="1230" applyFont="1" applyFill="1" applyBorder="1"/>
    <xf numFmtId="0" fontId="19" fillId="0" borderId="37" xfId="1230" applyFont="1" applyFill="1" applyBorder="1" applyAlignment="1">
      <alignment horizontal="center"/>
    </xf>
    <xf numFmtId="0" fontId="67" fillId="0" borderId="38" xfId="1230" applyFont="1" applyFill="1" applyBorder="1" applyAlignment="1">
      <alignment horizontal="center" wrapText="1"/>
    </xf>
    <xf numFmtId="10" fontId="18" fillId="0" borderId="37" xfId="1230" applyNumberFormat="1" applyFont="1" applyFill="1" applyBorder="1" applyAlignment="1"/>
    <xf numFmtId="170" fontId="18" fillId="0" borderId="37" xfId="1230" applyNumberFormat="1" applyFont="1" applyFill="1" applyBorder="1" applyAlignment="1">
      <alignment horizontal="center"/>
    </xf>
    <xf numFmtId="170" fontId="67" fillId="0" borderId="39" xfId="1230" applyNumberFormat="1" applyFont="1" applyFill="1" applyBorder="1" applyAlignment="1">
      <alignment horizontal="center"/>
    </xf>
    <xf numFmtId="10" fontId="18" fillId="0" borderId="0" xfId="1230" applyNumberFormat="1" applyFont="1" applyFill="1" applyBorder="1" applyAlignment="1"/>
    <xf numFmtId="170" fontId="18" fillId="0" borderId="0" xfId="1230" applyNumberFormat="1" applyFont="1" applyFill="1" applyBorder="1" applyAlignment="1">
      <alignment horizontal="center"/>
    </xf>
    <xf numFmtId="170" fontId="67" fillId="0" borderId="40" xfId="1230" applyNumberFormat="1" applyFont="1" applyFill="1" applyBorder="1" applyAlignment="1">
      <alignment horizontal="center"/>
    </xf>
    <xf numFmtId="10" fontId="18" fillId="0" borderId="34" xfId="1230" applyNumberFormat="1" applyFont="1" applyFill="1" applyBorder="1" applyAlignment="1"/>
    <xf numFmtId="10" fontId="18" fillId="0" borderId="35" xfId="1230" applyNumberFormat="1" applyFont="1" applyFill="1" applyBorder="1" applyAlignment="1"/>
    <xf numFmtId="171" fontId="18" fillId="0" borderId="35" xfId="1230" applyNumberFormat="1" applyFont="1" applyFill="1" applyBorder="1" applyAlignment="1">
      <alignment horizontal="center"/>
    </xf>
    <xf numFmtId="171" fontId="67" fillId="0" borderId="41" xfId="1230" applyNumberFormat="1" applyFont="1" applyFill="1" applyBorder="1" applyAlignment="1">
      <alignment horizontal="center"/>
    </xf>
    <xf numFmtId="0" fontId="18" fillId="59" borderId="42" xfId="1230" applyFill="1" applyBorder="1"/>
    <xf numFmtId="0" fontId="19" fillId="59" borderId="30" xfId="1230" applyFont="1" applyFill="1" applyBorder="1" applyAlignment="1">
      <alignment horizontal="center"/>
    </xf>
    <xf numFmtId="0" fontId="19" fillId="59" borderId="31" xfId="1230" applyFont="1" applyFill="1" applyBorder="1" applyAlignment="1">
      <alignment horizontal="center"/>
    </xf>
    <xf numFmtId="0" fontId="19" fillId="0" borderId="0" xfId="1230" applyFont="1" applyFill="1" applyBorder="1" applyAlignment="1">
      <alignment horizontal="center"/>
    </xf>
    <xf numFmtId="3" fontId="19" fillId="59" borderId="40" xfId="1230" applyNumberFormat="1" applyFont="1" applyFill="1" applyBorder="1" applyAlignment="1">
      <alignment horizontal="left"/>
    </xf>
    <xf numFmtId="3" fontId="18" fillId="0" borderId="0" xfId="1230" applyNumberFormat="1" applyBorder="1"/>
    <xf numFmtId="3" fontId="18" fillId="0" borderId="33" xfId="1230" applyNumberFormat="1" applyBorder="1"/>
    <xf numFmtId="3" fontId="18" fillId="0" borderId="0" xfId="1230" applyNumberFormat="1"/>
    <xf numFmtId="172" fontId="18" fillId="0" borderId="0" xfId="1230" applyNumberFormat="1"/>
    <xf numFmtId="172" fontId="18" fillId="0" borderId="33" xfId="1230" applyNumberFormat="1" applyBorder="1"/>
    <xf numFmtId="3" fontId="18" fillId="0" borderId="0" xfId="1230" applyNumberFormat="1" applyFill="1"/>
    <xf numFmtId="173" fontId="18" fillId="0" borderId="0" xfId="1230" applyNumberFormat="1" applyBorder="1"/>
    <xf numFmtId="173" fontId="18" fillId="0" borderId="33" xfId="1230" applyNumberFormat="1" applyBorder="1"/>
    <xf numFmtId="173" fontId="18" fillId="0" borderId="0" xfId="1230" applyNumberFormat="1"/>
    <xf numFmtId="166" fontId="18" fillId="0" borderId="0" xfId="1230" applyNumberFormat="1" applyBorder="1"/>
    <xf numFmtId="166" fontId="18" fillId="0" borderId="33" xfId="1230" applyNumberFormat="1" applyBorder="1"/>
    <xf numFmtId="166" fontId="18" fillId="0" borderId="0" xfId="1230" applyNumberFormat="1"/>
    <xf numFmtId="0" fontId="18" fillId="0" borderId="0" xfId="1230" applyBorder="1"/>
    <xf numFmtId="0" fontId="18" fillId="0" borderId="33" xfId="1230" applyBorder="1"/>
    <xf numFmtId="39" fontId="18" fillId="0" borderId="33" xfId="1230" applyNumberFormat="1" applyBorder="1"/>
    <xf numFmtId="166" fontId="19" fillId="0" borderId="43" xfId="1230" applyNumberFormat="1" applyFont="1" applyBorder="1"/>
    <xf numFmtId="166" fontId="19" fillId="0" borderId="44" xfId="1230" applyNumberFormat="1" applyFont="1" applyBorder="1"/>
    <xf numFmtId="0" fontId="19" fillId="59" borderId="41" xfId="1230" applyFont="1" applyFill="1" applyBorder="1"/>
    <xf numFmtId="0" fontId="18" fillId="0" borderId="35" xfId="1230" applyBorder="1"/>
    <xf numFmtId="0" fontId="18" fillId="0" borderId="36" xfId="1230" applyBorder="1"/>
    <xf numFmtId="3" fontId="18" fillId="0" borderId="0" xfId="1230" applyNumberFormat="1" applyFill="1" applyBorder="1"/>
    <xf numFmtId="0" fontId="18" fillId="0" borderId="0" xfId="1" applyAlignment="1">
      <alignment horizontal="left" wrapText="1"/>
    </xf>
    <xf numFmtId="0" fontId="18" fillId="0" borderId="0" xfId="1" applyFont="1" applyAlignment="1">
      <alignment horizontal="left" vertical="top" wrapText="1"/>
    </xf>
    <xf numFmtId="0" fontId="21" fillId="0" borderId="0" xfId="1" applyFont="1" applyAlignment="1">
      <alignment vertical="top"/>
    </xf>
    <xf numFmtId="0" fontId="19" fillId="0" borderId="45" xfId="1" applyFont="1" applyFill="1" applyBorder="1"/>
    <xf numFmtId="0" fontId="19" fillId="0" borderId="46" xfId="1" applyFont="1" applyFill="1" applyBorder="1" applyAlignment="1">
      <alignment horizontal="center" vertical="center" wrapText="1"/>
    </xf>
    <xf numFmtId="0" fontId="19" fillId="0" borderId="16" xfId="1" applyFont="1" applyFill="1" applyBorder="1"/>
    <xf numFmtId="0" fontId="19" fillId="60" borderId="17" xfId="1" applyFont="1" applyFill="1" applyBorder="1" applyAlignment="1">
      <alignment horizontal="center"/>
    </xf>
    <xf numFmtId="0" fontId="19" fillId="60" borderId="0" xfId="1" applyFont="1" applyFill="1" applyBorder="1" applyAlignment="1">
      <alignment horizontal="center"/>
    </xf>
    <xf numFmtId="0" fontId="25" fillId="33" borderId="13" xfId="1" applyFont="1" applyFill="1" applyBorder="1" applyAlignment="1">
      <alignment wrapText="1"/>
    </xf>
    <xf numFmtId="3" fontId="18" fillId="0" borderId="14" xfId="1" applyNumberFormat="1" applyFill="1" applyBorder="1"/>
    <xf numFmtId="3" fontId="0" fillId="0" borderId="14" xfId="2" applyNumberFormat="1" applyFont="1" applyFill="1" applyBorder="1"/>
    <xf numFmtId="3" fontId="0" fillId="33" borderId="14" xfId="2" applyNumberFormat="1" applyFont="1" applyFill="1" applyBorder="1"/>
    <xf numFmtId="3" fontId="0" fillId="33" borderId="0" xfId="2" applyNumberFormat="1" applyFont="1" applyFill="1" applyBorder="1"/>
    <xf numFmtId="0" fontId="19" fillId="33" borderId="13" xfId="1" applyFont="1" applyFill="1" applyBorder="1" applyAlignment="1">
      <alignment wrapText="1"/>
    </xf>
    <xf numFmtId="3" fontId="18" fillId="33" borderId="15" xfId="1" applyNumberFormat="1" applyFill="1" applyBorder="1"/>
    <xf numFmtId="3" fontId="0" fillId="33" borderId="15" xfId="2" applyNumberFormat="1" applyFont="1" applyFill="1" applyBorder="1"/>
    <xf numFmtId="3" fontId="18" fillId="33" borderId="14" xfId="1" applyNumberFormat="1" applyFill="1" applyBorder="1"/>
    <xf numFmtId="3" fontId="18" fillId="33" borderId="47" xfId="1" applyNumberFormat="1" applyFill="1" applyBorder="1"/>
    <xf numFmtId="3" fontId="0" fillId="33" borderId="47" xfId="2" applyNumberFormat="1" applyFont="1" applyFill="1" applyBorder="1"/>
    <xf numFmtId="0" fontId="19" fillId="0" borderId="13" xfId="1" applyFont="1" applyFill="1" applyBorder="1"/>
    <xf numFmtId="3" fontId="18" fillId="0" borderId="0" xfId="1" applyNumberFormat="1" applyFill="1" applyBorder="1"/>
    <xf numFmtId="3" fontId="0" fillId="0" borderId="0" xfId="2" applyNumberFormat="1" applyFont="1" applyFill="1" applyBorder="1"/>
    <xf numFmtId="3" fontId="18" fillId="0" borderId="17" xfId="1" applyNumberFormat="1" applyFill="1" applyBorder="1"/>
    <xf numFmtId="3" fontId="0" fillId="0" borderId="17" xfId="2" applyNumberFormat="1" applyFont="1" applyFill="1" applyBorder="1"/>
    <xf numFmtId="3" fontId="18" fillId="33" borderId="14" xfId="2" applyNumberFormat="1" applyFont="1" applyFill="1" applyBorder="1"/>
    <xf numFmtId="3" fontId="18" fillId="0" borderId="15" xfId="1" applyNumberFormat="1" applyFill="1" applyBorder="1"/>
    <xf numFmtId="3" fontId="0" fillId="0" borderId="15" xfId="2" applyNumberFormat="1" applyFont="1" applyFill="1" applyBorder="1"/>
    <xf numFmtId="3" fontId="18" fillId="0" borderId="0" xfId="1" applyNumberFormat="1"/>
    <xf numFmtId="0" fontId="19" fillId="0" borderId="48" xfId="1" applyFont="1" applyFill="1" applyBorder="1"/>
    <xf numFmtId="3" fontId="19" fillId="0" borderId="49" xfId="1" applyNumberFormat="1" applyFont="1" applyFill="1" applyBorder="1"/>
    <xf numFmtId="3" fontId="19" fillId="0" borderId="0" xfId="1" applyNumberFormat="1" applyFont="1" applyFill="1" applyBorder="1"/>
    <xf numFmtId="0" fontId="19" fillId="0" borderId="50" xfId="1" applyFont="1" applyFill="1" applyBorder="1"/>
    <xf numFmtId="168" fontId="0" fillId="0" borderId="0" xfId="812" applyNumberFormat="1" applyFont="1"/>
    <xf numFmtId="0" fontId="25" fillId="0" borderId="0" xfId="1" applyFont="1" applyAlignment="1">
      <alignment horizontal="left" vertical="top"/>
    </xf>
    <xf numFmtId="3" fontId="18" fillId="0" borderId="18" xfId="1" applyNumberFormat="1" applyBorder="1"/>
    <xf numFmtId="43" fontId="18" fillId="0" borderId="0" xfId="1228" applyFont="1"/>
    <xf numFmtId="9" fontId="18" fillId="0" borderId="0" xfId="1229" applyFont="1"/>
    <xf numFmtId="9" fontId="18" fillId="0" borderId="18" xfId="1229" applyFont="1" applyBorder="1"/>
    <xf numFmtId="43" fontId="18" fillId="0" borderId="18" xfId="1228" applyFont="1" applyBorder="1"/>
    <xf numFmtId="9" fontId="19" fillId="0" borderId="0" xfId="1" applyNumberFormat="1" applyFont="1"/>
    <xf numFmtId="43" fontId="19" fillId="0" borderId="0" xfId="1228" applyFont="1"/>
    <xf numFmtId="43" fontId="18" fillId="0" borderId="0" xfId="1" applyNumberFormat="1"/>
    <xf numFmtId="9" fontId="18" fillId="0" borderId="0" xfId="1" applyNumberFormat="1"/>
    <xf numFmtId="168" fontId="18" fillId="0" borderId="0" xfId="1228" applyNumberFormat="1" applyFont="1"/>
    <xf numFmtId="9" fontId="18" fillId="0" borderId="0" xfId="1229" applyFont="1" applyAlignment="1">
      <alignment horizontal="center"/>
    </xf>
    <xf numFmtId="168" fontId="18" fillId="0" borderId="0" xfId="1228" applyNumberFormat="1" applyFont="1" applyFill="1"/>
    <xf numFmtId="168" fontId="19" fillId="0" borderId="0" xfId="1228" applyNumberFormat="1" applyFont="1"/>
    <xf numFmtId="168" fontId="19" fillId="0" borderId="0" xfId="1" applyNumberFormat="1" applyFont="1"/>
    <xf numFmtId="0" fontId="18" fillId="0" borderId="0" xfId="1" applyAlignment="1">
      <alignment wrapText="1"/>
    </xf>
    <xf numFmtId="3" fontId="18" fillId="0" borderId="0" xfId="1" applyNumberFormat="1" applyBorder="1"/>
    <xf numFmtId="9" fontId="18" fillId="0" borderId="0" xfId="1229" applyFont="1" applyBorder="1" applyAlignment="1">
      <alignment horizontal="center"/>
    </xf>
    <xf numFmtId="9" fontId="18" fillId="0" borderId="18" xfId="1229" applyFont="1" applyBorder="1" applyAlignment="1">
      <alignment horizontal="center"/>
    </xf>
    <xf numFmtId="0" fontId="18" fillId="0" borderId="18" xfId="1" applyBorder="1"/>
    <xf numFmtId="9" fontId="18" fillId="0" borderId="0" xfId="1" applyNumberFormat="1" applyAlignment="1">
      <alignment horizontal="center"/>
    </xf>
    <xf numFmtId="3" fontId="16" fillId="33" borderId="14" xfId="2" applyNumberFormat="1" applyFont="1" applyFill="1" applyBorder="1"/>
    <xf numFmtId="0" fontId="0" fillId="0" borderId="47" xfId="0" applyBorder="1"/>
    <xf numFmtId="0" fontId="0" fillId="0" borderId="15" xfId="0" applyBorder="1"/>
    <xf numFmtId="0" fontId="71" fillId="0" borderId="15" xfId="0" applyFont="1" applyBorder="1" applyAlignment="1">
      <alignment horizontal="center" wrapText="1"/>
    </xf>
    <xf numFmtId="0" fontId="71" fillId="0" borderId="51" xfId="0" applyFont="1" applyBorder="1" applyAlignment="1">
      <alignment horizontal="center" wrapText="1"/>
    </xf>
    <xf numFmtId="0" fontId="71" fillId="0" borderId="47" xfId="0" applyFont="1" applyBorder="1" applyAlignment="1">
      <alignment horizontal="center" wrapText="1"/>
    </xf>
    <xf numFmtId="0" fontId="0" fillId="0" borderId="50" xfId="0" applyBorder="1"/>
    <xf numFmtId="0" fontId="16" fillId="0" borderId="15" xfId="0" applyFont="1" applyBorder="1"/>
    <xf numFmtId="0" fontId="0" fillId="0" borderId="14" xfId="0" applyBorder="1"/>
    <xf numFmtId="42" fontId="0" fillId="0" borderId="14" xfId="0" applyNumberFormat="1" applyBorder="1"/>
    <xf numFmtId="3" fontId="0" fillId="0" borderId="14" xfId="0" applyNumberFormat="1" applyBorder="1"/>
    <xf numFmtId="0" fontId="72" fillId="0" borderId="14" xfId="0" applyFont="1" applyBorder="1"/>
    <xf numFmtId="0" fontId="16" fillId="0" borderId="14" xfId="0" applyFont="1" applyBorder="1"/>
    <xf numFmtId="0" fontId="72" fillId="0" borderId="14" xfId="0" applyFont="1" applyBorder="1" applyAlignment="1">
      <alignment wrapText="1"/>
    </xf>
    <xf numFmtId="0" fontId="0" fillId="0" borderId="14" xfId="0" applyFill="1" applyBorder="1" applyAlignment="1">
      <alignment horizontal="left" vertical="center"/>
    </xf>
    <xf numFmtId="42" fontId="0" fillId="0" borderId="14" xfId="0" applyNumberFormat="1" applyFill="1" applyBorder="1" applyAlignment="1">
      <alignment horizontal="left" vertical="center"/>
    </xf>
    <xf numFmtId="3" fontId="0" fillId="0" borderId="14" xfId="0" applyNumberFormat="1" applyFill="1" applyBorder="1"/>
    <xf numFmtId="0" fontId="72" fillId="0" borderId="14" xfId="0" applyFont="1" applyFill="1" applyBorder="1" applyAlignment="1">
      <alignment wrapText="1"/>
    </xf>
    <xf numFmtId="0" fontId="71" fillId="0" borderId="14" xfId="0" applyFont="1" applyBorder="1" applyAlignment="1">
      <alignment horizontal="right"/>
    </xf>
    <xf numFmtId="42" fontId="71" fillId="0" borderId="14" xfId="0" applyNumberFormat="1" applyFont="1" applyBorder="1"/>
    <xf numFmtId="3" fontId="0" fillId="0" borderId="0" xfId="0" applyNumberFormat="1"/>
    <xf numFmtId="0" fontId="16" fillId="0" borderId="0" xfId="0" applyFont="1"/>
    <xf numFmtId="0" fontId="18" fillId="0" borderId="0" xfId="1" applyAlignment="1">
      <alignment horizontal="left" wrapText="1"/>
    </xf>
    <xf numFmtId="0" fontId="21" fillId="0" borderId="0" xfId="1" applyFont="1" applyAlignment="1">
      <alignment horizontal="center" vertical="top"/>
    </xf>
    <xf numFmtId="0" fontId="19" fillId="34" borderId="11" xfId="1" applyFont="1" applyFill="1" applyBorder="1" applyAlignment="1">
      <alignment horizontal="center"/>
    </xf>
    <xf numFmtId="0" fontId="19" fillId="34" borderId="12" xfId="1" applyFont="1" applyFill="1" applyBorder="1" applyAlignment="1">
      <alignment horizontal="center"/>
    </xf>
    <xf numFmtId="0" fontId="19" fillId="34" borderId="13" xfId="1" applyFont="1" applyFill="1" applyBorder="1" applyAlignment="1">
      <alignment horizontal="center"/>
    </xf>
    <xf numFmtId="0" fontId="18" fillId="0" borderId="0" xfId="1" applyAlignment="1">
      <alignment horizontal="left" vertical="top" wrapText="1"/>
    </xf>
    <xf numFmtId="0" fontId="18" fillId="0" borderId="0" xfId="1" applyFont="1" applyAlignment="1">
      <alignment horizontal="left" vertical="top" wrapText="1"/>
    </xf>
    <xf numFmtId="0" fontId="71" fillId="0" borderId="12" xfId="0" applyFont="1" applyBorder="1" applyAlignment="1">
      <alignment horizontal="center"/>
    </xf>
    <xf numFmtId="0" fontId="71" fillId="0" borderId="13" xfId="0" applyFont="1" applyBorder="1" applyAlignment="1">
      <alignment horizontal="center"/>
    </xf>
  </cellXfs>
  <cellStyles count="1232">
    <cellStyle name="20% - Accent1 10" xfId="3"/>
    <cellStyle name="20% - Accent1 11" xfId="4"/>
    <cellStyle name="20% - Accent1 12" xfId="5"/>
    <cellStyle name="20% - Accent1 13" xfId="6"/>
    <cellStyle name="20% - Accent1 14" xfId="7"/>
    <cellStyle name="20% - Accent1 15" xfId="8"/>
    <cellStyle name="20% - Accent1 16" xfId="9"/>
    <cellStyle name="20% - Accent1 17" xfId="10"/>
    <cellStyle name="20% - Accent1 18" xfId="11"/>
    <cellStyle name="20% - Accent1 19" xfId="12"/>
    <cellStyle name="20% - Accent1 2" xfId="13"/>
    <cellStyle name="20% - Accent1 2 2" xfId="14"/>
    <cellStyle name="20% - Accent1 2 3" xfId="15"/>
    <cellStyle name="20% - Accent1 20" xfId="16"/>
    <cellStyle name="20% - Accent1 21" xfId="17"/>
    <cellStyle name="20% - Accent1 22" xfId="18"/>
    <cellStyle name="20% - Accent1 23" xfId="19"/>
    <cellStyle name="20% - Accent1 24" xfId="20"/>
    <cellStyle name="20% - Accent1 25" xfId="21"/>
    <cellStyle name="20% - Accent1 26" xfId="22"/>
    <cellStyle name="20% - Accent1 26 2" xfId="23"/>
    <cellStyle name="20% - Accent1 27" xfId="24"/>
    <cellStyle name="20% - Accent1 27 2" xfId="25"/>
    <cellStyle name="20% - Accent1 28" xfId="26"/>
    <cellStyle name="20% - Accent1 29" xfId="27"/>
    <cellStyle name="20% - Accent1 3" xfId="28"/>
    <cellStyle name="20% - Accent1 30" xfId="29"/>
    <cellStyle name="20% - Accent1 4" xfId="30"/>
    <cellStyle name="20% - Accent1 5" xfId="31"/>
    <cellStyle name="20% - Accent1 6" xfId="32"/>
    <cellStyle name="20% - Accent1 7" xfId="33"/>
    <cellStyle name="20% - Accent1 8" xfId="34"/>
    <cellStyle name="20% - Accent1 9" xfId="35"/>
    <cellStyle name="20% - Accent2 10" xfId="36"/>
    <cellStyle name="20% - Accent2 11" xfId="37"/>
    <cellStyle name="20% - Accent2 12" xfId="38"/>
    <cellStyle name="20% - Accent2 13" xfId="39"/>
    <cellStyle name="20% - Accent2 14" xfId="40"/>
    <cellStyle name="20% - Accent2 15" xfId="41"/>
    <cellStyle name="20% - Accent2 16" xfId="42"/>
    <cellStyle name="20% - Accent2 17" xfId="43"/>
    <cellStyle name="20% - Accent2 18" xfId="44"/>
    <cellStyle name="20% - Accent2 19" xfId="45"/>
    <cellStyle name="20% - Accent2 2" xfId="46"/>
    <cellStyle name="20% - Accent2 2 2" xfId="47"/>
    <cellStyle name="20% - Accent2 2 3" xfId="48"/>
    <cellStyle name="20% - Accent2 20" xfId="49"/>
    <cellStyle name="20% - Accent2 21" xfId="50"/>
    <cellStyle name="20% - Accent2 22" xfId="51"/>
    <cellStyle name="20% - Accent2 23" xfId="52"/>
    <cellStyle name="20% - Accent2 24" xfId="53"/>
    <cellStyle name="20% - Accent2 25" xfId="54"/>
    <cellStyle name="20% - Accent2 26" xfId="55"/>
    <cellStyle name="20% - Accent2 26 2" xfId="56"/>
    <cellStyle name="20% - Accent2 27" xfId="57"/>
    <cellStyle name="20% - Accent2 27 2" xfId="58"/>
    <cellStyle name="20% - Accent2 28" xfId="59"/>
    <cellStyle name="20% - Accent2 29" xfId="60"/>
    <cellStyle name="20% - Accent2 3" xfId="61"/>
    <cellStyle name="20% - Accent2 30" xfId="62"/>
    <cellStyle name="20% - Accent2 4" xfId="63"/>
    <cellStyle name="20% - Accent2 5" xfId="64"/>
    <cellStyle name="20% - Accent2 6" xfId="65"/>
    <cellStyle name="20% - Accent2 7" xfId="66"/>
    <cellStyle name="20% - Accent2 8" xfId="67"/>
    <cellStyle name="20% - Accent2 9" xfId="68"/>
    <cellStyle name="20% - Accent3 10" xfId="69"/>
    <cellStyle name="20% - Accent3 11" xfId="70"/>
    <cellStyle name="20% - Accent3 12" xfId="71"/>
    <cellStyle name="20% - Accent3 13" xfId="72"/>
    <cellStyle name="20% - Accent3 14" xfId="73"/>
    <cellStyle name="20% - Accent3 15" xfId="74"/>
    <cellStyle name="20% - Accent3 16" xfId="75"/>
    <cellStyle name="20% - Accent3 17" xfId="76"/>
    <cellStyle name="20% - Accent3 18" xfId="77"/>
    <cellStyle name="20% - Accent3 19" xfId="78"/>
    <cellStyle name="20% - Accent3 2" xfId="79"/>
    <cellStyle name="20% - Accent3 2 2" xfId="80"/>
    <cellStyle name="20% - Accent3 2 3" xfId="81"/>
    <cellStyle name="20% - Accent3 20" xfId="82"/>
    <cellStyle name="20% - Accent3 21" xfId="83"/>
    <cellStyle name="20% - Accent3 22" xfId="84"/>
    <cellStyle name="20% - Accent3 23" xfId="85"/>
    <cellStyle name="20% - Accent3 24" xfId="86"/>
    <cellStyle name="20% - Accent3 25" xfId="87"/>
    <cellStyle name="20% - Accent3 26" xfId="88"/>
    <cellStyle name="20% - Accent3 26 2" xfId="89"/>
    <cellStyle name="20% - Accent3 27" xfId="90"/>
    <cellStyle name="20% - Accent3 27 2" xfId="91"/>
    <cellStyle name="20% - Accent3 28" xfId="92"/>
    <cellStyle name="20% - Accent3 29" xfId="93"/>
    <cellStyle name="20% - Accent3 3" xfId="94"/>
    <cellStyle name="20% - Accent3 30" xfId="95"/>
    <cellStyle name="20% - Accent3 4" xfId="96"/>
    <cellStyle name="20% - Accent3 5" xfId="97"/>
    <cellStyle name="20% - Accent3 6" xfId="98"/>
    <cellStyle name="20% - Accent3 7" xfId="99"/>
    <cellStyle name="20% - Accent3 8" xfId="100"/>
    <cellStyle name="20% - Accent3 9" xfId="101"/>
    <cellStyle name="20% - Accent4 10" xfId="102"/>
    <cellStyle name="20% - Accent4 11" xfId="103"/>
    <cellStyle name="20% - Accent4 12" xfId="104"/>
    <cellStyle name="20% - Accent4 13" xfId="105"/>
    <cellStyle name="20% - Accent4 14" xfId="106"/>
    <cellStyle name="20% - Accent4 15" xfId="107"/>
    <cellStyle name="20% - Accent4 16" xfId="108"/>
    <cellStyle name="20% - Accent4 17" xfId="109"/>
    <cellStyle name="20% - Accent4 18" xfId="110"/>
    <cellStyle name="20% - Accent4 19" xfId="111"/>
    <cellStyle name="20% - Accent4 2" xfId="112"/>
    <cellStyle name="20% - Accent4 2 2" xfId="113"/>
    <cellStyle name="20% - Accent4 2 3" xfId="114"/>
    <cellStyle name="20% - Accent4 20" xfId="115"/>
    <cellStyle name="20% - Accent4 21" xfId="116"/>
    <cellStyle name="20% - Accent4 22" xfId="117"/>
    <cellStyle name="20% - Accent4 23" xfId="118"/>
    <cellStyle name="20% - Accent4 24" xfId="119"/>
    <cellStyle name="20% - Accent4 25" xfId="120"/>
    <cellStyle name="20% - Accent4 26" xfId="121"/>
    <cellStyle name="20% - Accent4 26 2" xfId="122"/>
    <cellStyle name="20% - Accent4 27" xfId="123"/>
    <cellStyle name="20% - Accent4 27 2" xfId="124"/>
    <cellStyle name="20% - Accent4 28" xfId="125"/>
    <cellStyle name="20% - Accent4 29" xfId="126"/>
    <cellStyle name="20% - Accent4 3" xfId="127"/>
    <cellStyle name="20% - Accent4 30" xfId="128"/>
    <cellStyle name="20% - Accent4 4" xfId="129"/>
    <cellStyle name="20% - Accent4 5" xfId="130"/>
    <cellStyle name="20% - Accent4 6" xfId="131"/>
    <cellStyle name="20% - Accent4 7" xfId="132"/>
    <cellStyle name="20% - Accent4 8" xfId="133"/>
    <cellStyle name="20% - Accent4 9" xfId="134"/>
    <cellStyle name="20% - Accent5 10" xfId="135"/>
    <cellStyle name="20% - Accent5 11" xfId="136"/>
    <cellStyle name="20% - Accent5 12" xfId="137"/>
    <cellStyle name="20% - Accent5 13" xfId="138"/>
    <cellStyle name="20% - Accent5 14" xfId="139"/>
    <cellStyle name="20% - Accent5 15" xfId="140"/>
    <cellStyle name="20% - Accent5 16" xfId="141"/>
    <cellStyle name="20% - Accent5 17" xfId="142"/>
    <cellStyle name="20% - Accent5 18" xfId="143"/>
    <cellStyle name="20% - Accent5 19" xfId="144"/>
    <cellStyle name="20% - Accent5 2" xfId="145"/>
    <cellStyle name="20% - Accent5 2 2" xfId="146"/>
    <cellStyle name="20% - Accent5 2 3" xfId="147"/>
    <cellStyle name="20% - Accent5 20" xfId="148"/>
    <cellStyle name="20% - Accent5 21" xfId="149"/>
    <cellStyle name="20% - Accent5 22" xfId="150"/>
    <cellStyle name="20% - Accent5 23" xfId="151"/>
    <cellStyle name="20% - Accent5 24" xfId="152"/>
    <cellStyle name="20% - Accent5 25" xfId="153"/>
    <cellStyle name="20% - Accent5 26" xfId="154"/>
    <cellStyle name="20% - Accent5 26 2" xfId="155"/>
    <cellStyle name="20% - Accent5 27" xfId="156"/>
    <cellStyle name="20% - Accent5 27 2" xfId="157"/>
    <cellStyle name="20% - Accent5 28" xfId="158"/>
    <cellStyle name="20% - Accent5 29" xfId="159"/>
    <cellStyle name="20% - Accent5 3" xfId="160"/>
    <cellStyle name="20% - Accent5 30" xfId="161"/>
    <cellStyle name="20% - Accent5 4" xfId="162"/>
    <cellStyle name="20% - Accent5 5" xfId="163"/>
    <cellStyle name="20% - Accent5 6" xfId="164"/>
    <cellStyle name="20% - Accent5 7" xfId="165"/>
    <cellStyle name="20% - Accent5 8" xfId="166"/>
    <cellStyle name="20% - Accent5 9" xfId="167"/>
    <cellStyle name="20% - Accent6 10" xfId="168"/>
    <cellStyle name="20% - Accent6 11" xfId="169"/>
    <cellStyle name="20% - Accent6 12" xfId="170"/>
    <cellStyle name="20% - Accent6 13" xfId="171"/>
    <cellStyle name="20% - Accent6 14" xfId="172"/>
    <cellStyle name="20% - Accent6 15" xfId="173"/>
    <cellStyle name="20% - Accent6 16" xfId="174"/>
    <cellStyle name="20% - Accent6 17" xfId="175"/>
    <cellStyle name="20% - Accent6 18" xfId="176"/>
    <cellStyle name="20% - Accent6 19" xfId="177"/>
    <cellStyle name="20% - Accent6 2" xfId="178"/>
    <cellStyle name="20% - Accent6 2 2" xfId="179"/>
    <cellStyle name="20% - Accent6 2 3" xfId="180"/>
    <cellStyle name="20% - Accent6 20" xfId="181"/>
    <cellStyle name="20% - Accent6 21" xfId="182"/>
    <cellStyle name="20% - Accent6 22" xfId="183"/>
    <cellStyle name="20% - Accent6 23" xfId="184"/>
    <cellStyle name="20% - Accent6 24" xfId="185"/>
    <cellStyle name="20% - Accent6 25" xfId="186"/>
    <cellStyle name="20% - Accent6 26" xfId="187"/>
    <cellStyle name="20% - Accent6 26 2" xfId="188"/>
    <cellStyle name="20% - Accent6 27" xfId="189"/>
    <cellStyle name="20% - Accent6 27 2" xfId="190"/>
    <cellStyle name="20% - Accent6 28" xfId="191"/>
    <cellStyle name="20% - Accent6 29" xfId="192"/>
    <cellStyle name="20% - Accent6 3" xfId="193"/>
    <cellStyle name="20% - Accent6 30" xfId="194"/>
    <cellStyle name="20% - Accent6 4" xfId="195"/>
    <cellStyle name="20% - Accent6 5" xfId="196"/>
    <cellStyle name="20% - Accent6 6" xfId="197"/>
    <cellStyle name="20% - Accent6 7" xfId="198"/>
    <cellStyle name="20% - Accent6 8" xfId="199"/>
    <cellStyle name="20% - Accent6 9" xfId="200"/>
    <cellStyle name="40% - Accent1 10" xfId="201"/>
    <cellStyle name="40% - Accent1 11" xfId="202"/>
    <cellStyle name="40% - Accent1 12" xfId="203"/>
    <cellStyle name="40% - Accent1 13" xfId="204"/>
    <cellStyle name="40% - Accent1 14" xfId="205"/>
    <cellStyle name="40% - Accent1 15" xfId="206"/>
    <cellStyle name="40% - Accent1 16" xfId="207"/>
    <cellStyle name="40% - Accent1 17" xfId="208"/>
    <cellStyle name="40% - Accent1 18" xfId="209"/>
    <cellStyle name="40% - Accent1 19" xfId="210"/>
    <cellStyle name="40% - Accent1 2" xfId="211"/>
    <cellStyle name="40% - Accent1 2 2" xfId="212"/>
    <cellStyle name="40% - Accent1 2 3" xfId="213"/>
    <cellStyle name="40% - Accent1 20" xfId="214"/>
    <cellStyle name="40% - Accent1 21" xfId="215"/>
    <cellStyle name="40% - Accent1 22" xfId="216"/>
    <cellStyle name="40% - Accent1 23" xfId="217"/>
    <cellStyle name="40% - Accent1 24" xfId="218"/>
    <cellStyle name="40% - Accent1 25" xfId="219"/>
    <cellStyle name="40% - Accent1 26" xfId="220"/>
    <cellStyle name="40% - Accent1 26 2" xfId="221"/>
    <cellStyle name="40% - Accent1 27" xfId="222"/>
    <cellStyle name="40% - Accent1 27 2" xfId="223"/>
    <cellStyle name="40% - Accent1 28" xfId="224"/>
    <cellStyle name="40% - Accent1 29" xfId="225"/>
    <cellStyle name="40% - Accent1 3" xfId="226"/>
    <cellStyle name="40% - Accent1 30" xfId="227"/>
    <cellStyle name="40% - Accent1 4" xfId="228"/>
    <cellStyle name="40% - Accent1 5" xfId="229"/>
    <cellStyle name="40% - Accent1 6" xfId="230"/>
    <cellStyle name="40% - Accent1 7" xfId="231"/>
    <cellStyle name="40% - Accent1 8" xfId="232"/>
    <cellStyle name="40% - Accent1 9" xfId="233"/>
    <cellStyle name="40% - Accent2 10" xfId="234"/>
    <cellStyle name="40% - Accent2 11" xfId="235"/>
    <cellStyle name="40% - Accent2 12" xfId="236"/>
    <cellStyle name="40% - Accent2 13" xfId="237"/>
    <cellStyle name="40% - Accent2 14" xfId="238"/>
    <cellStyle name="40% - Accent2 15" xfId="239"/>
    <cellStyle name="40% - Accent2 16" xfId="240"/>
    <cellStyle name="40% - Accent2 17" xfId="241"/>
    <cellStyle name="40% - Accent2 18" xfId="242"/>
    <cellStyle name="40% - Accent2 19" xfId="243"/>
    <cellStyle name="40% - Accent2 2" xfId="244"/>
    <cellStyle name="40% - Accent2 2 2" xfId="245"/>
    <cellStyle name="40% - Accent2 2 3" xfId="246"/>
    <cellStyle name="40% - Accent2 20" xfId="247"/>
    <cellStyle name="40% - Accent2 21" xfId="248"/>
    <cellStyle name="40% - Accent2 22" xfId="249"/>
    <cellStyle name="40% - Accent2 23" xfId="250"/>
    <cellStyle name="40% - Accent2 24" xfId="251"/>
    <cellStyle name="40% - Accent2 25" xfId="252"/>
    <cellStyle name="40% - Accent2 26" xfId="253"/>
    <cellStyle name="40% - Accent2 26 2" xfId="254"/>
    <cellStyle name="40% - Accent2 27" xfId="255"/>
    <cellStyle name="40% - Accent2 27 2" xfId="256"/>
    <cellStyle name="40% - Accent2 28" xfId="257"/>
    <cellStyle name="40% - Accent2 29" xfId="258"/>
    <cellStyle name="40% - Accent2 3" xfId="259"/>
    <cellStyle name="40% - Accent2 30" xfId="260"/>
    <cellStyle name="40% - Accent2 4" xfId="261"/>
    <cellStyle name="40% - Accent2 5" xfId="262"/>
    <cellStyle name="40% - Accent2 6" xfId="263"/>
    <cellStyle name="40% - Accent2 7" xfId="264"/>
    <cellStyle name="40% - Accent2 8" xfId="265"/>
    <cellStyle name="40% - Accent2 9" xfId="266"/>
    <cellStyle name="40% - Accent3 10" xfId="267"/>
    <cellStyle name="40% - Accent3 11" xfId="268"/>
    <cellStyle name="40% - Accent3 12" xfId="269"/>
    <cellStyle name="40% - Accent3 13" xfId="270"/>
    <cellStyle name="40% - Accent3 14" xfId="271"/>
    <cellStyle name="40% - Accent3 15" xfId="272"/>
    <cellStyle name="40% - Accent3 16" xfId="273"/>
    <cellStyle name="40% - Accent3 17" xfId="274"/>
    <cellStyle name="40% - Accent3 18" xfId="275"/>
    <cellStyle name="40% - Accent3 19" xfId="276"/>
    <cellStyle name="40% - Accent3 2" xfId="277"/>
    <cellStyle name="40% - Accent3 2 2" xfId="278"/>
    <cellStyle name="40% - Accent3 2 3" xfId="279"/>
    <cellStyle name="40% - Accent3 20" xfId="280"/>
    <cellStyle name="40% - Accent3 21" xfId="281"/>
    <cellStyle name="40% - Accent3 22" xfId="282"/>
    <cellStyle name="40% - Accent3 23" xfId="283"/>
    <cellStyle name="40% - Accent3 24" xfId="284"/>
    <cellStyle name="40% - Accent3 25" xfId="285"/>
    <cellStyle name="40% - Accent3 26" xfId="286"/>
    <cellStyle name="40% - Accent3 26 2" xfId="287"/>
    <cellStyle name="40% - Accent3 27" xfId="288"/>
    <cellStyle name="40% - Accent3 27 2" xfId="289"/>
    <cellStyle name="40% - Accent3 28" xfId="290"/>
    <cellStyle name="40% - Accent3 29" xfId="291"/>
    <cellStyle name="40% - Accent3 3" xfId="292"/>
    <cellStyle name="40% - Accent3 30" xfId="293"/>
    <cellStyle name="40% - Accent3 4" xfId="294"/>
    <cellStyle name="40% - Accent3 5" xfId="295"/>
    <cellStyle name="40% - Accent3 6" xfId="296"/>
    <cellStyle name="40% - Accent3 7" xfId="297"/>
    <cellStyle name="40% - Accent3 8" xfId="298"/>
    <cellStyle name="40% - Accent3 9" xfId="299"/>
    <cellStyle name="40% - Accent4 10" xfId="300"/>
    <cellStyle name="40% - Accent4 11" xfId="301"/>
    <cellStyle name="40% - Accent4 12" xfId="302"/>
    <cellStyle name="40% - Accent4 13" xfId="303"/>
    <cellStyle name="40% - Accent4 14" xfId="304"/>
    <cellStyle name="40% - Accent4 15" xfId="305"/>
    <cellStyle name="40% - Accent4 16" xfId="306"/>
    <cellStyle name="40% - Accent4 17" xfId="307"/>
    <cellStyle name="40% - Accent4 18" xfId="308"/>
    <cellStyle name="40% - Accent4 19" xfId="309"/>
    <cellStyle name="40% - Accent4 2" xfId="310"/>
    <cellStyle name="40% - Accent4 2 2" xfId="311"/>
    <cellStyle name="40% - Accent4 2 3" xfId="312"/>
    <cellStyle name="40% - Accent4 20" xfId="313"/>
    <cellStyle name="40% - Accent4 21" xfId="314"/>
    <cellStyle name="40% - Accent4 22" xfId="315"/>
    <cellStyle name="40% - Accent4 23" xfId="316"/>
    <cellStyle name="40% - Accent4 24" xfId="317"/>
    <cellStyle name="40% - Accent4 25" xfId="318"/>
    <cellStyle name="40% - Accent4 26" xfId="319"/>
    <cellStyle name="40% - Accent4 26 2" xfId="320"/>
    <cellStyle name="40% - Accent4 27" xfId="321"/>
    <cellStyle name="40% - Accent4 27 2" xfId="322"/>
    <cellStyle name="40% - Accent4 28" xfId="323"/>
    <cellStyle name="40% - Accent4 29" xfId="324"/>
    <cellStyle name="40% - Accent4 3" xfId="325"/>
    <cellStyle name="40% - Accent4 30" xfId="326"/>
    <cellStyle name="40% - Accent4 4" xfId="327"/>
    <cellStyle name="40% - Accent4 5" xfId="328"/>
    <cellStyle name="40% - Accent4 6" xfId="329"/>
    <cellStyle name="40% - Accent4 7" xfId="330"/>
    <cellStyle name="40% - Accent4 8" xfId="331"/>
    <cellStyle name="40% - Accent4 9" xfId="332"/>
    <cellStyle name="40% - Accent5 10" xfId="333"/>
    <cellStyle name="40% - Accent5 11" xfId="334"/>
    <cellStyle name="40% - Accent5 12" xfId="335"/>
    <cellStyle name="40% - Accent5 13" xfId="336"/>
    <cellStyle name="40% - Accent5 14" xfId="337"/>
    <cellStyle name="40% - Accent5 15" xfId="338"/>
    <cellStyle name="40% - Accent5 16" xfId="339"/>
    <cellStyle name="40% - Accent5 17" xfId="340"/>
    <cellStyle name="40% - Accent5 18" xfId="341"/>
    <cellStyle name="40% - Accent5 19" xfId="342"/>
    <cellStyle name="40% - Accent5 2" xfId="343"/>
    <cellStyle name="40% - Accent5 2 2" xfId="344"/>
    <cellStyle name="40% - Accent5 2 3" xfId="345"/>
    <cellStyle name="40% - Accent5 20" xfId="346"/>
    <cellStyle name="40% - Accent5 21" xfId="347"/>
    <cellStyle name="40% - Accent5 22" xfId="348"/>
    <cellStyle name="40% - Accent5 23" xfId="349"/>
    <cellStyle name="40% - Accent5 24" xfId="350"/>
    <cellStyle name="40% - Accent5 25" xfId="351"/>
    <cellStyle name="40% - Accent5 26" xfId="352"/>
    <cellStyle name="40% - Accent5 26 2" xfId="353"/>
    <cellStyle name="40% - Accent5 27" xfId="354"/>
    <cellStyle name="40% - Accent5 27 2" xfId="355"/>
    <cellStyle name="40% - Accent5 28" xfId="356"/>
    <cellStyle name="40% - Accent5 29" xfId="357"/>
    <cellStyle name="40% - Accent5 3" xfId="358"/>
    <cellStyle name="40% - Accent5 30" xfId="359"/>
    <cellStyle name="40% - Accent5 4" xfId="360"/>
    <cellStyle name="40% - Accent5 5" xfId="361"/>
    <cellStyle name="40% - Accent5 6" xfId="362"/>
    <cellStyle name="40% - Accent5 7" xfId="363"/>
    <cellStyle name="40% - Accent5 8" xfId="364"/>
    <cellStyle name="40% - Accent5 9" xfId="365"/>
    <cellStyle name="40% - Accent6 10" xfId="366"/>
    <cellStyle name="40% - Accent6 11" xfId="367"/>
    <cellStyle name="40% - Accent6 12" xfId="368"/>
    <cellStyle name="40% - Accent6 13" xfId="369"/>
    <cellStyle name="40% - Accent6 14" xfId="370"/>
    <cellStyle name="40% - Accent6 15" xfId="371"/>
    <cellStyle name="40% - Accent6 16" xfId="372"/>
    <cellStyle name="40% - Accent6 17" xfId="373"/>
    <cellStyle name="40% - Accent6 18" xfId="374"/>
    <cellStyle name="40% - Accent6 19" xfId="375"/>
    <cellStyle name="40% - Accent6 2" xfId="376"/>
    <cellStyle name="40% - Accent6 2 2" xfId="377"/>
    <cellStyle name="40% - Accent6 2 3" xfId="378"/>
    <cellStyle name="40% - Accent6 20" xfId="379"/>
    <cellStyle name="40% - Accent6 21" xfId="380"/>
    <cellStyle name="40% - Accent6 22" xfId="381"/>
    <cellStyle name="40% - Accent6 23" xfId="382"/>
    <cellStyle name="40% - Accent6 24" xfId="383"/>
    <cellStyle name="40% - Accent6 25" xfId="384"/>
    <cellStyle name="40% - Accent6 26" xfId="385"/>
    <cellStyle name="40% - Accent6 26 2" xfId="386"/>
    <cellStyle name="40% - Accent6 27" xfId="387"/>
    <cellStyle name="40% - Accent6 27 2" xfId="388"/>
    <cellStyle name="40% - Accent6 28" xfId="389"/>
    <cellStyle name="40% - Accent6 29" xfId="390"/>
    <cellStyle name="40% - Accent6 3" xfId="391"/>
    <cellStyle name="40% - Accent6 30" xfId="392"/>
    <cellStyle name="40% - Accent6 4" xfId="393"/>
    <cellStyle name="40% - Accent6 5" xfId="394"/>
    <cellStyle name="40% - Accent6 6" xfId="395"/>
    <cellStyle name="40% - Accent6 7" xfId="396"/>
    <cellStyle name="40% - Accent6 8" xfId="397"/>
    <cellStyle name="40% - Accent6 9" xfId="398"/>
    <cellStyle name="60% - Accent1 10" xfId="399"/>
    <cellStyle name="60% - Accent1 11" xfId="400"/>
    <cellStyle name="60% - Accent1 12" xfId="401"/>
    <cellStyle name="60% - Accent1 13" xfId="402"/>
    <cellStyle name="60% - Accent1 14" xfId="403"/>
    <cellStyle name="60% - Accent1 15" xfId="404"/>
    <cellStyle name="60% - Accent1 16" xfId="405"/>
    <cellStyle name="60% - Accent1 17" xfId="406"/>
    <cellStyle name="60% - Accent1 18" xfId="407"/>
    <cellStyle name="60% - Accent1 19" xfId="408"/>
    <cellStyle name="60% - Accent1 2" xfId="409"/>
    <cellStyle name="60% - Accent1 2 2" xfId="410"/>
    <cellStyle name="60% - Accent1 2 3" xfId="411"/>
    <cellStyle name="60% - Accent1 20" xfId="412"/>
    <cellStyle name="60% - Accent1 21" xfId="413"/>
    <cellStyle name="60% - Accent1 22" xfId="414"/>
    <cellStyle name="60% - Accent1 23" xfId="415"/>
    <cellStyle name="60% - Accent1 24" xfId="416"/>
    <cellStyle name="60% - Accent1 25" xfId="417"/>
    <cellStyle name="60% - Accent1 26" xfId="418"/>
    <cellStyle name="60% - Accent1 3" xfId="419"/>
    <cellStyle name="60% - Accent1 4" xfId="420"/>
    <cellStyle name="60% - Accent1 5" xfId="421"/>
    <cellStyle name="60% - Accent1 6" xfId="422"/>
    <cellStyle name="60% - Accent1 7" xfId="423"/>
    <cellStyle name="60% - Accent1 8" xfId="424"/>
    <cellStyle name="60% - Accent1 9" xfId="425"/>
    <cellStyle name="60% - Accent2 10" xfId="426"/>
    <cellStyle name="60% - Accent2 11" xfId="427"/>
    <cellStyle name="60% - Accent2 12" xfId="428"/>
    <cellStyle name="60% - Accent2 13" xfId="429"/>
    <cellStyle name="60% - Accent2 14" xfId="430"/>
    <cellStyle name="60% - Accent2 15" xfId="431"/>
    <cellStyle name="60% - Accent2 16" xfId="432"/>
    <cellStyle name="60% - Accent2 17" xfId="433"/>
    <cellStyle name="60% - Accent2 18" xfId="434"/>
    <cellStyle name="60% - Accent2 19" xfId="435"/>
    <cellStyle name="60% - Accent2 2" xfId="436"/>
    <cellStyle name="60% - Accent2 2 2" xfId="437"/>
    <cellStyle name="60% - Accent2 2 3" xfId="438"/>
    <cellStyle name="60% - Accent2 20" xfId="439"/>
    <cellStyle name="60% - Accent2 21" xfId="440"/>
    <cellStyle name="60% - Accent2 22" xfId="441"/>
    <cellStyle name="60% - Accent2 23" xfId="442"/>
    <cellStyle name="60% - Accent2 24" xfId="443"/>
    <cellStyle name="60% - Accent2 25" xfId="444"/>
    <cellStyle name="60% - Accent2 26" xfId="445"/>
    <cellStyle name="60% - Accent2 3" xfId="446"/>
    <cellStyle name="60% - Accent2 4" xfId="447"/>
    <cellStyle name="60% - Accent2 5" xfId="448"/>
    <cellStyle name="60% - Accent2 6" xfId="449"/>
    <cellStyle name="60% - Accent2 7" xfId="450"/>
    <cellStyle name="60% - Accent2 8" xfId="451"/>
    <cellStyle name="60% - Accent2 9" xfId="452"/>
    <cellStyle name="60% - Accent3 10" xfId="453"/>
    <cellStyle name="60% - Accent3 11" xfId="454"/>
    <cellStyle name="60% - Accent3 12" xfId="455"/>
    <cellStyle name="60% - Accent3 13" xfId="456"/>
    <cellStyle name="60% - Accent3 14" xfId="457"/>
    <cellStyle name="60% - Accent3 15" xfId="458"/>
    <cellStyle name="60% - Accent3 16" xfId="459"/>
    <cellStyle name="60% - Accent3 17" xfId="460"/>
    <cellStyle name="60% - Accent3 18" xfId="461"/>
    <cellStyle name="60% - Accent3 19" xfId="462"/>
    <cellStyle name="60% - Accent3 2" xfId="463"/>
    <cellStyle name="60% - Accent3 2 2" xfId="464"/>
    <cellStyle name="60% - Accent3 2 3" xfId="465"/>
    <cellStyle name="60% - Accent3 20" xfId="466"/>
    <cellStyle name="60% - Accent3 21" xfId="467"/>
    <cellStyle name="60% - Accent3 22" xfId="468"/>
    <cellStyle name="60% - Accent3 23" xfId="469"/>
    <cellStyle name="60% - Accent3 24" xfId="470"/>
    <cellStyle name="60% - Accent3 25" xfId="471"/>
    <cellStyle name="60% - Accent3 26" xfId="472"/>
    <cellStyle name="60% - Accent3 3" xfId="473"/>
    <cellStyle name="60% - Accent3 4" xfId="474"/>
    <cellStyle name="60% - Accent3 5" xfId="475"/>
    <cellStyle name="60% - Accent3 6" xfId="476"/>
    <cellStyle name="60% - Accent3 7" xfId="477"/>
    <cellStyle name="60% - Accent3 8" xfId="478"/>
    <cellStyle name="60% - Accent3 9" xfId="479"/>
    <cellStyle name="60% - Accent4 10" xfId="480"/>
    <cellStyle name="60% - Accent4 11" xfId="481"/>
    <cellStyle name="60% - Accent4 12" xfId="482"/>
    <cellStyle name="60% - Accent4 13" xfId="483"/>
    <cellStyle name="60% - Accent4 14" xfId="484"/>
    <cellStyle name="60% - Accent4 15" xfId="485"/>
    <cellStyle name="60% - Accent4 16" xfId="486"/>
    <cellStyle name="60% - Accent4 17" xfId="487"/>
    <cellStyle name="60% - Accent4 18" xfId="488"/>
    <cellStyle name="60% - Accent4 19" xfId="489"/>
    <cellStyle name="60% - Accent4 2" xfId="490"/>
    <cellStyle name="60% - Accent4 2 2" xfId="491"/>
    <cellStyle name="60% - Accent4 2 3" xfId="492"/>
    <cellStyle name="60% - Accent4 20" xfId="493"/>
    <cellStyle name="60% - Accent4 21" xfId="494"/>
    <cellStyle name="60% - Accent4 22" xfId="495"/>
    <cellStyle name="60% - Accent4 23" xfId="496"/>
    <cellStyle name="60% - Accent4 24" xfId="497"/>
    <cellStyle name="60% - Accent4 25" xfId="498"/>
    <cellStyle name="60% - Accent4 26" xfId="499"/>
    <cellStyle name="60% - Accent4 3" xfId="500"/>
    <cellStyle name="60% - Accent4 4" xfId="501"/>
    <cellStyle name="60% - Accent4 5" xfId="502"/>
    <cellStyle name="60% - Accent4 6" xfId="503"/>
    <cellStyle name="60% - Accent4 7" xfId="504"/>
    <cellStyle name="60% - Accent4 8" xfId="505"/>
    <cellStyle name="60% - Accent4 9" xfId="506"/>
    <cellStyle name="60% - Accent5 10" xfId="507"/>
    <cellStyle name="60% - Accent5 11" xfId="508"/>
    <cellStyle name="60% - Accent5 12" xfId="509"/>
    <cellStyle name="60% - Accent5 13" xfId="510"/>
    <cellStyle name="60% - Accent5 14" xfId="511"/>
    <cellStyle name="60% - Accent5 15" xfId="512"/>
    <cellStyle name="60% - Accent5 16" xfId="513"/>
    <cellStyle name="60% - Accent5 17" xfId="514"/>
    <cellStyle name="60% - Accent5 18" xfId="515"/>
    <cellStyle name="60% - Accent5 19" xfId="516"/>
    <cellStyle name="60% - Accent5 2" xfId="517"/>
    <cellStyle name="60% - Accent5 2 2" xfId="518"/>
    <cellStyle name="60% - Accent5 2 3" xfId="519"/>
    <cellStyle name="60% - Accent5 20" xfId="520"/>
    <cellStyle name="60% - Accent5 21" xfId="521"/>
    <cellStyle name="60% - Accent5 22" xfId="522"/>
    <cellStyle name="60% - Accent5 23" xfId="523"/>
    <cellStyle name="60% - Accent5 24" xfId="524"/>
    <cellStyle name="60% - Accent5 25" xfId="525"/>
    <cellStyle name="60% - Accent5 26" xfId="526"/>
    <cellStyle name="60% - Accent5 3" xfId="527"/>
    <cellStyle name="60% - Accent5 4" xfId="528"/>
    <cellStyle name="60% - Accent5 5" xfId="529"/>
    <cellStyle name="60% - Accent5 6" xfId="530"/>
    <cellStyle name="60% - Accent5 7" xfId="531"/>
    <cellStyle name="60% - Accent5 8" xfId="532"/>
    <cellStyle name="60% - Accent5 9" xfId="533"/>
    <cellStyle name="60% - Accent6 10" xfId="534"/>
    <cellStyle name="60% - Accent6 11" xfId="535"/>
    <cellStyle name="60% - Accent6 12" xfId="536"/>
    <cellStyle name="60% - Accent6 13" xfId="537"/>
    <cellStyle name="60% - Accent6 14" xfId="538"/>
    <cellStyle name="60% - Accent6 15" xfId="539"/>
    <cellStyle name="60% - Accent6 16" xfId="540"/>
    <cellStyle name="60% - Accent6 17" xfId="541"/>
    <cellStyle name="60% - Accent6 18" xfId="542"/>
    <cellStyle name="60% - Accent6 19" xfId="543"/>
    <cellStyle name="60% - Accent6 2" xfId="544"/>
    <cellStyle name="60% - Accent6 2 2" xfId="545"/>
    <cellStyle name="60% - Accent6 2 3" xfId="546"/>
    <cellStyle name="60% - Accent6 20" xfId="547"/>
    <cellStyle name="60% - Accent6 21" xfId="548"/>
    <cellStyle name="60% - Accent6 22" xfId="549"/>
    <cellStyle name="60% - Accent6 23" xfId="550"/>
    <cellStyle name="60% - Accent6 24" xfId="551"/>
    <cellStyle name="60% - Accent6 25" xfId="552"/>
    <cellStyle name="60% - Accent6 26" xfId="553"/>
    <cellStyle name="60% - Accent6 3" xfId="554"/>
    <cellStyle name="60% - Accent6 4" xfId="555"/>
    <cellStyle name="60% - Accent6 5" xfId="556"/>
    <cellStyle name="60% - Accent6 6" xfId="557"/>
    <cellStyle name="60% - Accent6 7" xfId="558"/>
    <cellStyle name="60% - Accent6 8" xfId="559"/>
    <cellStyle name="60% - Accent6 9" xfId="560"/>
    <cellStyle name="Accent1 10" xfId="561"/>
    <cellStyle name="Accent1 11" xfId="562"/>
    <cellStyle name="Accent1 12" xfId="563"/>
    <cellStyle name="Accent1 13" xfId="564"/>
    <cellStyle name="Accent1 14" xfId="565"/>
    <cellStyle name="Accent1 15" xfId="566"/>
    <cellStyle name="Accent1 16" xfId="567"/>
    <cellStyle name="Accent1 17" xfId="568"/>
    <cellStyle name="Accent1 18" xfId="569"/>
    <cellStyle name="Accent1 19" xfId="570"/>
    <cellStyle name="Accent1 2" xfId="571"/>
    <cellStyle name="Accent1 2 2" xfId="572"/>
    <cellStyle name="Accent1 2 3" xfId="573"/>
    <cellStyle name="Accent1 20" xfId="574"/>
    <cellStyle name="Accent1 21" xfId="575"/>
    <cellStyle name="Accent1 22" xfId="576"/>
    <cellStyle name="Accent1 23" xfId="577"/>
    <cellStyle name="Accent1 24" xfId="578"/>
    <cellStyle name="Accent1 25" xfId="579"/>
    <cellStyle name="Accent1 26" xfId="580"/>
    <cellStyle name="Accent1 3" xfId="581"/>
    <cellStyle name="Accent1 4" xfId="582"/>
    <cellStyle name="Accent1 5" xfId="583"/>
    <cellStyle name="Accent1 6" xfId="584"/>
    <cellStyle name="Accent1 7" xfId="585"/>
    <cellStyle name="Accent1 8" xfId="586"/>
    <cellStyle name="Accent1 9" xfId="587"/>
    <cellStyle name="Accent2 10" xfId="588"/>
    <cellStyle name="Accent2 11" xfId="589"/>
    <cellStyle name="Accent2 12" xfId="590"/>
    <cellStyle name="Accent2 13" xfId="591"/>
    <cellStyle name="Accent2 14" xfId="592"/>
    <cellStyle name="Accent2 15" xfId="593"/>
    <cellStyle name="Accent2 16" xfId="594"/>
    <cellStyle name="Accent2 17" xfId="595"/>
    <cellStyle name="Accent2 18" xfId="596"/>
    <cellStyle name="Accent2 19" xfId="597"/>
    <cellStyle name="Accent2 2" xfId="598"/>
    <cellStyle name="Accent2 2 2" xfId="599"/>
    <cellStyle name="Accent2 2 3" xfId="600"/>
    <cellStyle name="Accent2 20" xfId="601"/>
    <cellStyle name="Accent2 21" xfId="602"/>
    <cellStyle name="Accent2 22" xfId="603"/>
    <cellStyle name="Accent2 23" xfId="604"/>
    <cellStyle name="Accent2 24" xfId="605"/>
    <cellStyle name="Accent2 25" xfId="606"/>
    <cellStyle name="Accent2 26" xfId="607"/>
    <cellStyle name="Accent2 3" xfId="608"/>
    <cellStyle name="Accent2 4" xfId="609"/>
    <cellStyle name="Accent2 5" xfId="610"/>
    <cellStyle name="Accent2 6" xfId="611"/>
    <cellStyle name="Accent2 7" xfId="612"/>
    <cellStyle name="Accent2 8" xfId="613"/>
    <cellStyle name="Accent2 9" xfId="614"/>
    <cellStyle name="Accent3 10" xfId="615"/>
    <cellStyle name="Accent3 11" xfId="616"/>
    <cellStyle name="Accent3 12" xfId="617"/>
    <cellStyle name="Accent3 13" xfId="618"/>
    <cellStyle name="Accent3 14" xfId="619"/>
    <cellStyle name="Accent3 15" xfId="620"/>
    <cellStyle name="Accent3 16" xfId="621"/>
    <cellStyle name="Accent3 17" xfId="622"/>
    <cellStyle name="Accent3 18" xfId="623"/>
    <cellStyle name="Accent3 19" xfId="624"/>
    <cellStyle name="Accent3 2" xfId="625"/>
    <cellStyle name="Accent3 2 2" xfId="626"/>
    <cellStyle name="Accent3 2 3" xfId="627"/>
    <cellStyle name="Accent3 20" xfId="628"/>
    <cellStyle name="Accent3 21" xfId="629"/>
    <cellStyle name="Accent3 22" xfId="630"/>
    <cellStyle name="Accent3 23" xfId="631"/>
    <cellStyle name="Accent3 24" xfId="632"/>
    <cellStyle name="Accent3 25" xfId="633"/>
    <cellStyle name="Accent3 26" xfId="634"/>
    <cellStyle name="Accent3 3" xfId="635"/>
    <cellStyle name="Accent3 4" xfId="636"/>
    <cellStyle name="Accent3 5" xfId="637"/>
    <cellStyle name="Accent3 6" xfId="638"/>
    <cellStyle name="Accent3 7" xfId="639"/>
    <cellStyle name="Accent3 8" xfId="640"/>
    <cellStyle name="Accent3 9" xfId="641"/>
    <cellStyle name="Accent4 10" xfId="642"/>
    <cellStyle name="Accent4 11" xfId="643"/>
    <cellStyle name="Accent4 12" xfId="644"/>
    <cellStyle name="Accent4 13" xfId="645"/>
    <cellStyle name="Accent4 14" xfId="646"/>
    <cellStyle name="Accent4 15" xfId="647"/>
    <cellStyle name="Accent4 16" xfId="648"/>
    <cellStyle name="Accent4 17" xfId="649"/>
    <cellStyle name="Accent4 18" xfId="650"/>
    <cellStyle name="Accent4 19" xfId="651"/>
    <cellStyle name="Accent4 2" xfId="652"/>
    <cellStyle name="Accent4 2 2" xfId="653"/>
    <cellStyle name="Accent4 2 3" xfId="654"/>
    <cellStyle name="Accent4 20" xfId="655"/>
    <cellStyle name="Accent4 21" xfId="656"/>
    <cellStyle name="Accent4 22" xfId="657"/>
    <cellStyle name="Accent4 23" xfId="658"/>
    <cellStyle name="Accent4 24" xfId="659"/>
    <cellStyle name="Accent4 25" xfId="660"/>
    <cellStyle name="Accent4 26" xfId="661"/>
    <cellStyle name="Accent4 3" xfId="662"/>
    <cellStyle name="Accent4 4" xfId="663"/>
    <cellStyle name="Accent4 5" xfId="664"/>
    <cellStyle name="Accent4 6" xfId="665"/>
    <cellStyle name="Accent4 7" xfId="666"/>
    <cellStyle name="Accent4 8" xfId="667"/>
    <cellStyle name="Accent4 9" xfId="668"/>
    <cellStyle name="Accent5 10" xfId="669"/>
    <cellStyle name="Accent5 11" xfId="670"/>
    <cellStyle name="Accent5 12" xfId="671"/>
    <cellStyle name="Accent5 13" xfId="672"/>
    <cellStyle name="Accent5 14" xfId="673"/>
    <cellStyle name="Accent5 15" xfId="674"/>
    <cellStyle name="Accent5 16" xfId="675"/>
    <cellStyle name="Accent5 17" xfId="676"/>
    <cellStyle name="Accent5 18" xfId="677"/>
    <cellStyle name="Accent5 19" xfId="678"/>
    <cellStyle name="Accent5 2" xfId="679"/>
    <cellStyle name="Accent5 2 2" xfId="680"/>
    <cellStyle name="Accent5 2 3" xfId="681"/>
    <cellStyle name="Accent5 20" xfId="682"/>
    <cellStyle name="Accent5 21" xfId="683"/>
    <cellStyle name="Accent5 22" xfId="684"/>
    <cellStyle name="Accent5 23" xfId="685"/>
    <cellStyle name="Accent5 24" xfId="686"/>
    <cellStyle name="Accent5 25" xfId="687"/>
    <cellStyle name="Accent5 26" xfId="688"/>
    <cellStyle name="Accent5 3" xfId="689"/>
    <cellStyle name="Accent5 4" xfId="690"/>
    <cellStyle name="Accent5 5" xfId="691"/>
    <cellStyle name="Accent5 6" xfId="692"/>
    <cellStyle name="Accent5 7" xfId="693"/>
    <cellStyle name="Accent5 8" xfId="694"/>
    <cellStyle name="Accent5 9" xfId="695"/>
    <cellStyle name="Accent6 10" xfId="696"/>
    <cellStyle name="Accent6 11" xfId="697"/>
    <cellStyle name="Accent6 12" xfId="698"/>
    <cellStyle name="Accent6 13" xfId="699"/>
    <cellStyle name="Accent6 14" xfId="700"/>
    <cellStyle name="Accent6 15" xfId="701"/>
    <cellStyle name="Accent6 16" xfId="702"/>
    <cellStyle name="Accent6 17" xfId="703"/>
    <cellStyle name="Accent6 18" xfId="704"/>
    <cellStyle name="Accent6 19" xfId="705"/>
    <cellStyle name="Accent6 2" xfId="706"/>
    <cellStyle name="Accent6 2 2" xfId="707"/>
    <cellStyle name="Accent6 2 3" xfId="708"/>
    <cellStyle name="Accent6 20" xfId="709"/>
    <cellStyle name="Accent6 21" xfId="710"/>
    <cellStyle name="Accent6 22" xfId="711"/>
    <cellStyle name="Accent6 23" xfId="712"/>
    <cellStyle name="Accent6 24" xfId="713"/>
    <cellStyle name="Accent6 25" xfId="714"/>
    <cellStyle name="Accent6 26" xfId="715"/>
    <cellStyle name="Accent6 3" xfId="716"/>
    <cellStyle name="Accent6 4" xfId="717"/>
    <cellStyle name="Accent6 5" xfId="718"/>
    <cellStyle name="Accent6 6" xfId="719"/>
    <cellStyle name="Accent6 7" xfId="720"/>
    <cellStyle name="Accent6 8" xfId="721"/>
    <cellStyle name="Accent6 9" xfId="722"/>
    <cellStyle name="Bad 10" xfId="723"/>
    <cellStyle name="Bad 11" xfId="724"/>
    <cellStyle name="Bad 12" xfId="725"/>
    <cellStyle name="Bad 13" xfId="726"/>
    <cellStyle name="Bad 14" xfId="727"/>
    <cellStyle name="Bad 15" xfId="728"/>
    <cellStyle name="Bad 16" xfId="729"/>
    <cellStyle name="Bad 17" xfId="730"/>
    <cellStyle name="Bad 18" xfId="731"/>
    <cellStyle name="Bad 19" xfId="732"/>
    <cellStyle name="Bad 2" xfId="733"/>
    <cellStyle name="Bad 2 2" xfId="734"/>
    <cellStyle name="Bad 2 3" xfId="735"/>
    <cellStyle name="Bad 20" xfId="736"/>
    <cellStyle name="Bad 21" xfId="737"/>
    <cellStyle name="Bad 22" xfId="738"/>
    <cellStyle name="Bad 23" xfId="739"/>
    <cellStyle name="Bad 24" xfId="740"/>
    <cellStyle name="Bad 25" xfId="741"/>
    <cellStyle name="Bad 26" xfId="742"/>
    <cellStyle name="Bad 3" xfId="743"/>
    <cellStyle name="Bad 4" xfId="744"/>
    <cellStyle name="Bad 5" xfId="745"/>
    <cellStyle name="Bad 6" xfId="746"/>
    <cellStyle name="Bad 7" xfId="747"/>
    <cellStyle name="Bad 8" xfId="748"/>
    <cellStyle name="Bad 9" xfId="749"/>
    <cellStyle name="Calculation 10" xfId="750"/>
    <cellStyle name="Calculation 11" xfId="751"/>
    <cellStyle name="Calculation 12" xfId="752"/>
    <cellStyle name="Calculation 13" xfId="753"/>
    <cellStyle name="Calculation 14" xfId="754"/>
    <cellStyle name="Calculation 15" xfId="755"/>
    <cellStyle name="Calculation 16" xfId="756"/>
    <cellStyle name="Calculation 17" xfId="757"/>
    <cellStyle name="Calculation 18" xfId="758"/>
    <cellStyle name="Calculation 19" xfId="759"/>
    <cellStyle name="Calculation 2" xfId="760"/>
    <cellStyle name="Calculation 2 2" xfId="761"/>
    <cellStyle name="Calculation 2 3" xfId="762"/>
    <cellStyle name="Calculation 20" xfId="763"/>
    <cellStyle name="Calculation 21" xfId="764"/>
    <cellStyle name="Calculation 22" xfId="765"/>
    <cellStyle name="Calculation 23" xfId="766"/>
    <cellStyle name="Calculation 24" xfId="767"/>
    <cellStyle name="Calculation 25" xfId="768"/>
    <cellStyle name="Calculation 26" xfId="769"/>
    <cellStyle name="Calculation 3" xfId="770"/>
    <cellStyle name="Calculation 4" xfId="771"/>
    <cellStyle name="Calculation 5" xfId="772"/>
    <cellStyle name="Calculation 6" xfId="773"/>
    <cellStyle name="Calculation 7" xfId="774"/>
    <cellStyle name="Calculation 8" xfId="775"/>
    <cellStyle name="Calculation 9" xfId="776"/>
    <cellStyle name="Check Cell 10" xfId="777"/>
    <cellStyle name="Check Cell 11" xfId="778"/>
    <cellStyle name="Check Cell 12" xfId="779"/>
    <cellStyle name="Check Cell 13" xfId="780"/>
    <cellStyle name="Check Cell 14" xfId="781"/>
    <cellStyle name="Check Cell 15" xfId="782"/>
    <cellStyle name="Check Cell 16" xfId="783"/>
    <cellStyle name="Check Cell 17" xfId="784"/>
    <cellStyle name="Check Cell 18" xfId="785"/>
    <cellStyle name="Check Cell 19" xfId="786"/>
    <cellStyle name="Check Cell 2" xfId="787"/>
    <cellStyle name="Check Cell 2 2" xfId="788"/>
    <cellStyle name="Check Cell 2 3" xfId="789"/>
    <cellStyle name="Check Cell 20" xfId="790"/>
    <cellStyle name="Check Cell 21" xfId="791"/>
    <cellStyle name="Check Cell 22" xfId="792"/>
    <cellStyle name="Check Cell 23" xfId="793"/>
    <cellStyle name="Check Cell 24" xfId="794"/>
    <cellStyle name="Check Cell 25" xfId="795"/>
    <cellStyle name="Check Cell 26" xfId="796"/>
    <cellStyle name="Check Cell 3" xfId="797"/>
    <cellStyle name="Check Cell 4" xfId="798"/>
    <cellStyle name="Check Cell 5" xfId="799"/>
    <cellStyle name="Check Cell 6" xfId="800"/>
    <cellStyle name="Check Cell 7" xfId="801"/>
    <cellStyle name="Check Cell 8" xfId="802"/>
    <cellStyle name="Check Cell 9" xfId="803"/>
    <cellStyle name="Comma" xfId="1228" builtinId="3"/>
    <cellStyle name="Comma 2" xfId="804"/>
    <cellStyle name="Comma 2 2" xfId="805"/>
    <cellStyle name="Comma 2 3" xfId="806"/>
    <cellStyle name="Comma 3" xfId="807"/>
    <cellStyle name="Comma 3 2" xfId="808"/>
    <cellStyle name="Comma 3 3" xfId="809"/>
    <cellStyle name="Comma 4" xfId="810"/>
    <cellStyle name="Comma 5" xfId="811"/>
    <cellStyle name="Comma 6" xfId="812"/>
    <cellStyle name="Comma 7" xfId="813"/>
    <cellStyle name="Comma0" xfId="814"/>
    <cellStyle name="Comma0 2" xfId="815"/>
    <cellStyle name="Currency 2" xfId="2"/>
    <cellStyle name="Currency 2 2" xfId="816"/>
    <cellStyle name="Currency 2 3" xfId="817"/>
    <cellStyle name="Currency 3" xfId="818"/>
    <cellStyle name="Currency 4" xfId="819"/>
    <cellStyle name="Currency 4 2" xfId="820"/>
    <cellStyle name="Currency 5" xfId="821"/>
    <cellStyle name="Currency 6" xfId="822"/>
    <cellStyle name="Currency 7" xfId="823"/>
    <cellStyle name="Currency0" xfId="824"/>
    <cellStyle name="Currency0 2" xfId="825"/>
    <cellStyle name="Date" xfId="826"/>
    <cellStyle name="Date 2" xfId="827"/>
    <cellStyle name="Explanatory Text 10" xfId="828"/>
    <cellStyle name="Explanatory Text 11" xfId="829"/>
    <cellStyle name="Explanatory Text 12" xfId="830"/>
    <cellStyle name="Explanatory Text 13" xfId="831"/>
    <cellStyle name="Explanatory Text 14" xfId="832"/>
    <cellStyle name="Explanatory Text 15" xfId="833"/>
    <cellStyle name="Explanatory Text 16" xfId="834"/>
    <cellStyle name="Explanatory Text 17" xfId="835"/>
    <cellStyle name="Explanatory Text 18" xfId="836"/>
    <cellStyle name="Explanatory Text 19" xfId="837"/>
    <cellStyle name="Explanatory Text 2" xfId="838"/>
    <cellStyle name="Explanatory Text 2 2" xfId="839"/>
    <cellStyle name="Explanatory Text 2 3" xfId="840"/>
    <cellStyle name="Explanatory Text 20" xfId="841"/>
    <cellStyle name="Explanatory Text 21" xfId="842"/>
    <cellStyle name="Explanatory Text 22" xfId="843"/>
    <cellStyle name="Explanatory Text 23" xfId="844"/>
    <cellStyle name="Explanatory Text 24" xfId="845"/>
    <cellStyle name="Explanatory Text 25" xfId="846"/>
    <cellStyle name="Explanatory Text 26" xfId="847"/>
    <cellStyle name="Explanatory Text 3" xfId="848"/>
    <cellStyle name="Explanatory Text 4" xfId="849"/>
    <cellStyle name="Explanatory Text 5" xfId="850"/>
    <cellStyle name="Explanatory Text 6" xfId="851"/>
    <cellStyle name="Explanatory Text 7" xfId="852"/>
    <cellStyle name="Explanatory Text 8" xfId="853"/>
    <cellStyle name="Explanatory Text 9" xfId="854"/>
    <cellStyle name="Fixed" xfId="855"/>
    <cellStyle name="Fixed 2" xfId="856"/>
    <cellStyle name="Good 10" xfId="857"/>
    <cellStyle name="Good 11" xfId="858"/>
    <cellStyle name="Good 12" xfId="859"/>
    <cellStyle name="Good 13" xfId="860"/>
    <cellStyle name="Good 14" xfId="861"/>
    <cellStyle name="Good 15" xfId="862"/>
    <cellStyle name="Good 16" xfId="863"/>
    <cellStyle name="Good 17" xfId="864"/>
    <cellStyle name="Good 18" xfId="865"/>
    <cellStyle name="Good 19" xfId="866"/>
    <cellStyle name="Good 2" xfId="867"/>
    <cellStyle name="Good 2 2" xfId="868"/>
    <cellStyle name="Good 2 3" xfId="869"/>
    <cellStyle name="Good 20" xfId="870"/>
    <cellStyle name="Good 21" xfId="871"/>
    <cellStyle name="Good 22" xfId="872"/>
    <cellStyle name="Good 23" xfId="873"/>
    <cellStyle name="Good 24" xfId="874"/>
    <cellStyle name="Good 25" xfId="875"/>
    <cellStyle name="Good 26" xfId="876"/>
    <cellStyle name="Good 3" xfId="877"/>
    <cellStyle name="Good 4" xfId="878"/>
    <cellStyle name="Good 5" xfId="879"/>
    <cellStyle name="Good 6" xfId="880"/>
    <cellStyle name="Good 7" xfId="881"/>
    <cellStyle name="Good 8" xfId="882"/>
    <cellStyle name="Good 9" xfId="883"/>
    <cellStyle name="Heading 1 10" xfId="884"/>
    <cellStyle name="Heading 1 11" xfId="885"/>
    <cellStyle name="Heading 1 12" xfId="886"/>
    <cellStyle name="Heading 1 13" xfId="887"/>
    <cellStyle name="Heading 1 14" xfId="888"/>
    <cellStyle name="Heading 1 15" xfId="889"/>
    <cellStyle name="Heading 1 16" xfId="890"/>
    <cellStyle name="Heading 1 17" xfId="891"/>
    <cellStyle name="Heading 1 18" xfId="892"/>
    <cellStyle name="Heading 1 19" xfId="893"/>
    <cellStyle name="Heading 1 2" xfId="894"/>
    <cellStyle name="Heading 1 2 2" xfId="895"/>
    <cellStyle name="Heading 1 2 3" xfId="896"/>
    <cellStyle name="Heading 1 20" xfId="897"/>
    <cellStyle name="Heading 1 21" xfId="898"/>
    <cellStyle name="Heading 1 22" xfId="899"/>
    <cellStyle name="Heading 1 23" xfId="900"/>
    <cellStyle name="Heading 1 24" xfId="901"/>
    <cellStyle name="Heading 1 25" xfId="902"/>
    <cellStyle name="Heading 1 26" xfId="903"/>
    <cellStyle name="Heading 1 3" xfId="904"/>
    <cellStyle name="Heading 1 3 2" xfId="905"/>
    <cellStyle name="Heading 1 4" xfId="906"/>
    <cellStyle name="Heading 1 5" xfId="907"/>
    <cellStyle name="Heading 1 6" xfId="908"/>
    <cellStyle name="Heading 1 7" xfId="909"/>
    <cellStyle name="Heading 1 8" xfId="910"/>
    <cellStyle name="Heading 1 9" xfId="911"/>
    <cellStyle name="Heading 2 10" xfId="912"/>
    <cellStyle name="Heading 2 11" xfId="913"/>
    <cellStyle name="Heading 2 12" xfId="914"/>
    <cellStyle name="Heading 2 13" xfId="915"/>
    <cellStyle name="Heading 2 14" xfId="916"/>
    <cellStyle name="Heading 2 15" xfId="917"/>
    <cellStyle name="Heading 2 16" xfId="918"/>
    <cellStyle name="Heading 2 17" xfId="919"/>
    <cellStyle name="Heading 2 18" xfId="920"/>
    <cellStyle name="Heading 2 19" xfId="921"/>
    <cellStyle name="Heading 2 2" xfId="922"/>
    <cellStyle name="Heading 2 2 2" xfId="923"/>
    <cellStyle name="Heading 2 2 3" xfId="924"/>
    <cellStyle name="Heading 2 20" xfId="925"/>
    <cellStyle name="Heading 2 21" xfId="926"/>
    <cellStyle name="Heading 2 22" xfId="927"/>
    <cellStyle name="Heading 2 23" xfId="928"/>
    <cellStyle name="Heading 2 24" xfId="929"/>
    <cellStyle name="Heading 2 25" xfId="930"/>
    <cellStyle name="Heading 2 26" xfId="931"/>
    <cellStyle name="Heading 2 3" xfId="932"/>
    <cellStyle name="Heading 2 3 2" xfId="933"/>
    <cellStyle name="Heading 2 4" xfId="934"/>
    <cellStyle name="Heading 2 5" xfId="935"/>
    <cellStyle name="Heading 2 6" xfId="936"/>
    <cellStyle name="Heading 2 7" xfId="937"/>
    <cellStyle name="Heading 2 8" xfId="938"/>
    <cellStyle name="Heading 2 9" xfId="939"/>
    <cellStyle name="Heading 3 10" xfId="940"/>
    <cellStyle name="Heading 3 11" xfId="941"/>
    <cellStyle name="Heading 3 12" xfId="942"/>
    <cellStyle name="Heading 3 13" xfId="943"/>
    <cellStyle name="Heading 3 14" xfId="944"/>
    <cellStyle name="Heading 3 15" xfId="945"/>
    <cellStyle name="Heading 3 16" xfId="946"/>
    <cellStyle name="Heading 3 17" xfId="947"/>
    <cellStyle name="Heading 3 18" xfId="948"/>
    <cellStyle name="Heading 3 19" xfId="949"/>
    <cellStyle name="Heading 3 2" xfId="950"/>
    <cellStyle name="Heading 3 2 2" xfId="951"/>
    <cellStyle name="Heading 3 2 3" xfId="952"/>
    <cellStyle name="Heading 3 20" xfId="953"/>
    <cellStyle name="Heading 3 21" xfId="954"/>
    <cellStyle name="Heading 3 22" xfId="955"/>
    <cellStyle name="Heading 3 23" xfId="956"/>
    <cellStyle name="Heading 3 24" xfId="957"/>
    <cellStyle name="Heading 3 25" xfId="958"/>
    <cellStyle name="Heading 3 26" xfId="959"/>
    <cellStyle name="Heading 3 3" xfId="960"/>
    <cellStyle name="Heading 3 4" xfId="961"/>
    <cellStyle name="Heading 3 5" xfId="962"/>
    <cellStyle name="Heading 3 6" xfId="963"/>
    <cellStyle name="Heading 3 7" xfId="964"/>
    <cellStyle name="Heading 3 8" xfId="965"/>
    <cellStyle name="Heading 3 9" xfId="966"/>
    <cellStyle name="Heading 4 10" xfId="967"/>
    <cellStyle name="Heading 4 11" xfId="968"/>
    <cellStyle name="Heading 4 12" xfId="969"/>
    <cellStyle name="Heading 4 13" xfId="970"/>
    <cellStyle name="Heading 4 14" xfId="971"/>
    <cellStyle name="Heading 4 15" xfId="972"/>
    <cellStyle name="Heading 4 16" xfId="973"/>
    <cellStyle name="Heading 4 17" xfId="974"/>
    <cellStyle name="Heading 4 18" xfId="975"/>
    <cellStyle name="Heading 4 19" xfId="976"/>
    <cellStyle name="Heading 4 2" xfId="977"/>
    <cellStyle name="Heading 4 2 2" xfId="978"/>
    <cellStyle name="Heading 4 2 3" xfId="979"/>
    <cellStyle name="Heading 4 20" xfId="980"/>
    <cellStyle name="Heading 4 21" xfId="981"/>
    <cellStyle name="Heading 4 22" xfId="982"/>
    <cellStyle name="Heading 4 23" xfId="983"/>
    <cellStyle name="Heading 4 24" xfId="984"/>
    <cellStyle name="Heading 4 25" xfId="985"/>
    <cellStyle name="Heading 4 26" xfId="986"/>
    <cellStyle name="Heading 4 3" xfId="987"/>
    <cellStyle name="Heading 4 4" xfId="988"/>
    <cellStyle name="Heading 4 5" xfId="989"/>
    <cellStyle name="Heading 4 6" xfId="990"/>
    <cellStyle name="Heading 4 7" xfId="991"/>
    <cellStyle name="Heading 4 8" xfId="992"/>
    <cellStyle name="Heading 4 9" xfId="993"/>
    <cellStyle name="Hyperlink 2" xfId="994"/>
    <cellStyle name="Hyperlink 3" xfId="995"/>
    <cellStyle name="Input 10" xfId="996"/>
    <cellStyle name="Input 11" xfId="997"/>
    <cellStyle name="Input 12" xfId="998"/>
    <cellStyle name="Input 13" xfId="999"/>
    <cellStyle name="Input 14" xfId="1000"/>
    <cellStyle name="Input 15" xfId="1001"/>
    <cellStyle name="Input 16" xfId="1002"/>
    <cellStyle name="Input 17" xfId="1003"/>
    <cellStyle name="Input 18" xfId="1004"/>
    <cellStyle name="Input 19" xfId="1005"/>
    <cellStyle name="Input 2" xfId="1006"/>
    <cellStyle name="Input 2 2" xfId="1007"/>
    <cellStyle name="Input 2 3" xfId="1008"/>
    <cellStyle name="Input 20" xfId="1009"/>
    <cellStyle name="Input 21" xfId="1010"/>
    <cellStyle name="Input 22" xfId="1011"/>
    <cellStyle name="Input 23" xfId="1012"/>
    <cellStyle name="Input 24" xfId="1013"/>
    <cellStyle name="Input 25" xfId="1014"/>
    <cellStyle name="Input 26" xfId="1015"/>
    <cellStyle name="Input 3" xfId="1016"/>
    <cellStyle name="Input 4" xfId="1017"/>
    <cellStyle name="Input 5" xfId="1018"/>
    <cellStyle name="Input 6" xfId="1019"/>
    <cellStyle name="Input 7" xfId="1020"/>
    <cellStyle name="Input 8" xfId="1021"/>
    <cellStyle name="Input 9" xfId="1022"/>
    <cellStyle name="Linked Cell 10" xfId="1023"/>
    <cellStyle name="Linked Cell 11" xfId="1024"/>
    <cellStyle name="Linked Cell 12" xfId="1025"/>
    <cellStyle name="Linked Cell 13" xfId="1026"/>
    <cellStyle name="Linked Cell 14" xfId="1027"/>
    <cellStyle name="Linked Cell 15" xfId="1028"/>
    <cellStyle name="Linked Cell 16" xfId="1029"/>
    <cellStyle name="Linked Cell 17" xfId="1030"/>
    <cellStyle name="Linked Cell 18" xfId="1031"/>
    <cellStyle name="Linked Cell 19" xfId="1032"/>
    <cellStyle name="Linked Cell 2" xfId="1033"/>
    <cellStyle name="Linked Cell 2 2" xfId="1034"/>
    <cellStyle name="Linked Cell 2 3" xfId="1035"/>
    <cellStyle name="Linked Cell 20" xfId="1036"/>
    <cellStyle name="Linked Cell 21" xfId="1037"/>
    <cellStyle name="Linked Cell 22" xfId="1038"/>
    <cellStyle name="Linked Cell 23" xfId="1039"/>
    <cellStyle name="Linked Cell 24" xfId="1040"/>
    <cellStyle name="Linked Cell 25" xfId="1041"/>
    <cellStyle name="Linked Cell 26" xfId="1042"/>
    <cellStyle name="Linked Cell 3" xfId="1043"/>
    <cellStyle name="Linked Cell 4" xfId="1044"/>
    <cellStyle name="Linked Cell 5" xfId="1045"/>
    <cellStyle name="Linked Cell 6" xfId="1046"/>
    <cellStyle name="Linked Cell 7" xfId="1047"/>
    <cellStyle name="Linked Cell 8" xfId="1048"/>
    <cellStyle name="Linked Cell 9" xfId="1049"/>
    <cellStyle name="Neutral 10" xfId="1050"/>
    <cellStyle name="Neutral 11" xfId="1051"/>
    <cellStyle name="Neutral 12" xfId="1052"/>
    <cellStyle name="Neutral 13" xfId="1053"/>
    <cellStyle name="Neutral 14" xfId="1054"/>
    <cellStyle name="Neutral 15" xfId="1055"/>
    <cellStyle name="Neutral 16" xfId="1056"/>
    <cellStyle name="Neutral 17" xfId="1057"/>
    <cellStyle name="Neutral 18" xfId="1058"/>
    <cellStyle name="Neutral 19" xfId="1059"/>
    <cellStyle name="Neutral 2" xfId="1060"/>
    <cellStyle name="Neutral 2 2" xfId="1061"/>
    <cellStyle name="Neutral 2 3" xfId="1062"/>
    <cellStyle name="Neutral 20" xfId="1063"/>
    <cellStyle name="Neutral 21" xfId="1064"/>
    <cellStyle name="Neutral 22" xfId="1065"/>
    <cellStyle name="Neutral 23" xfId="1066"/>
    <cellStyle name="Neutral 24" xfId="1067"/>
    <cellStyle name="Neutral 25" xfId="1068"/>
    <cellStyle name="Neutral 26" xfId="1069"/>
    <cellStyle name="Neutral 3" xfId="1070"/>
    <cellStyle name="Neutral 4" xfId="1071"/>
    <cellStyle name="Neutral 5" xfId="1072"/>
    <cellStyle name="Neutral 6" xfId="1073"/>
    <cellStyle name="Neutral 7" xfId="1074"/>
    <cellStyle name="Neutral 8" xfId="1075"/>
    <cellStyle name="Neutral 9" xfId="1076"/>
    <cellStyle name="Normal" xfId="0" builtinId="0"/>
    <cellStyle name="Normal 10" xfId="1"/>
    <cellStyle name="Normal 11" xfId="1230"/>
    <cellStyle name="Normal 11 2" xfId="1231"/>
    <cellStyle name="Normal 2" xfId="1077"/>
    <cellStyle name="Normal 2 2" xfId="1078"/>
    <cellStyle name="Normal 2 2 2" xfId="1079"/>
    <cellStyle name="Normal 2 3" xfId="1080"/>
    <cellStyle name="Normal 2 4" xfId="1081"/>
    <cellStyle name="Normal 25" xfId="1082"/>
    <cellStyle name="Normal 3" xfId="1083"/>
    <cellStyle name="Normal 3 2" xfId="1084"/>
    <cellStyle name="Normal 3 2 2" xfId="1085"/>
    <cellStyle name="Normal 3 2 3" xfId="1086"/>
    <cellStyle name="Normal 3 3" xfId="1087"/>
    <cellStyle name="Normal 3 4" xfId="1088"/>
    <cellStyle name="Normal 4" xfId="1089"/>
    <cellStyle name="Normal 4 2" xfId="1090"/>
    <cellStyle name="Normal 4 2 2" xfId="1091"/>
    <cellStyle name="Normal 4 3" xfId="1092"/>
    <cellStyle name="Normal 5" xfId="1093"/>
    <cellStyle name="Normal 6" xfId="1094"/>
    <cellStyle name="Normal 7" xfId="1095"/>
    <cellStyle name="Normal 8" xfId="1096"/>
    <cellStyle name="Normal 9" xfId="1097"/>
    <cellStyle name="Note 10" xfId="1098"/>
    <cellStyle name="Note 11" xfId="1099"/>
    <cellStyle name="Note 12" xfId="1100"/>
    <cellStyle name="Note 13" xfId="1101"/>
    <cellStyle name="Note 14" xfId="1102"/>
    <cellStyle name="Note 15" xfId="1103"/>
    <cellStyle name="Note 16" xfId="1104"/>
    <cellStyle name="Note 17" xfId="1105"/>
    <cellStyle name="Note 18" xfId="1106"/>
    <cellStyle name="Note 19" xfId="1107"/>
    <cellStyle name="Note 2" xfId="1108"/>
    <cellStyle name="Note 2 2" xfId="1109"/>
    <cellStyle name="Note 2 3" xfId="1110"/>
    <cellStyle name="Note 20" xfId="1111"/>
    <cellStyle name="Note 21" xfId="1112"/>
    <cellStyle name="Note 22" xfId="1113"/>
    <cellStyle name="Note 23" xfId="1114"/>
    <cellStyle name="Note 24" xfId="1115"/>
    <cellStyle name="Note 25" xfId="1116"/>
    <cellStyle name="Note 26" xfId="1117"/>
    <cellStyle name="Note 26 2" xfId="1118"/>
    <cellStyle name="Note 26 2 2" xfId="1119"/>
    <cellStyle name="Note 26 3" xfId="1120"/>
    <cellStyle name="Note 27" xfId="1121"/>
    <cellStyle name="Note 27 2" xfId="1122"/>
    <cellStyle name="Note 28" xfId="1123"/>
    <cellStyle name="Note 28 2" xfId="1124"/>
    <cellStyle name="Note 29" xfId="1125"/>
    <cellStyle name="Note 3" xfId="1126"/>
    <cellStyle name="Note 3 2" xfId="1127"/>
    <cellStyle name="Note 30" xfId="1128"/>
    <cellStyle name="Note 4" xfId="1129"/>
    <cellStyle name="Note 5" xfId="1130"/>
    <cellStyle name="Note 6" xfId="1131"/>
    <cellStyle name="Note 7" xfId="1132"/>
    <cellStyle name="Note 8" xfId="1133"/>
    <cellStyle name="Note 9" xfId="1134"/>
    <cellStyle name="Output 10" xfId="1135"/>
    <cellStyle name="Output 11" xfId="1136"/>
    <cellStyle name="Output 12" xfId="1137"/>
    <cellStyle name="Output 13" xfId="1138"/>
    <cellStyle name="Output 14" xfId="1139"/>
    <cellStyle name="Output 15" xfId="1140"/>
    <cellStyle name="Output 16" xfId="1141"/>
    <cellStyle name="Output 17" xfId="1142"/>
    <cellStyle name="Output 18" xfId="1143"/>
    <cellStyle name="Output 19" xfId="1144"/>
    <cellStyle name="Output 2" xfId="1145"/>
    <cellStyle name="Output 2 2" xfId="1146"/>
    <cellStyle name="Output 2 3" xfId="1147"/>
    <cellStyle name="Output 20" xfId="1148"/>
    <cellStyle name="Output 21" xfId="1149"/>
    <cellStyle name="Output 22" xfId="1150"/>
    <cellStyle name="Output 23" xfId="1151"/>
    <cellStyle name="Output 24" xfId="1152"/>
    <cellStyle name="Output 25" xfId="1153"/>
    <cellStyle name="Output 26" xfId="1154"/>
    <cellStyle name="Output 3" xfId="1155"/>
    <cellStyle name="Output 4" xfId="1156"/>
    <cellStyle name="Output 5" xfId="1157"/>
    <cellStyle name="Output 6" xfId="1158"/>
    <cellStyle name="Output 7" xfId="1159"/>
    <cellStyle name="Output 8" xfId="1160"/>
    <cellStyle name="Output 9" xfId="1161"/>
    <cellStyle name="Percent" xfId="1229" builtinId="5"/>
    <cellStyle name="Percent 2" xfId="1162"/>
    <cellStyle name="Percent 2 2" xfId="1163"/>
    <cellStyle name="Percent 3" xfId="1164"/>
    <cellStyle name="Percent 4" xfId="1165"/>
    <cellStyle name="Percent 4 2" xfId="1166"/>
    <cellStyle name="Percent 5" xfId="1167"/>
    <cellStyle name="PSChar" xfId="1168"/>
    <cellStyle name="Title 2" xfId="1169"/>
    <cellStyle name="Title 2 2" xfId="1170"/>
    <cellStyle name="Title 3" xfId="1171"/>
    <cellStyle name="Total 10" xfId="1172"/>
    <cellStyle name="Total 11" xfId="1173"/>
    <cellStyle name="Total 12" xfId="1174"/>
    <cellStyle name="Total 13" xfId="1175"/>
    <cellStyle name="Total 14" xfId="1176"/>
    <cellStyle name="Total 15" xfId="1177"/>
    <cellStyle name="Total 16" xfId="1178"/>
    <cellStyle name="Total 17" xfId="1179"/>
    <cellStyle name="Total 18" xfId="1180"/>
    <cellStyle name="Total 19" xfId="1181"/>
    <cellStyle name="Total 2" xfId="1182"/>
    <cellStyle name="Total 2 2" xfId="1183"/>
    <cellStyle name="Total 2 3" xfId="1184"/>
    <cellStyle name="Total 20" xfId="1185"/>
    <cellStyle name="Total 21" xfId="1186"/>
    <cellStyle name="Total 22" xfId="1187"/>
    <cellStyle name="Total 23" xfId="1188"/>
    <cellStyle name="Total 24" xfId="1189"/>
    <cellStyle name="Total 25" xfId="1190"/>
    <cellStyle name="Total 26" xfId="1191"/>
    <cellStyle name="Total 3" xfId="1192"/>
    <cellStyle name="Total 3 2" xfId="1193"/>
    <cellStyle name="Total 4" xfId="1194"/>
    <cellStyle name="Total 4 2" xfId="1195"/>
    <cellStyle name="Total 5" xfId="1196"/>
    <cellStyle name="Total 6" xfId="1197"/>
    <cellStyle name="Total 7" xfId="1198"/>
    <cellStyle name="Total 8" xfId="1199"/>
    <cellStyle name="Total 9" xfId="1200"/>
    <cellStyle name="Warning Text 10" xfId="1201"/>
    <cellStyle name="Warning Text 11" xfId="1202"/>
    <cellStyle name="Warning Text 12" xfId="1203"/>
    <cellStyle name="Warning Text 13" xfId="1204"/>
    <cellStyle name="Warning Text 14" xfId="1205"/>
    <cellStyle name="Warning Text 15" xfId="1206"/>
    <cellStyle name="Warning Text 16" xfId="1207"/>
    <cellStyle name="Warning Text 17" xfId="1208"/>
    <cellStyle name="Warning Text 18" xfId="1209"/>
    <cellStyle name="Warning Text 19" xfId="1210"/>
    <cellStyle name="Warning Text 2" xfId="1211"/>
    <cellStyle name="Warning Text 2 2" xfId="1212"/>
    <cellStyle name="Warning Text 2 3" xfId="1213"/>
    <cellStyle name="Warning Text 20" xfId="1214"/>
    <cellStyle name="Warning Text 21" xfId="1215"/>
    <cellStyle name="Warning Text 22" xfId="1216"/>
    <cellStyle name="Warning Text 23" xfId="1217"/>
    <cellStyle name="Warning Text 24" xfId="1218"/>
    <cellStyle name="Warning Text 25" xfId="1219"/>
    <cellStyle name="Warning Text 26" xfId="1220"/>
    <cellStyle name="Warning Text 3" xfId="1221"/>
    <cellStyle name="Warning Text 4" xfId="1222"/>
    <cellStyle name="Warning Text 5" xfId="1223"/>
    <cellStyle name="Warning Text 6" xfId="1224"/>
    <cellStyle name="Warning Text 7" xfId="1225"/>
    <cellStyle name="Warning Text 8" xfId="1226"/>
    <cellStyle name="Warning Text 9" xfId="12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on/2013%20COS%20Application/Interogatories/Ready%20to%20File%20with%20OEB/Complete%20to%20File/WPI%20EB-2012-0176%202013COS%20Filing_Requirements_Chapter2_Appendices_V1.1_amended_201301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3%20COS%20Application/Final%20Version%20of%20Models/Filing_Requirements_Chapter2_Appendices_V1.1%20-%20FINA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on/2013%20COS%20Application/Final%20Version%20of%20Models/Filing_Requirements_Chapter2_Appendices_V1.1%20-%20FINAL.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DC Info"/>
      <sheetName val="Index"/>
      <sheetName val="App.2-A_Capital Projects"/>
      <sheetName val="App.2-B_Fixed Asset Cont 2007"/>
      <sheetName val="App.2-B_Fixed Asset Cont 2008"/>
      <sheetName val="App.2-B_Fixed Asset Cont 2009"/>
      <sheetName val="App.2-B_Fixed Asset Cont 2009SM"/>
      <sheetName val="App.2-B_Fixed Asset Cont 2010"/>
      <sheetName val="App.2-B_Fixed Asset Cont 2010SM"/>
      <sheetName val="App.2-B_Fixed Asset Cont 2011"/>
      <sheetName val="App.2-B_Fixed Asset Cont 2011SM"/>
      <sheetName val="App.2-B_Fixed Asset Cont 2012"/>
      <sheetName val="App.2-B_Fixed Asset Cont 2012SM"/>
      <sheetName val="App.2-B_FA Cont MIFRS 2012"/>
      <sheetName val="App.2-B_FA Cont MIFRS 2012SM"/>
      <sheetName val="App.2-B_Fixed Asset Cont 2013"/>
      <sheetName val="App.2-B_Fixed Asset Cont 2013SM"/>
      <sheetName val="App.2-B_FA Cont MIFRS 2013"/>
      <sheetName val="App.2-CA_CGAAP_DepExp_2011"/>
      <sheetName val="App.2-CB_MIFRS_DepExp_2011"/>
      <sheetName val="App.2-CC_MIFRS_DepExp_2012"/>
      <sheetName val="App.2-CD_MIFRS_DepExp_2013"/>
      <sheetName val="App.2-B_FA Cont MIFRS 2013SM"/>
      <sheetName val="App.2-CE_CGAAP_DepExp_2011"/>
      <sheetName val="App.2-CF_CGAAP_DepExp_2012"/>
      <sheetName val="App.2-CJ_CGAAP_DepExp_2013"/>
      <sheetName val="App.2-CG_MIFRS_DepExp_2012"/>
      <sheetName val="App.2-CH_MIFRS_DepExp_2013"/>
      <sheetName val="App.2-CI_AltAccStd_DepExp"/>
      <sheetName val="App.2-D_Overhead"/>
      <sheetName val="App.2-EA_PP&amp;E Deferral Account"/>
      <sheetName val="App.2-EB_PP&amp;E Deferral Acct"/>
      <sheetName val="App.2-EB_PP&amp;E Deferral Account"/>
      <sheetName val="App.2-F_Other_Oper_Rev"/>
      <sheetName val="App.2-G_Detailed_OM&amp;A_Expenses"/>
      <sheetName val="App.2-H_OM&amp;A_Detailed_Analysis"/>
      <sheetName val="App.2-I_OM&amp;A_Summary_Analys"/>
      <sheetName val="App.2-J_OM&amp;A_Cost _Drivers"/>
      <sheetName val="App.2-H_OM&amp;A_IRs_SEC"/>
      <sheetName val="App.2-K_Employee Costs"/>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E18" t="str">
            <v>EB2012-0176</v>
          </cell>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8">
          <cell r="H18">
            <v>227768.86</v>
          </cell>
        </row>
        <row r="19">
          <cell r="H19">
            <v>2491318</v>
          </cell>
          <cell r="M19">
            <v>-275176.49</v>
          </cell>
        </row>
        <row r="20">
          <cell r="H20">
            <v>0</v>
          </cell>
          <cell r="M20">
            <v>0</v>
          </cell>
        </row>
        <row r="21">
          <cell r="H21">
            <v>0</v>
          </cell>
          <cell r="M21">
            <v>0</v>
          </cell>
        </row>
        <row r="22">
          <cell r="H22">
            <v>4269129.0199999996</v>
          </cell>
          <cell r="M22">
            <v>-1863577.9766666668</v>
          </cell>
        </row>
        <row r="23">
          <cell r="H23">
            <v>0</v>
          </cell>
          <cell r="M23">
            <v>0</v>
          </cell>
        </row>
        <row r="24">
          <cell r="H24">
            <v>7840528.5599999996</v>
          </cell>
          <cell r="M24">
            <v>-2449861.4500000002</v>
          </cell>
        </row>
        <row r="25">
          <cell r="H25">
            <v>10454842.450000001</v>
          </cell>
          <cell r="M25">
            <v>-3464611.33</v>
          </cell>
        </row>
        <row r="26">
          <cell r="H26">
            <v>3283787.92</v>
          </cell>
          <cell r="M26">
            <v>-988576.04</v>
          </cell>
        </row>
        <row r="27">
          <cell r="H27">
            <v>9217104.7899999991</v>
          </cell>
          <cell r="M27">
            <v>-2778809.74</v>
          </cell>
        </row>
        <row r="28">
          <cell r="H28">
            <v>8511790.75</v>
          </cell>
          <cell r="M28">
            <v>-2907837.2199999997</v>
          </cell>
        </row>
        <row r="29">
          <cell r="H29">
            <v>4957585.2</v>
          </cell>
          <cell r="M29">
            <v>-1391116.05</v>
          </cell>
        </row>
        <row r="30">
          <cell r="H30">
            <v>1579563.6600000001</v>
          </cell>
          <cell r="M30">
            <v>-467372.04000000004</v>
          </cell>
        </row>
        <row r="31">
          <cell r="H31">
            <v>135371</v>
          </cell>
          <cell r="M31">
            <v>-10188.23</v>
          </cell>
        </row>
        <row r="32">
          <cell r="H32">
            <v>0</v>
          </cell>
          <cell r="M32">
            <v>0</v>
          </cell>
        </row>
        <row r="33">
          <cell r="H33">
            <v>0</v>
          </cell>
          <cell r="M33">
            <v>0</v>
          </cell>
        </row>
        <row r="34">
          <cell r="H34">
            <v>0</v>
          </cell>
          <cell r="M34">
            <v>0</v>
          </cell>
        </row>
        <row r="35">
          <cell r="H35">
            <v>267476.14999999997</v>
          </cell>
          <cell r="M35">
            <v>-193923.6</v>
          </cell>
        </row>
        <row r="36">
          <cell r="H36">
            <v>0</v>
          </cell>
          <cell r="M36">
            <v>0</v>
          </cell>
        </row>
        <row r="37">
          <cell r="H37">
            <v>275946.02999999997</v>
          </cell>
          <cell r="M37">
            <v>-152871.07</v>
          </cell>
        </row>
        <row r="38">
          <cell r="H38">
            <v>52211.630000000005</v>
          </cell>
          <cell r="M38">
            <v>-146240.59</v>
          </cell>
        </row>
        <row r="39">
          <cell r="H39">
            <v>175836.7</v>
          </cell>
          <cell r="M39">
            <v>-124771.88</v>
          </cell>
        </row>
        <row r="40">
          <cell r="H40">
            <v>994456.07</v>
          </cell>
          <cell r="M40">
            <v>-850420.16</v>
          </cell>
        </row>
        <row r="41">
          <cell r="H41">
            <v>2284171.0300000003</v>
          </cell>
          <cell r="M41">
            <v>-1136516.2000000002</v>
          </cell>
        </row>
        <row r="42">
          <cell r="H42">
            <v>85037.21</v>
          </cell>
          <cell r="M42">
            <v>-32052.989999999998</v>
          </cell>
        </row>
        <row r="43">
          <cell r="H43">
            <v>368780.97000000003</v>
          </cell>
          <cell r="M43">
            <v>-199219.91</v>
          </cell>
        </row>
        <row r="44">
          <cell r="H44">
            <v>67543.58</v>
          </cell>
          <cell r="M44">
            <v>-38244.46</v>
          </cell>
        </row>
        <row r="45">
          <cell r="H45">
            <v>89271.959999999992</v>
          </cell>
          <cell r="M45">
            <v>-42557.120000000003</v>
          </cell>
        </row>
        <row r="46">
          <cell r="H46">
            <v>176173.24</v>
          </cell>
          <cell r="M46">
            <v>-114278.53</v>
          </cell>
        </row>
        <row r="47">
          <cell r="H47">
            <v>0</v>
          </cell>
          <cell r="M47">
            <v>0</v>
          </cell>
        </row>
        <row r="48">
          <cell r="H48">
            <v>83493.47</v>
          </cell>
          <cell r="M48">
            <v>-33204.11</v>
          </cell>
        </row>
        <row r="49">
          <cell r="H49">
            <v>258630.5</v>
          </cell>
          <cell r="M49">
            <v>-258630.5</v>
          </cell>
        </row>
        <row r="50">
          <cell r="H50">
            <v>0</v>
          </cell>
          <cell r="M50">
            <v>0</v>
          </cell>
        </row>
        <row r="51">
          <cell r="H51">
            <v>1427</v>
          </cell>
          <cell r="M51">
            <v>-1426.68</v>
          </cell>
        </row>
        <row r="52">
          <cell r="H52">
            <v>-8555289.3499999996</v>
          </cell>
          <cell r="M52">
            <v>1860742.5499999998</v>
          </cell>
        </row>
      </sheetData>
      <sheetData sheetId="14" refreshError="1"/>
      <sheetData sheetId="15">
        <row r="57">
          <cell r="E57">
            <v>3446141</v>
          </cell>
          <cell r="J57">
            <v>-656079</v>
          </cell>
          <cell r="K57">
            <v>-229743</v>
          </cell>
        </row>
        <row r="58">
          <cell r="E58">
            <v>62873</v>
          </cell>
          <cell r="J58">
            <v>-35193</v>
          </cell>
          <cell r="K58">
            <v>-12575</v>
          </cell>
        </row>
        <row r="59">
          <cell r="E59">
            <v>274217</v>
          </cell>
          <cell r="J59">
            <v>-81848</v>
          </cell>
          <cell r="K59">
            <v>-54843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DC Info"/>
      <sheetName val="Index"/>
      <sheetName val="App.2-A_Capital Projects"/>
      <sheetName val="App.2-B_Fixed Asset Cont 2007"/>
      <sheetName val="App.2-B_Fixed Asset Cont 2008"/>
      <sheetName val="App.2-B_Fixed Asset Cont 2009"/>
      <sheetName val="App.2-B_Fixed Asset Cont 2010"/>
      <sheetName val="App.2-B_Fixed Asset Cont 2011"/>
      <sheetName val="App.2-B_Fixed Asset Cont 2012"/>
      <sheetName val="App.2-B_Fixed Asset Cont 2013"/>
      <sheetName val="App.2-B_FA Cont MIFRS 2012"/>
      <sheetName val="App.2-B_FA Cont MIFRS 2013"/>
      <sheetName val="App.2-CA_CGAAP_DepExp_2011"/>
      <sheetName val="App.2-CB_MIFRS_DepExp_2011"/>
      <sheetName val="App.2-CC_MIFRS_DepExp_2012"/>
      <sheetName val="App.2-CD_MIFRS_DepExp_2013"/>
      <sheetName val="App.2-CE_CGAAP_DepExp_2011"/>
      <sheetName val="App.2-CF_CGAAP_DepExp_2012"/>
      <sheetName val="App.2-CJ_CGAAP_DepExp_2013"/>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A2009"/>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_RES800"/>
      <sheetName val="App.2-W_Bill Impacts_GS&lt;50"/>
      <sheetName val="App.2-W_Bill Impacts_GS&gt;50"/>
      <sheetName val="App.2-W_Bill Impacts_USL"/>
      <sheetName val="App.2-W_Bill Impacts_Sentinel"/>
      <sheetName val="App.2-W_Bill Impacts_Streetligh"/>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E18" t="str">
            <v>EB2012-0176</v>
          </cell>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E26">
            <v>2012</v>
          </cell>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refreshError="1"/>
      <sheetData sheetId="2" refreshError="1"/>
      <sheetData sheetId="3">
        <row r="52">
          <cell r="F52">
            <v>-677549</v>
          </cell>
        </row>
      </sheetData>
      <sheetData sheetId="4">
        <row r="52">
          <cell r="F52">
            <v>-892416</v>
          </cell>
        </row>
      </sheetData>
      <sheetData sheetId="5">
        <row r="52">
          <cell r="F52">
            <v>-1264357.4000000001</v>
          </cell>
        </row>
      </sheetData>
      <sheetData sheetId="6">
        <row r="52">
          <cell r="F52">
            <v>-287613.29000000044</v>
          </cell>
        </row>
      </sheetData>
      <sheetData sheetId="7">
        <row r="52">
          <cell r="F52">
            <v>-632720.38</v>
          </cell>
        </row>
      </sheetData>
      <sheetData sheetId="8">
        <row r="52">
          <cell r="F52">
            <v>-433861</v>
          </cell>
        </row>
      </sheetData>
      <sheetData sheetId="9">
        <row r="52">
          <cell r="F52">
            <v>-417663</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LDC Info"/>
      <sheetName val="Index"/>
      <sheetName val="App.2-A_Capital Projects"/>
      <sheetName val="App.2-B_Fixed Asset Cont 2007"/>
      <sheetName val="App.2-B_Fixed Asset Cont 2008"/>
      <sheetName val="App.2-B_Fixed Asset Cont 2009"/>
      <sheetName val="App.2-B_Fixed Asset Cont 2010"/>
      <sheetName val="App.2-B_Fixed Asset Cont 2011"/>
      <sheetName val="App.2-B_Fixed Asset Cont 2012"/>
      <sheetName val="App.2-B_Fixed Asset Cont 2013"/>
      <sheetName val="App.2-B_FA Cont MIFRS 2012"/>
      <sheetName val="App.2-B_FA Cont MIFRS 2013"/>
      <sheetName val="App.2-CA_CGAAP_DepExp_2011"/>
      <sheetName val="App.2-CB_MIFRS_DepExp_2011"/>
      <sheetName val="App.2-CC_MIFRS_DepExp_2012"/>
      <sheetName val="App.2-CD_MIFRS_DepExp_2013"/>
      <sheetName val="App.2-CE_CGAAP_DepExp_2011"/>
      <sheetName val="App.2-CF_CGAAP_DepExp_2012"/>
      <sheetName val="App.2-CJ_CGAAP_DepExp_2013"/>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A2009"/>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_RES800"/>
      <sheetName val="App.2-W_Bill Impacts_GS&lt;50"/>
      <sheetName val="App.2-W_Bill Impacts_GS&gt;50"/>
      <sheetName val="App.2-W_Bill Impacts_USL"/>
      <sheetName val="App.2-W_Bill Impacts_Sentinel"/>
      <sheetName val="App.2-W_Bill Impacts_Streetligh"/>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E18" t="str">
            <v>EB2012-0176</v>
          </cell>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refreshError="1"/>
      <sheetData sheetId="2" refreshError="1"/>
      <sheetData sheetId="3" refreshError="1"/>
      <sheetData sheetId="4" refreshError="1"/>
      <sheetData sheetId="5" refreshError="1"/>
      <sheetData sheetId="6" refreshError="1"/>
      <sheetData sheetId="7">
        <row r="18">
          <cell r="H18">
            <v>227768.86</v>
          </cell>
        </row>
        <row r="19">
          <cell r="H19">
            <v>2486318</v>
          </cell>
          <cell r="M19">
            <v>-225197.49</v>
          </cell>
        </row>
        <row r="20">
          <cell r="M20">
            <v>0</v>
          </cell>
        </row>
        <row r="21">
          <cell r="M21">
            <v>0</v>
          </cell>
        </row>
        <row r="22">
          <cell r="H22">
            <v>4269129.0199999996</v>
          </cell>
          <cell r="M22">
            <v>-1575655.4100000001</v>
          </cell>
        </row>
        <row r="23">
          <cell r="M23">
            <v>0</v>
          </cell>
        </row>
        <row r="24">
          <cell r="H24">
            <v>7106082.5599999996</v>
          </cell>
          <cell r="M24">
            <v>-2348061.4500000002</v>
          </cell>
        </row>
        <row r="25">
          <cell r="H25">
            <v>9746857.4500000011</v>
          </cell>
          <cell r="M25">
            <v>-3339848.33</v>
          </cell>
        </row>
        <row r="26">
          <cell r="H26">
            <v>3044635.92</v>
          </cell>
          <cell r="M26">
            <v>-959558.04</v>
          </cell>
        </row>
        <row r="27">
          <cell r="H27">
            <v>8848610.7899999991</v>
          </cell>
          <cell r="M27">
            <v>-2651520.7400000002</v>
          </cell>
        </row>
        <row r="28">
          <cell r="H28">
            <v>8007560.7500000009</v>
          </cell>
          <cell r="M28">
            <v>-2691469.2199999997</v>
          </cell>
        </row>
        <row r="29">
          <cell r="H29">
            <v>4430482.2</v>
          </cell>
          <cell r="M29">
            <v>-1314820.05</v>
          </cell>
        </row>
        <row r="30">
          <cell r="H30">
            <v>1579563.6600000001</v>
          </cell>
          <cell r="M30">
            <v>-417283.04000000004</v>
          </cell>
        </row>
        <row r="31">
          <cell r="H31">
            <v>105634</v>
          </cell>
          <cell r="M31">
            <v>-2150.23</v>
          </cell>
        </row>
        <row r="32">
          <cell r="M32">
            <v>0</v>
          </cell>
        </row>
        <row r="33">
          <cell r="M33">
            <v>0</v>
          </cell>
        </row>
        <row r="34">
          <cell r="M34">
            <v>0</v>
          </cell>
        </row>
        <row r="35">
          <cell r="H35">
            <v>262476.14999999997</v>
          </cell>
          <cell r="M35">
            <v>-186028.6</v>
          </cell>
        </row>
        <row r="36">
          <cell r="M36">
            <v>0</v>
          </cell>
        </row>
        <row r="37">
          <cell r="H37">
            <v>275946.02999999997</v>
          </cell>
          <cell r="M37">
            <v>-152871.07</v>
          </cell>
        </row>
        <row r="38">
          <cell r="H38">
            <v>52211.630000000005</v>
          </cell>
          <cell r="M38">
            <v>-146240.59</v>
          </cell>
        </row>
        <row r="39">
          <cell r="H39">
            <v>153836.70000000001</v>
          </cell>
          <cell r="M39">
            <v>-107493.88</v>
          </cell>
        </row>
        <row r="40">
          <cell r="H40">
            <v>944456.07</v>
          </cell>
          <cell r="M40">
            <v>-813572.16</v>
          </cell>
        </row>
        <row r="41">
          <cell r="H41">
            <v>1984171.0300000003</v>
          </cell>
          <cell r="M41">
            <v>-1188623.2000000002</v>
          </cell>
        </row>
        <row r="42">
          <cell r="H42">
            <v>85037.21</v>
          </cell>
          <cell r="M42">
            <v>-26165.989999999998</v>
          </cell>
        </row>
        <row r="43">
          <cell r="H43">
            <v>296780.97000000003</v>
          </cell>
          <cell r="M43">
            <v>-184379.91</v>
          </cell>
        </row>
        <row r="44">
          <cell r="H44">
            <v>67543.58</v>
          </cell>
          <cell r="M44">
            <v>-34989.46</v>
          </cell>
        </row>
        <row r="45">
          <cell r="H45">
            <v>89271.959999999992</v>
          </cell>
          <cell r="M45">
            <v>-37367.120000000003</v>
          </cell>
        </row>
        <row r="46">
          <cell r="H46">
            <v>176173.24</v>
          </cell>
          <cell r="M46">
            <v>-105990.53</v>
          </cell>
        </row>
        <row r="47">
          <cell r="M47">
            <v>0</v>
          </cell>
        </row>
        <row r="48">
          <cell r="H48">
            <v>43493.47</v>
          </cell>
          <cell r="M48">
            <v>-29742.11</v>
          </cell>
        </row>
        <row r="49">
          <cell r="H49">
            <v>258630.5</v>
          </cell>
          <cell r="M49">
            <v>-258630.5</v>
          </cell>
        </row>
        <row r="50">
          <cell r="M50">
            <v>0</v>
          </cell>
        </row>
        <row r="51">
          <cell r="H51">
            <v>1427</v>
          </cell>
          <cell r="M51">
            <v>-1426.68</v>
          </cell>
        </row>
        <row r="52">
          <cell r="H52">
            <v>-8188457.3499999996</v>
          </cell>
          <cell r="M52">
            <v>1719806.5499999998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54"/>
  <dimension ref="A1:N73"/>
  <sheetViews>
    <sheetView showGridLines="0" zoomScaleNormal="100" workbookViewId="0">
      <selection activeCell="A12" sqref="A12"/>
    </sheetView>
  </sheetViews>
  <sheetFormatPr defaultColWidth="9.109375" defaultRowHeight="13.2"/>
  <cols>
    <col min="1" max="1" width="7.6640625" style="1" customWidth="1"/>
    <col min="2" max="2" width="6.44140625" style="1" customWidth="1"/>
    <col min="3" max="3" width="37.88671875" style="2" customWidth="1"/>
    <col min="4" max="4" width="14" style="2" customWidth="1"/>
    <col min="5" max="5" width="14.44140625" style="2" customWidth="1"/>
    <col min="6" max="6" width="13" style="2" customWidth="1"/>
    <col min="7" max="7" width="11.6640625" style="2" customWidth="1"/>
    <col min="8" max="8" width="13.5546875" style="2" customWidth="1"/>
    <col min="9" max="9" width="1.6640625" style="3" customWidth="1"/>
    <col min="10" max="10" width="14.33203125" style="2" customWidth="1"/>
    <col min="11" max="11" width="13.44140625" style="2" customWidth="1"/>
    <col min="12" max="12" width="11.88671875" style="2" customWidth="1"/>
    <col min="13" max="13" width="14.5546875" style="2" bestFit="1" customWidth="1"/>
    <col min="14" max="14" width="14.109375" style="2" bestFit="1" customWidth="1"/>
    <col min="15" max="16384" width="9.109375" style="2"/>
  </cols>
  <sheetData>
    <row r="1" spans="1:14">
      <c r="M1" s="4" t="s">
        <v>1</v>
      </c>
      <c r="N1" s="5" t="str">
        <f>'[4]LDC Info'!$E$18</f>
        <v>EB2012-0176</v>
      </c>
    </row>
    <row r="2" spans="1:14">
      <c r="M2" s="4"/>
      <c r="N2" s="4"/>
    </row>
    <row r="3" spans="1:14">
      <c r="M3" s="4"/>
      <c r="N3" s="4"/>
    </row>
    <row r="4" spans="1:14">
      <c r="M4" s="4"/>
      <c r="N4" s="4"/>
    </row>
    <row r="5" spans="1:14">
      <c r="M5" s="4"/>
      <c r="N5" s="4"/>
    </row>
    <row r="6" spans="1:14" ht="9" customHeight="1">
      <c r="M6" s="4"/>
      <c r="N6" s="4"/>
    </row>
    <row r="7" spans="1:14">
      <c r="M7" s="4"/>
      <c r="N7" s="4"/>
    </row>
    <row r="8" spans="1:14" ht="9" customHeight="1"/>
    <row r="9" spans="1:14" ht="20.25" customHeight="1">
      <c r="A9" s="199" t="s">
        <v>2</v>
      </c>
      <c r="B9" s="199"/>
      <c r="C9" s="199"/>
      <c r="D9" s="199"/>
      <c r="E9" s="199"/>
      <c r="F9" s="199"/>
      <c r="G9" s="199"/>
      <c r="H9" s="199"/>
      <c r="I9" s="199"/>
      <c r="J9" s="199"/>
      <c r="K9" s="199"/>
      <c r="L9" s="199"/>
      <c r="M9" s="199"/>
      <c r="N9" s="199"/>
    </row>
    <row r="10" spans="1:14" ht="17.399999999999999">
      <c r="A10" s="199" t="s">
        <v>3</v>
      </c>
      <c r="B10" s="199"/>
      <c r="C10" s="199"/>
      <c r="D10" s="199"/>
      <c r="E10" s="199"/>
      <c r="F10" s="199"/>
      <c r="G10" s="199"/>
      <c r="H10" s="199"/>
      <c r="I10" s="199"/>
      <c r="J10" s="199"/>
      <c r="K10" s="199"/>
      <c r="L10" s="199"/>
      <c r="M10" s="199"/>
      <c r="N10" s="199"/>
    </row>
    <row r="11" spans="1:14" ht="17.399999999999999">
      <c r="A11" s="199" t="s">
        <v>256</v>
      </c>
      <c r="B11" s="199"/>
      <c r="C11" s="199"/>
      <c r="D11" s="199"/>
      <c r="E11" s="199"/>
      <c r="F11" s="199"/>
      <c r="G11" s="199"/>
      <c r="H11" s="199"/>
      <c r="I11" s="199"/>
      <c r="J11" s="199"/>
      <c r="K11" s="199"/>
      <c r="L11" s="199"/>
      <c r="M11" s="199"/>
      <c r="N11" s="199"/>
    </row>
    <row r="13" spans="1:14" ht="13.8">
      <c r="C13" s="6"/>
      <c r="F13" s="7" t="s">
        <v>4</v>
      </c>
      <c r="G13" s="8">
        <v>2012</v>
      </c>
      <c r="H13" s="9"/>
    </row>
    <row r="15" spans="1:14">
      <c r="D15" s="10"/>
      <c r="E15" s="200" t="s">
        <v>5</v>
      </c>
      <c r="F15" s="201"/>
      <c r="G15" s="201"/>
      <c r="H15" s="202"/>
      <c r="J15" s="11"/>
      <c r="K15" s="12" t="s">
        <v>6</v>
      </c>
      <c r="L15" s="12"/>
      <c r="M15" s="13"/>
      <c r="N15" s="3"/>
    </row>
    <row r="16" spans="1:14" ht="26.4">
      <c r="A16" s="14" t="s">
        <v>7</v>
      </c>
      <c r="B16" s="15" t="s">
        <v>8</v>
      </c>
      <c r="C16" s="16" t="s">
        <v>9</v>
      </c>
      <c r="D16" s="14" t="s">
        <v>10</v>
      </c>
      <c r="E16" s="14" t="s">
        <v>11</v>
      </c>
      <c r="F16" s="15" t="s">
        <v>12</v>
      </c>
      <c r="G16" s="15" t="s">
        <v>13</v>
      </c>
      <c r="H16" s="14" t="s">
        <v>14</v>
      </c>
      <c r="I16" s="17"/>
      <c r="J16" s="18" t="s">
        <v>11</v>
      </c>
      <c r="K16" s="19" t="s">
        <v>12</v>
      </c>
      <c r="L16" s="19" t="s">
        <v>13</v>
      </c>
      <c r="M16" s="20" t="s">
        <v>14</v>
      </c>
      <c r="N16" s="14" t="s">
        <v>15</v>
      </c>
    </row>
    <row r="17" spans="1:14" ht="26.4">
      <c r="A17" s="21">
        <v>12</v>
      </c>
      <c r="B17" s="21">
        <v>1611</v>
      </c>
      <c r="C17" s="22" t="s">
        <v>16</v>
      </c>
      <c r="D17" s="23"/>
      <c r="E17" s="24"/>
      <c r="F17" s="24"/>
      <c r="G17" s="24"/>
      <c r="H17" s="25">
        <f>E17+F17+G17</f>
        <v>0</v>
      </c>
      <c r="I17" s="26"/>
      <c r="J17" s="27"/>
      <c r="K17" s="24"/>
      <c r="L17" s="24"/>
      <c r="M17" s="25">
        <f>J17+K17+L17</f>
        <v>0</v>
      </c>
      <c r="N17" s="28">
        <f>H17+M17</f>
        <v>0</v>
      </c>
    </row>
    <row r="18" spans="1:14" ht="26.4">
      <c r="A18" s="21" t="s">
        <v>17</v>
      </c>
      <c r="B18" s="21">
        <v>1612</v>
      </c>
      <c r="C18" s="22" t="s">
        <v>18</v>
      </c>
      <c r="D18" s="23"/>
      <c r="E18" s="24"/>
      <c r="F18" s="24"/>
      <c r="G18" s="24"/>
      <c r="H18" s="25">
        <f>E18+F18+G18</f>
        <v>0</v>
      </c>
      <c r="I18" s="26"/>
      <c r="J18" s="27"/>
      <c r="K18" s="24"/>
      <c r="L18" s="24"/>
      <c r="M18" s="25">
        <f>J18+K18+L18</f>
        <v>0</v>
      </c>
      <c r="N18" s="28">
        <f>H18+M18</f>
        <v>0</v>
      </c>
    </row>
    <row r="19" spans="1:14" ht="14.4">
      <c r="A19" s="29" t="s">
        <v>19</v>
      </c>
      <c r="B19" s="29">
        <v>1805</v>
      </c>
      <c r="C19" s="30" t="s">
        <v>20</v>
      </c>
      <c r="D19" s="23"/>
      <c r="E19" s="24">
        <f>+'[4]App.2-B_Fixed Asset Cont 2011'!H18</f>
        <v>227768.86</v>
      </c>
      <c r="F19" s="24"/>
      <c r="G19" s="24"/>
      <c r="H19" s="25">
        <f>E19+F19+G19</f>
        <v>227768.86</v>
      </c>
      <c r="I19" s="26"/>
      <c r="J19" s="24"/>
      <c r="K19" s="24"/>
      <c r="L19" s="24"/>
      <c r="M19" s="25">
        <f>J19+K19+L19</f>
        <v>0</v>
      </c>
      <c r="N19" s="28">
        <f>H19+M19</f>
        <v>227768.86</v>
      </c>
    </row>
    <row r="20" spans="1:14" ht="14.4">
      <c r="A20" s="21">
        <v>47</v>
      </c>
      <c r="B20" s="21">
        <v>1808</v>
      </c>
      <c r="C20" s="31" t="s">
        <v>21</v>
      </c>
      <c r="D20" s="23">
        <v>0.02</v>
      </c>
      <c r="E20" s="24">
        <f>+'[4]App.2-B_Fixed Asset Cont 2011'!H19</f>
        <v>2486318</v>
      </c>
      <c r="F20" s="24">
        <v>5000</v>
      </c>
      <c r="G20" s="24"/>
      <c r="H20" s="25">
        <f t="shared" ref="H20:H54" si="0">E20+F20+G20</f>
        <v>2491318</v>
      </c>
      <c r="I20" s="26"/>
      <c r="J20" s="24">
        <f>+'[4]App.2-B_Fixed Asset Cont 2011'!M19</f>
        <v>-225197.49</v>
      </c>
      <c r="K20" s="24">
        <v>-49979</v>
      </c>
      <c r="L20" s="24"/>
      <c r="M20" s="25">
        <f t="shared" ref="M20:M54" si="1">J20+K20+L20</f>
        <v>-275176.49</v>
      </c>
      <c r="N20" s="28">
        <f t="shared" ref="N20:N54" si="2">H20+M20</f>
        <v>2216141.5099999998</v>
      </c>
    </row>
    <row r="21" spans="1:14" ht="14.4">
      <c r="A21" s="21">
        <v>13</v>
      </c>
      <c r="B21" s="21">
        <v>1810</v>
      </c>
      <c r="C21" s="31" t="s">
        <v>22</v>
      </c>
      <c r="D21" s="23"/>
      <c r="E21" s="24"/>
      <c r="F21" s="24"/>
      <c r="G21" s="24"/>
      <c r="H21" s="25">
        <f t="shared" si="0"/>
        <v>0</v>
      </c>
      <c r="I21" s="26"/>
      <c r="J21" s="24">
        <f>+'[4]App.2-B_Fixed Asset Cont 2011'!M20</f>
        <v>0</v>
      </c>
      <c r="K21" s="24"/>
      <c r="L21" s="24"/>
      <c r="M21" s="25">
        <f t="shared" si="1"/>
        <v>0</v>
      </c>
      <c r="N21" s="28">
        <f t="shared" si="2"/>
        <v>0</v>
      </c>
    </row>
    <row r="22" spans="1:14" ht="14.4">
      <c r="A22" s="21">
        <v>47</v>
      </c>
      <c r="B22" s="21">
        <v>1815</v>
      </c>
      <c r="C22" s="31" t="s">
        <v>23</v>
      </c>
      <c r="D22" s="23"/>
      <c r="E22" s="24"/>
      <c r="F22" s="24"/>
      <c r="G22" s="24"/>
      <c r="H22" s="25">
        <f t="shared" si="0"/>
        <v>0</v>
      </c>
      <c r="I22" s="26"/>
      <c r="J22" s="24">
        <f>+'[4]App.2-B_Fixed Asset Cont 2011'!M21</f>
        <v>0</v>
      </c>
      <c r="K22" s="24"/>
      <c r="L22" s="24"/>
      <c r="M22" s="25">
        <f t="shared" si="1"/>
        <v>0</v>
      </c>
      <c r="N22" s="28">
        <f t="shared" si="2"/>
        <v>0</v>
      </c>
    </row>
    <row r="23" spans="1:14" ht="14.4">
      <c r="A23" s="21">
        <v>47</v>
      </c>
      <c r="B23" s="21">
        <v>1820</v>
      </c>
      <c r="C23" s="22" t="s">
        <v>24</v>
      </c>
      <c r="D23" s="23">
        <v>3.3300000000000003E-2</v>
      </c>
      <c r="E23" s="24">
        <f>+'[4]App.2-B_Fixed Asset Cont 2011'!H22</f>
        <v>4269129.0199999996</v>
      </c>
      <c r="F23" s="24">
        <f>463809-463809</f>
        <v>0</v>
      </c>
      <c r="G23" s="27"/>
      <c r="H23" s="25">
        <f t="shared" si="0"/>
        <v>4269129.0199999996</v>
      </c>
      <c r="I23" s="26"/>
      <c r="J23" s="24">
        <f>+'[4]App.2-B_Fixed Asset Cont 2011'!M22</f>
        <v>-1575655.4100000001</v>
      </c>
      <c r="K23" s="24">
        <f>-293076+(463809/90)</f>
        <v>-287922.56666666665</v>
      </c>
      <c r="L23" s="27"/>
      <c r="M23" s="25">
        <f t="shared" si="1"/>
        <v>-1863577.9766666668</v>
      </c>
      <c r="N23" s="28">
        <f t="shared" si="2"/>
        <v>2405551.043333333</v>
      </c>
    </row>
    <row r="24" spans="1:14" ht="14.4">
      <c r="A24" s="21">
        <v>47</v>
      </c>
      <c r="B24" s="21">
        <v>1825</v>
      </c>
      <c r="C24" s="31" t="s">
        <v>25</v>
      </c>
      <c r="D24" s="23"/>
      <c r="E24" s="24"/>
      <c r="F24" s="24"/>
      <c r="G24" s="27"/>
      <c r="H24" s="25">
        <f t="shared" si="0"/>
        <v>0</v>
      </c>
      <c r="I24" s="26"/>
      <c r="J24" s="24">
        <f>+'[4]App.2-B_Fixed Asset Cont 2011'!M23</f>
        <v>0</v>
      </c>
      <c r="K24" s="24"/>
      <c r="L24" s="27"/>
      <c r="M24" s="25">
        <f t="shared" si="1"/>
        <v>0</v>
      </c>
      <c r="N24" s="28">
        <f t="shared" si="2"/>
        <v>0</v>
      </c>
    </row>
    <row r="25" spans="1:14" ht="14.4">
      <c r="A25" s="21">
        <v>47</v>
      </c>
      <c r="B25" s="21">
        <v>1830</v>
      </c>
      <c r="C25" s="31" t="s">
        <v>26</v>
      </c>
      <c r="D25" s="23">
        <v>0.04</v>
      </c>
      <c r="E25" s="24">
        <f>+'[4]App.2-B_Fixed Asset Cont 2011'!H24</f>
        <v>7106082.5599999996</v>
      </c>
      <c r="F25" s="24">
        <v>734446</v>
      </c>
      <c r="G25" s="27"/>
      <c r="H25" s="25">
        <f t="shared" si="0"/>
        <v>7840528.5599999996</v>
      </c>
      <c r="I25" s="26"/>
      <c r="J25" s="24">
        <f>+'[4]App.2-B_Fixed Asset Cont 2011'!M24</f>
        <v>-2348061.4500000002</v>
      </c>
      <c r="K25" s="24">
        <v>-101800</v>
      </c>
      <c r="L25" s="27"/>
      <c r="M25" s="25">
        <f t="shared" si="1"/>
        <v>-2449861.4500000002</v>
      </c>
      <c r="N25" s="28">
        <f t="shared" si="2"/>
        <v>5390667.1099999994</v>
      </c>
    </row>
    <row r="26" spans="1:14" ht="14.4">
      <c r="A26" s="21">
        <v>47</v>
      </c>
      <c r="B26" s="21">
        <v>1835</v>
      </c>
      <c r="C26" s="31" t="s">
        <v>27</v>
      </c>
      <c r="D26" s="23">
        <v>0.04</v>
      </c>
      <c r="E26" s="24">
        <f>+'[4]App.2-B_Fixed Asset Cont 2011'!H25</f>
        <v>9746857.4500000011</v>
      </c>
      <c r="F26" s="24">
        <v>707985</v>
      </c>
      <c r="G26" s="27"/>
      <c r="H26" s="25">
        <f t="shared" si="0"/>
        <v>10454842.450000001</v>
      </c>
      <c r="I26" s="26"/>
      <c r="J26" s="24">
        <f>+'[4]App.2-B_Fixed Asset Cont 2011'!M25</f>
        <v>-3339848.33</v>
      </c>
      <c r="K26" s="24">
        <v>-124763</v>
      </c>
      <c r="L26" s="27"/>
      <c r="M26" s="25">
        <f t="shared" si="1"/>
        <v>-3464611.33</v>
      </c>
      <c r="N26" s="28">
        <f t="shared" si="2"/>
        <v>6990231.120000001</v>
      </c>
    </row>
    <row r="27" spans="1:14" ht="14.4">
      <c r="A27" s="21">
        <v>47</v>
      </c>
      <c r="B27" s="21">
        <v>1840</v>
      </c>
      <c r="C27" s="31" t="s">
        <v>28</v>
      </c>
      <c r="D27" s="23">
        <v>0.04</v>
      </c>
      <c r="E27" s="24">
        <f>+'[4]App.2-B_Fixed Asset Cont 2011'!H26</f>
        <v>3044635.92</v>
      </c>
      <c r="F27" s="24">
        <v>239152</v>
      </c>
      <c r="G27" s="27"/>
      <c r="H27" s="25">
        <f t="shared" si="0"/>
        <v>3283787.92</v>
      </c>
      <c r="I27" s="26"/>
      <c r="J27" s="24">
        <f>+'[4]App.2-B_Fixed Asset Cont 2011'!M26</f>
        <v>-959558.04</v>
      </c>
      <c r="K27" s="24">
        <v>-29018</v>
      </c>
      <c r="L27" s="27"/>
      <c r="M27" s="25">
        <f t="shared" si="1"/>
        <v>-988576.04</v>
      </c>
      <c r="N27" s="28">
        <f t="shared" si="2"/>
        <v>2295211.88</v>
      </c>
    </row>
    <row r="28" spans="1:14" ht="14.4">
      <c r="A28" s="21">
        <v>47</v>
      </c>
      <c r="B28" s="21">
        <v>1845</v>
      </c>
      <c r="C28" s="31" t="s">
        <v>29</v>
      </c>
      <c r="D28" s="23">
        <v>0.04</v>
      </c>
      <c r="E28" s="24">
        <f>+'[4]App.2-B_Fixed Asset Cont 2011'!H27</f>
        <v>8848610.7899999991</v>
      </c>
      <c r="F28" s="24">
        <v>368494</v>
      </c>
      <c r="G28" s="27"/>
      <c r="H28" s="25">
        <f t="shared" si="0"/>
        <v>9217104.7899999991</v>
      </c>
      <c r="I28" s="26"/>
      <c r="J28" s="24">
        <f>+'[4]App.2-B_Fixed Asset Cont 2011'!M27</f>
        <v>-2651520.7400000002</v>
      </c>
      <c r="K28" s="24">
        <v>-127289</v>
      </c>
      <c r="L28" s="27"/>
      <c r="M28" s="25">
        <f t="shared" si="1"/>
        <v>-2778809.74</v>
      </c>
      <c r="N28" s="28">
        <f t="shared" si="2"/>
        <v>6438295.0499999989</v>
      </c>
    </row>
    <row r="29" spans="1:14" ht="14.4">
      <c r="A29" s="21">
        <v>47</v>
      </c>
      <c r="B29" s="21">
        <v>1850</v>
      </c>
      <c r="C29" s="31" t="s">
        <v>30</v>
      </c>
      <c r="D29" s="23">
        <v>0.04</v>
      </c>
      <c r="E29" s="24">
        <f>+'[4]App.2-B_Fixed Asset Cont 2011'!H28</f>
        <v>8007560.7500000009</v>
      </c>
      <c r="F29" s="24">
        <v>504230</v>
      </c>
      <c r="G29" s="27"/>
      <c r="H29" s="25">
        <f t="shared" si="0"/>
        <v>8511790.75</v>
      </c>
      <c r="I29" s="26"/>
      <c r="J29" s="24">
        <f>+'[4]App.2-B_Fixed Asset Cont 2011'!M28</f>
        <v>-2691469.2199999997</v>
      </c>
      <c r="K29" s="24">
        <v>-216368</v>
      </c>
      <c r="L29" s="27"/>
      <c r="M29" s="25">
        <f t="shared" si="1"/>
        <v>-2907837.2199999997</v>
      </c>
      <c r="N29" s="28">
        <f t="shared" si="2"/>
        <v>5603953.5300000003</v>
      </c>
    </row>
    <row r="30" spans="1:14" ht="14.4">
      <c r="A30" s="21">
        <v>47</v>
      </c>
      <c r="B30" s="21">
        <v>1855</v>
      </c>
      <c r="C30" s="31" t="s">
        <v>31</v>
      </c>
      <c r="D30" s="23">
        <v>0.04</v>
      </c>
      <c r="E30" s="24">
        <f>+'[4]App.2-B_Fixed Asset Cont 2011'!H29</f>
        <v>4430482.2</v>
      </c>
      <c r="F30" s="24">
        <v>527103</v>
      </c>
      <c r="G30" s="27"/>
      <c r="H30" s="25">
        <f t="shared" si="0"/>
        <v>4957585.2</v>
      </c>
      <c r="I30" s="26"/>
      <c r="J30" s="24">
        <f>+'[4]App.2-B_Fixed Asset Cont 2011'!M29</f>
        <v>-1314820.05</v>
      </c>
      <c r="K30" s="24">
        <v>-76296</v>
      </c>
      <c r="L30" s="27"/>
      <c r="M30" s="25">
        <f t="shared" si="1"/>
        <v>-1391116.05</v>
      </c>
      <c r="N30" s="28">
        <f t="shared" si="2"/>
        <v>3566469.1500000004</v>
      </c>
    </row>
    <row r="31" spans="1:14" ht="14.4">
      <c r="A31" s="21">
        <v>47</v>
      </c>
      <c r="B31" s="21">
        <v>1860</v>
      </c>
      <c r="C31" s="31" t="s">
        <v>32</v>
      </c>
      <c r="D31" s="23">
        <v>0.04</v>
      </c>
      <c r="E31" s="24">
        <f>+'[4]App.2-B_Fixed Asset Cont 2011'!H30</f>
        <v>1579563.6600000001</v>
      </c>
      <c r="F31" s="24"/>
      <c r="G31" s="27"/>
      <c r="H31" s="25">
        <f t="shared" si="0"/>
        <v>1579563.6600000001</v>
      </c>
      <c r="I31" s="26"/>
      <c r="J31" s="24">
        <f>+'[4]App.2-B_Fixed Asset Cont 2011'!M30</f>
        <v>-417283.04000000004</v>
      </c>
      <c r="K31" s="24">
        <v>-50089</v>
      </c>
      <c r="L31" s="27"/>
      <c r="M31" s="25">
        <f t="shared" si="1"/>
        <v>-467372.04000000004</v>
      </c>
      <c r="N31" s="28">
        <f t="shared" si="2"/>
        <v>1112191.6200000001</v>
      </c>
    </row>
    <row r="32" spans="1:14" ht="14.4">
      <c r="A32" s="29">
        <v>8</v>
      </c>
      <c r="B32" s="29">
        <v>1860</v>
      </c>
      <c r="C32" s="30" t="s">
        <v>33</v>
      </c>
      <c r="D32" s="23">
        <v>6.6699999999999995E-2</v>
      </c>
      <c r="E32" s="24">
        <f>+'[4]App.2-B_Fixed Asset Cont 2011'!H31</f>
        <v>105634</v>
      </c>
      <c r="F32" s="24">
        <v>29737</v>
      </c>
      <c r="G32" s="27"/>
      <c r="H32" s="25">
        <f t="shared" si="0"/>
        <v>135371</v>
      </c>
      <c r="I32" s="26"/>
      <c r="J32" s="24">
        <f>+'[4]App.2-B_Fixed Asset Cont 2011'!M31</f>
        <v>-2150.23</v>
      </c>
      <c r="K32" s="24">
        <v>-8038</v>
      </c>
      <c r="L32" s="27"/>
      <c r="M32" s="25">
        <f t="shared" si="1"/>
        <v>-10188.23</v>
      </c>
      <c r="N32" s="28">
        <f t="shared" si="2"/>
        <v>125182.77</v>
      </c>
    </row>
    <row r="33" spans="1:14" ht="14.4">
      <c r="A33" s="29" t="s">
        <v>19</v>
      </c>
      <c r="B33" s="29">
        <v>1905</v>
      </c>
      <c r="C33" s="30" t="s">
        <v>20</v>
      </c>
      <c r="D33" s="23"/>
      <c r="E33" s="24"/>
      <c r="F33" s="24"/>
      <c r="G33" s="27"/>
      <c r="H33" s="25">
        <f t="shared" si="0"/>
        <v>0</v>
      </c>
      <c r="I33" s="26"/>
      <c r="J33" s="24">
        <f>+'[4]App.2-B_Fixed Asset Cont 2011'!M32</f>
        <v>0</v>
      </c>
      <c r="K33" s="24"/>
      <c r="L33" s="27"/>
      <c r="M33" s="25">
        <f t="shared" si="1"/>
        <v>0</v>
      </c>
      <c r="N33" s="28">
        <f t="shared" si="2"/>
        <v>0</v>
      </c>
    </row>
    <row r="34" spans="1:14" ht="14.4">
      <c r="A34" s="21">
        <v>47</v>
      </c>
      <c r="B34" s="21">
        <v>1908</v>
      </c>
      <c r="C34" s="31" t="s">
        <v>34</v>
      </c>
      <c r="D34" s="23"/>
      <c r="E34" s="24"/>
      <c r="F34" s="24"/>
      <c r="G34" s="27"/>
      <c r="H34" s="25">
        <f t="shared" si="0"/>
        <v>0</v>
      </c>
      <c r="I34" s="26"/>
      <c r="J34" s="24">
        <f>+'[4]App.2-B_Fixed Asset Cont 2011'!M33</f>
        <v>0</v>
      </c>
      <c r="K34" s="24"/>
      <c r="L34" s="27"/>
      <c r="M34" s="25">
        <f t="shared" si="1"/>
        <v>0</v>
      </c>
      <c r="N34" s="28">
        <f t="shared" si="2"/>
        <v>0</v>
      </c>
    </row>
    <row r="35" spans="1:14" ht="14.4">
      <c r="A35" s="21">
        <v>13</v>
      </c>
      <c r="B35" s="21">
        <v>1910</v>
      </c>
      <c r="C35" s="31" t="s">
        <v>22</v>
      </c>
      <c r="D35" s="23"/>
      <c r="E35" s="24"/>
      <c r="F35" s="24"/>
      <c r="G35" s="27"/>
      <c r="H35" s="25">
        <f t="shared" si="0"/>
        <v>0</v>
      </c>
      <c r="I35" s="26"/>
      <c r="J35" s="24">
        <f>+'[4]App.2-B_Fixed Asset Cont 2011'!M34</f>
        <v>0</v>
      </c>
      <c r="K35" s="24"/>
      <c r="L35" s="27"/>
      <c r="M35" s="25">
        <f t="shared" si="1"/>
        <v>0</v>
      </c>
      <c r="N35" s="28">
        <f t="shared" si="2"/>
        <v>0</v>
      </c>
    </row>
    <row r="36" spans="1:14" ht="14.4">
      <c r="A36" s="21">
        <v>8</v>
      </c>
      <c r="B36" s="21">
        <v>1915</v>
      </c>
      <c r="C36" s="31" t="s">
        <v>35</v>
      </c>
      <c r="D36" s="23">
        <v>0.1</v>
      </c>
      <c r="E36" s="24">
        <f>+'[4]App.2-B_Fixed Asset Cont 2011'!H35</f>
        <v>262476.14999999997</v>
      </c>
      <c r="F36" s="24">
        <v>5000</v>
      </c>
      <c r="G36" s="27"/>
      <c r="H36" s="25">
        <f t="shared" si="0"/>
        <v>267476.14999999997</v>
      </c>
      <c r="I36" s="26"/>
      <c r="J36" s="24">
        <f>+'[4]App.2-B_Fixed Asset Cont 2011'!M35</f>
        <v>-186028.6</v>
      </c>
      <c r="K36" s="24">
        <v>-7895</v>
      </c>
      <c r="L36" s="27"/>
      <c r="M36" s="25">
        <f t="shared" si="1"/>
        <v>-193923.6</v>
      </c>
      <c r="N36" s="28">
        <f t="shared" si="2"/>
        <v>73552.549999999959</v>
      </c>
    </row>
    <row r="37" spans="1:14" ht="14.4">
      <c r="A37" s="21">
        <v>8</v>
      </c>
      <c r="B37" s="21">
        <v>1915</v>
      </c>
      <c r="C37" s="31" t="s">
        <v>36</v>
      </c>
      <c r="D37" s="23"/>
      <c r="E37" s="24"/>
      <c r="F37" s="24"/>
      <c r="G37" s="27"/>
      <c r="H37" s="25">
        <f t="shared" si="0"/>
        <v>0</v>
      </c>
      <c r="I37" s="26"/>
      <c r="J37" s="24">
        <f>+'[4]App.2-B_Fixed Asset Cont 2011'!M36</f>
        <v>0</v>
      </c>
      <c r="K37" s="24"/>
      <c r="L37" s="27"/>
      <c r="M37" s="25">
        <f t="shared" si="1"/>
        <v>0</v>
      </c>
      <c r="N37" s="28">
        <f t="shared" si="2"/>
        <v>0</v>
      </c>
    </row>
    <row r="38" spans="1:14" ht="14.4">
      <c r="A38" s="21">
        <v>10</v>
      </c>
      <c r="B38" s="21">
        <v>1920</v>
      </c>
      <c r="C38" s="31" t="s">
        <v>37</v>
      </c>
      <c r="D38" s="23">
        <v>0.2</v>
      </c>
      <c r="E38" s="24">
        <f>+'[4]App.2-B_Fixed Asset Cont 2011'!H37</f>
        <v>275946.02999999997</v>
      </c>
      <c r="F38" s="24"/>
      <c r="G38" s="27"/>
      <c r="H38" s="25">
        <f t="shared" si="0"/>
        <v>275946.02999999997</v>
      </c>
      <c r="I38" s="26"/>
      <c r="J38" s="24">
        <f>+'[4]App.2-B_Fixed Asset Cont 2011'!M37</f>
        <v>-152871.07</v>
      </c>
      <c r="K38" s="24"/>
      <c r="L38" s="27"/>
      <c r="M38" s="25">
        <f t="shared" si="1"/>
        <v>-152871.07</v>
      </c>
      <c r="N38" s="28">
        <f t="shared" si="2"/>
        <v>123074.95999999996</v>
      </c>
    </row>
    <row r="39" spans="1:14" ht="26.4">
      <c r="A39" s="21">
        <v>45</v>
      </c>
      <c r="B39" s="32">
        <v>1920</v>
      </c>
      <c r="C39" s="22" t="s">
        <v>38</v>
      </c>
      <c r="D39" s="23">
        <v>0.2</v>
      </c>
      <c r="E39" s="24">
        <f>+'[4]App.2-B_Fixed Asset Cont 2011'!H38</f>
        <v>52211.630000000005</v>
      </c>
      <c r="F39" s="24"/>
      <c r="G39" s="27"/>
      <c r="H39" s="25">
        <f t="shared" si="0"/>
        <v>52211.630000000005</v>
      </c>
      <c r="I39" s="26"/>
      <c r="J39" s="24">
        <f>+'[4]App.2-B_Fixed Asset Cont 2011'!M38</f>
        <v>-146240.59</v>
      </c>
      <c r="K39" s="24"/>
      <c r="L39" s="27"/>
      <c r="M39" s="25">
        <f t="shared" si="1"/>
        <v>-146240.59</v>
      </c>
      <c r="N39" s="28">
        <f t="shared" si="2"/>
        <v>-94028.959999999992</v>
      </c>
    </row>
    <row r="40" spans="1:14" ht="26.4">
      <c r="A40" s="21">
        <v>45.1</v>
      </c>
      <c r="B40" s="32">
        <v>1920</v>
      </c>
      <c r="C40" s="22" t="s">
        <v>39</v>
      </c>
      <c r="D40" s="23">
        <v>0.2</v>
      </c>
      <c r="E40" s="24">
        <f>+'[4]App.2-B_Fixed Asset Cont 2011'!H39</f>
        <v>153836.70000000001</v>
      </c>
      <c r="F40" s="24">
        <v>22000</v>
      </c>
      <c r="G40" s="27"/>
      <c r="H40" s="25">
        <f t="shared" si="0"/>
        <v>175836.7</v>
      </c>
      <c r="I40" s="26"/>
      <c r="J40" s="24">
        <f>+'[4]App.2-B_Fixed Asset Cont 2011'!M39</f>
        <v>-107493.88</v>
      </c>
      <c r="K40" s="24">
        <f>-1274-16004</f>
        <v>-17278</v>
      </c>
      <c r="L40" s="27"/>
      <c r="M40" s="25">
        <f t="shared" si="1"/>
        <v>-124771.88</v>
      </c>
      <c r="N40" s="28">
        <f t="shared" si="2"/>
        <v>51064.820000000007</v>
      </c>
    </row>
    <row r="41" spans="1:14" ht="26.4">
      <c r="A41" s="21">
        <v>12</v>
      </c>
      <c r="B41" s="32">
        <v>1925</v>
      </c>
      <c r="C41" s="31" t="s">
        <v>16</v>
      </c>
      <c r="D41" s="23">
        <v>0.33329999999999999</v>
      </c>
      <c r="E41" s="24">
        <f>+'[4]App.2-B_Fixed Asset Cont 2011'!H40</f>
        <v>944456.07</v>
      </c>
      <c r="F41" s="24">
        <v>50000</v>
      </c>
      <c r="G41" s="27"/>
      <c r="H41" s="25">
        <f t="shared" si="0"/>
        <v>994456.07</v>
      </c>
      <c r="I41" s="26"/>
      <c r="J41" s="24">
        <f>+'[4]App.2-B_Fixed Asset Cont 2011'!M40</f>
        <v>-813572.16</v>
      </c>
      <c r="K41" s="24">
        <v>-36848</v>
      </c>
      <c r="L41" s="27"/>
      <c r="M41" s="25">
        <f t="shared" si="1"/>
        <v>-850420.16</v>
      </c>
      <c r="N41" s="28">
        <f t="shared" si="2"/>
        <v>144035.90999999992</v>
      </c>
    </row>
    <row r="42" spans="1:14" ht="14.4">
      <c r="A42" s="21">
        <v>10</v>
      </c>
      <c r="B42" s="21">
        <v>1930</v>
      </c>
      <c r="C42" s="31" t="s">
        <v>40</v>
      </c>
      <c r="D42" s="23">
        <v>0.125</v>
      </c>
      <c r="E42" s="24">
        <f>+'[4]App.2-B_Fixed Asset Cont 2011'!H41</f>
        <v>1984171.0300000003</v>
      </c>
      <c r="F42" s="24">
        <v>450000</v>
      </c>
      <c r="G42" s="27">
        <v>-150000</v>
      </c>
      <c r="H42" s="25">
        <f t="shared" si="0"/>
        <v>2284171.0300000003</v>
      </c>
      <c r="I42" s="26"/>
      <c r="J42" s="24">
        <f>+'[4]App.2-B_Fixed Asset Cont 2011'!M41</f>
        <v>-1188623.2000000002</v>
      </c>
      <c r="K42" s="24">
        <v>-97893</v>
      </c>
      <c r="L42" s="27">
        <v>150000</v>
      </c>
      <c r="M42" s="25">
        <f t="shared" si="1"/>
        <v>-1136516.2000000002</v>
      </c>
      <c r="N42" s="28">
        <f t="shared" si="2"/>
        <v>1147654.83</v>
      </c>
    </row>
    <row r="43" spans="1:14" ht="14.4">
      <c r="A43" s="21">
        <v>8</v>
      </c>
      <c r="B43" s="21">
        <v>1935</v>
      </c>
      <c r="C43" s="31" t="s">
        <v>41</v>
      </c>
      <c r="D43" s="23">
        <v>0.1</v>
      </c>
      <c r="E43" s="24">
        <f>+'[4]App.2-B_Fixed Asset Cont 2011'!H42</f>
        <v>85037.21</v>
      </c>
      <c r="F43" s="24"/>
      <c r="G43" s="27"/>
      <c r="H43" s="25">
        <f t="shared" si="0"/>
        <v>85037.21</v>
      </c>
      <c r="I43" s="26"/>
      <c r="J43" s="24">
        <f>+'[4]App.2-B_Fixed Asset Cont 2011'!M42</f>
        <v>-26165.989999999998</v>
      </c>
      <c r="K43" s="24">
        <v>-5887</v>
      </c>
      <c r="L43" s="27"/>
      <c r="M43" s="25">
        <f t="shared" si="1"/>
        <v>-32052.989999999998</v>
      </c>
      <c r="N43" s="28">
        <f t="shared" si="2"/>
        <v>52984.220000000008</v>
      </c>
    </row>
    <row r="44" spans="1:14" ht="14.4">
      <c r="A44" s="21">
        <v>8</v>
      </c>
      <c r="B44" s="21">
        <v>1940</v>
      </c>
      <c r="C44" s="31" t="s">
        <v>42</v>
      </c>
      <c r="D44" s="23">
        <v>0.1</v>
      </c>
      <c r="E44" s="24">
        <f>+'[4]App.2-B_Fixed Asset Cont 2011'!H43</f>
        <v>296780.97000000003</v>
      </c>
      <c r="F44" s="24">
        <v>72000</v>
      </c>
      <c r="G44" s="27"/>
      <c r="H44" s="25">
        <f t="shared" si="0"/>
        <v>368780.97000000003</v>
      </c>
      <c r="I44" s="26"/>
      <c r="J44" s="24">
        <f>+'[4]App.2-B_Fixed Asset Cont 2011'!M43</f>
        <v>-184379.91</v>
      </c>
      <c r="K44" s="24">
        <v>-14840</v>
      </c>
      <c r="L44" s="27"/>
      <c r="M44" s="25">
        <f t="shared" si="1"/>
        <v>-199219.91</v>
      </c>
      <c r="N44" s="28">
        <f t="shared" si="2"/>
        <v>169561.06000000003</v>
      </c>
    </row>
    <row r="45" spans="1:14" ht="14.4">
      <c r="A45" s="21">
        <v>8</v>
      </c>
      <c r="B45" s="21">
        <v>1945</v>
      </c>
      <c r="C45" s="31" t="s">
        <v>43</v>
      </c>
      <c r="D45" s="23">
        <v>0.1</v>
      </c>
      <c r="E45" s="24">
        <f>+'[4]App.2-B_Fixed Asset Cont 2011'!H44</f>
        <v>67543.58</v>
      </c>
      <c r="F45" s="24"/>
      <c r="G45" s="27"/>
      <c r="H45" s="25">
        <f t="shared" si="0"/>
        <v>67543.58</v>
      </c>
      <c r="I45" s="26"/>
      <c r="J45" s="24">
        <f>+'[4]App.2-B_Fixed Asset Cont 2011'!M44</f>
        <v>-34989.46</v>
      </c>
      <c r="K45" s="24">
        <v>-3255</v>
      </c>
      <c r="L45" s="27"/>
      <c r="M45" s="25">
        <f t="shared" si="1"/>
        <v>-38244.46</v>
      </c>
      <c r="N45" s="28">
        <f t="shared" si="2"/>
        <v>29299.120000000003</v>
      </c>
    </row>
    <row r="46" spans="1:14" ht="14.4">
      <c r="A46" s="21">
        <v>8</v>
      </c>
      <c r="B46" s="21">
        <v>1950</v>
      </c>
      <c r="C46" s="31" t="s">
        <v>44</v>
      </c>
      <c r="D46" s="23">
        <v>0.125</v>
      </c>
      <c r="E46" s="24">
        <f>+'[4]App.2-B_Fixed Asset Cont 2011'!H45</f>
        <v>89271.959999999992</v>
      </c>
      <c r="F46" s="24"/>
      <c r="G46" s="33"/>
      <c r="H46" s="25">
        <f t="shared" si="0"/>
        <v>89271.959999999992</v>
      </c>
      <c r="I46" s="26"/>
      <c r="J46" s="24">
        <f>+'[4]App.2-B_Fixed Asset Cont 2011'!M45</f>
        <v>-37367.120000000003</v>
      </c>
      <c r="K46" s="24">
        <v>-5190</v>
      </c>
      <c r="L46" s="33"/>
      <c r="M46" s="25">
        <f t="shared" si="1"/>
        <v>-42557.120000000003</v>
      </c>
      <c r="N46" s="28">
        <f t="shared" si="2"/>
        <v>46714.839999999989</v>
      </c>
    </row>
    <row r="47" spans="1:14" ht="14.4">
      <c r="A47" s="21">
        <v>8</v>
      </c>
      <c r="B47" s="21">
        <v>1955</v>
      </c>
      <c r="C47" s="31" t="s">
        <v>45</v>
      </c>
      <c r="D47" s="23">
        <v>0.1</v>
      </c>
      <c r="E47" s="24">
        <f>+'[4]App.2-B_Fixed Asset Cont 2011'!H46</f>
        <v>176173.24</v>
      </c>
      <c r="F47" s="24"/>
      <c r="G47" s="27"/>
      <c r="H47" s="25">
        <f t="shared" si="0"/>
        <v>176173.24</v>
      </c>
      <c r="I47" s="26"/>
      <c r="J47" s="24">
        <f>+'[4]App.2-B_Fixed Asset Cont 2011'!M46</f>
        <v>-105990.53</v>
      </c>
      <c r="K47" s="24">
        <v>-8288</v>
      </c>
      <c r="L47" s="27"/>
      <c r="M47" s="25">
        <f t="shared" si="1"/>
        <v>-114278.53</v>
      </c>
      <c r="N47" s="28">
        <f t="shared" si="2"/>
        <v>61894.709999999992</v>
      </c>
    </row>
    <row r="48" spans="1:14" ht="14.4">
      <c r="A48" s="34">
        <v>8</v>
      </c>
      <c r="B48" s="34">
        <v>1955</v>
      </c>
      <c r="C48" s="35" t="s">
        <v>46</v>
      </c>
      <c r="D48" s="23"/>
      <c r="E48" s="24"/>
      <c r="F48" s="24"/>
      <c r="G48" s="27"/>
      <c r="H48" s="25">
        <f t="shared" si="0"/>
        <v>0</v>
      </c>
      <c r="I48" s="26"/>
      <c r="J48" s="24">
        <f>+'[4]App.2-B_Fixed Asset Cont 2011'!M47</f>
        <v>0</v>
      </c>
      <c r="K48" s="24"/>
      <c r="L48" s="27"/>
      <c r="M48" s="25">
        <f t="shared" si="1"/>
        <v>0</v>
      </c>
      <c r="N48" s="28">
        <f t="shared" si="2"/>
        <v>0</v>
      </c>
    </row>
    <row r="49" spans="1:14" ht="14.4">
      <c r="A49" s="32">
        <v>8</v>
      </c>
      <c r="B49" s="32">
        <v>1960</v>
      </c>
      <c r="C49" s="22" t="s">
        <v>47</v>
      </c>
      <c r="D49" s="23">
        <v>0.1</v>
      </c>
      <c r="E49" s="24">
        <f>+'[4]App.2-B_Fixed Asset Cont 2011'!H48</f>
        <v>43493.47</v>
      </c>
      <c r="F49" s="24">
        <v>40000</v>
      </c>
      <c r="G49" s="27"/>
      <c r="H49" s="25">
        <f t="shared" si="0"/>
        <v>83493.47</v>
      </c>
      <c r="I49" s="26"/>
      <c r="J49" s="24">
        <f>+'[4]App.2-B_Fixed Asset Cont 2011'!M48</f>
        <v>-29742.11</v>
      </c>
      <c r="K49" s="24">
        <v>-3462</v>
      </c>
      <c r="L49" s="27"/>
      <c r="M49" s="25">
        <f t="shared" si="1"/>
        <v>-33204.11</v>
      </c>
      <c r="N49" s="28">
        <f t="shared" si="2"/>
        <v>50289.36</v>
      </c>
    </row>
    <row r="50" spans="1:14" ht="14.4">
      <c r="A50" s="21">
        <v>47</v>
      </c>
      <c r="B50" s="21">
        <v>1975</v>
      </c>
      <c r="C50" s="31" t="s">
        <v>48</v>
      </c>
      <c r="D50" s="23">
        <v>0.1</v>
      </c>
      <c r="E50" s="24">
        <f>+'[4]App.2-B_Fixed Asset Cont 2011'!H49</f>
        <v>258630.5</v>
      </c>
      <c r="F50" s="24"/>
      <c r="G50" s="27"/>
      <c r="H50" s="25">
        <f t="shared" si="0"/>
        <v>258630.5</v>
      </c>
      <c r="I50" s="26"/>
      <c r="J50" s="24">
        <f>+'[4]App.2-B_Fixed Asset Cont 2011'!M49</f>
        <v>-258630.5</v>
      </c>
      <c r="K50" s="24"/>
      <c r="L50" s="27"/>
      <c r="M50" s="25">
        <f t="shared" si="1"/>
        <v>-258630.5</v>
      </c>
      <c r="N50" s="28">
        <f t="shared" si="2"/>
        <v>0</v>
      </c>
    </row>
    <row r="51" spans="1:14" ht="14.4">
      <c r="A51" s="21">
        <v>47</v>
      </c>
      <c r="B51" s="21">
        <v>1980</v>
      </c>
      <c r="C51" s="31" t="s">
        <v>49</v>
      </c>
      <c r="D51" s="23"/>
      <c r="E51" s="24"/>
      <c r="F51" s="24"/>
      <c r="G51" s="27"/>
      <c r="H51" s="25">
        <f t="shared" si="0"/>
        <v>0</v>
      </c>
      <c r="I51" s="26"/>
      <c r="J51" s="24">
        <f>+'[4]App.2-B_Fixed Asset Cont 2011'!M50</f>
        <v>0</v>
      </c>
      <c r="K51" s="24"/>
      <c r="L51" s="27"/>
      <c r="M51" s="25">
        <f t="shared" si="1"/>
        <v>0</v>
      </c>
      <c r="N51" s="28">
        <f t="shared" si="2"/>
        <v>0</v>
      </c>
    </row>
    <row r="52" spans="1:14" ht="14.4">
      <c r="A52" s="21">
        <v>47</v>
      </c>
      <c r="B52" s="21">
        <v>1985</v>
      </c>
      <c r="C52" s="31" t="s">
        <v>50</v>
      </c>
      <c r="D52" s="23">
        <v>0.1</v>
      </c>
      <c r="E52" s="24">
        <f>+'[4]App.2-B_Fixed Asset Cont 2011'!H51</f>
        <v>1427</v>
      </c>
      <c r="F52" s="24"/>
      <c r="G52" s="27"/>
      <c r="H52" s="25">
        <f t="shared" si="0"/>
        <v>1427</v>
      </c>
      <c r="I52" s="26"/>
      <c r="J52" s="24">
        <f>+'[4]App.2-B_Fixed Asset Cont 2011'!M51</f>
        <v>-1426.68</v>
      </c>
      <c r="K52" s="24"/>
      <c r="L52" s="27"/>
      <c r="M52" s="25">
        <f t="shared" si="1"/>
        <v>-1426.68</v>
      </c>
      <c r="N52" s="28">
        <f t="shared" si="2"/>
        <v>0.31999999999993634</v>
      </c>
    </row>
    <row r="53" spans="1:14" ht="14.4">
      <c r="A53" s="21">
        <v>47</v>
      </c>
      <c r="B53" s="21">
        <v>1995</v>
      </c>
      <c r="C53" s="31" t="s">
        <v>51</v>
      </c>
      <c r="D53" s="23">
        <v>0.04</v>
      </c>
      <c r="E53" s="24">
        <f>+'[4]App.2-B_Fixed Asset Cont 2011'!H52</f>
        <v>-8188457.3499999996</v>
      </c>
      <c r="F53" s="24">
        <v>-366832</v>
      </c>
      <c r="G53" s="27"/>
      <c r="H53" s="25">
        <f t="shared" si="0"/>
        <v>-8555289.3499999996</v>
      </c>
      <c r="I53" s="26"/>
      <c r="J53" s="24">
        <f>+'[4]App.2-B_Fixed Asset Cont 2011'!M52</f>
        <v>1719806.5499999998</v>
      </c>
      <c r="K53" s="24">
        <v>140936</v>
      </c>
      <c r="L53" s="27"/>
      <c r="M53" s="25">
        <f t="shared" si="1"/>
        <v>1860742.5499999998</v>
      </c>
      <c r="N53" s="28">
        <f t="shared" si="2"/>
        <v>-6694546.7999999998</v>
      </c>
    </row>
    <row r="54" spans="1:14" ht="14.4">
      <c r="A54" s="36"/>
      <c r="B54" s="36" t="s">
        <v>52</v>
      </c>
      <c r="C54" s="37"/>
      <c r="D54" s="23"/>
      <c r="E54" s="24"/>
      <c r="F54" s="24"/>
      <c r="G54" s="24"/>
      <c r="H54" s="25">
        <f t="shared" si="0"/>
        <v>0</v>
      </c>
      <c r="J54" s="24"/>
      <c r="K54" s="24"/>
      <c r="L54" s="24"/>
      <c r="M54" s="25">
        <f t="shared" si="1"/>
        <v>0</v>
      </c>
      <c r="N54" s="28">
        <f t="shared" si="2"/>
        <v>0</v>
      </c>
    </row>
    <row r="55" spans="1:14" ht="14.4">
      <c r="A55" s="36"/>
      <c r="B55" s="36"/>
      <c r="C55" s="37"/>
      <c r="D55" s="23"/>
      <c r="E55" s="38"/>
      <c r="F55" s="38"/>
      <c r="G55" s="38"/>
      <c r="H55" s="37"/>
      <c r="J55" s="38"/>
      <c r="K55" s="24"/>
      <c r="L55" s="38"/>
      <c r="M55" s="37"/>
      <c r="N55" s="37"/>
    </row>
    <row r="56" spans="1:14">
      <c r="A56" s="36"/>
      <c r="B56" s="36"/>
      <c r="C56" s="39" t="s">
        <v>0</v>
      </c>
      <c r="D56" s="39"/>
      <c r="E56" s="40">
        <f>SUM(E17:E55)</f>
        <v>46355641.400000013</v>
      </c>
      <c r="F56" s="40">
        <f t="shared" ref="F56:H56" si="3">SUM(F17:F55)</f>
        <v>3388315</v>
      </c>
      <c r="G56" s="40">
        <f t="shared" si="3"/>
        <v>-150000</v>
      </c>
      <c r="H56" s="40">
        <f t="shared" si="3"/>
        <v>49593956.400000013</v>
      </c>
      <c r="I56" s="40"/>
      <c r="J56" s="40">
        <f>SUM(J17:J55)</f>
        <v>-17079279.25</v>
      </c>
      <c r="K56" s="40">
        <f t="shared" ref="K56:N56" si="4">SUM(K17:K55)</f>
        <v>-1131462.5666666667</v>
      </c>
      <c r="L56" s="40">
        <f t="shared" si="4"/>
        <v>150000</v>
      </c>
      <c r="M56" s="40">
        <f t="shared" si="4"/>
        <v>-18060741.816666666</v>
      </c>
      <c r="N56" s="40">
        <f t="shared" si="4"/>
        <v>31533214.583333325</v>
      </c>
    </row>
    <row r="58" spans="1:14">
      <c r="D58" s="3"/>
      <c r="J58" s="41" t="s">
        <v>53</v>
      </c>
      <c r="K58" s="42"/>
    </row>
    <row r="59" spans="1:14" ht="14.4">
      <c r="A59" s="36">
        <v>10</v>
      </c>
      <c r="B59" s="36"/>
      <c r="C59" s="37" t="s">
        <v>54</v>
      </c>
      <c r="D59" s="3"/>
      <c r="J59" s="42" t="s">
        <v>54</v>
      </c>
      <c r="K59" s="42"/>
      <c r="L59" s="43"/>
    </row>
    <row r="60" spans="1:14" ht="14.4">
      <c r="A60" s="36">
        <v>8</v>
      </c>
      <c r="B60" s="36"/>
      <c r="C60" s="37" t="s">
        <v>41</v>
      </c>
      <c r="J60" s="42" t="s">
        <v>41</v>
      </c>
      <c r="K60" s="42"/>
      <c r="L60" s="44"/>
    </row>
    <row r="61" spans="1:14" ht="14.4">
      <c r="J61" s="45" t="s">
        <v>55</v>
      </c>
      <c r="L61" s="46">
        <f>L56-L59-L60</f>
        <v>150000</v>
      </c>
    </row>
    <row r="63" spans="1:14">
      <c r="A63" s="47" t="s">
        <v>56</v>
      </c>
    </row>
    <row r="65" spans="1:14">
      <c r="A65" s="1">
        <v>1</v>
      </c>
      <c r="B65" s="203" t="s">
        <v>57</v>
      </c>
      <c r="C65" s="203"/>
      <c r="D65" s="203"/>
      <c r="E65" s="203"/>
      <c r="F65" s="203"/>
      <c r="G65" s="203"/>
      <c r="H65" s="203"/>
      <c r="I65" s="203"/>
      <c r="J65" s="203"/>
      <c r="K65" s="203"/>
      <c r="L65" s="203"/>
      <c r="M65" s="203"/>
      <c r="N65" s="203"/>
    </row>
    <row r="66" spans="1:14">
      <c r="B66" s="203"/>
      <c r="C66" s="203"/>
      <c r="D66" s="203"/>
      <c r="E66" s="203"/>
      <c r="F66" s="203"/>
      <c r="G66" s="203"/>
      <c r="H66" s="203"/>
      <c r="I66" s="203"/>
      <c r="J66" s="203"/>
      <c r="K66" s="203"/>
      <c r="L66" s="203"/>
      <c r="M66" s="203"/>
      <c r="N66" s="203"/>
    </row>
    <row r="67" spans="1:14" ht="12.75" customHeight="1"/>
    <row r="68" spans="1:14">
      <c r="A68" s="1">
        <v>2</v>
      </c>
      <c r="B68" s="204" t="s">
        <v>58</v>
      </c>
      <c r="C68" s="204"/>
      <c r="D68" s="204"/>
      <c r="E68" s="204"/>
      <c r="F68" s="204"/>
      <c r="G68" s="204"/>
      <c r="H68" s="204"/>
      <c r="I68" s="204"/>
      <c r="J68" s="204"/>
      <c r="K68" s="204"/>
      <c r="L68" s="204"/>
      <c r="M68" s="204"/>
      <c r="N68" s="204"/>
    </row>
    <row r="69" spans="1:14">
      <c r="B69" s="204"/>
      <c r="C69" s="204"/>
      <c r="D69" s="204"/>
      <c r="E69" s="204"/>
      <c r="F69" s="204"/>
      <c r="G69" s="204"/>
      <c r="H69" s="204"/>
      <c r="I69" s="204"/>
      <c r="J69" s="204"/>
      <c r="K69" s="204"/>
      <c r="L69" s="204"/>
      <c r="M69" s="204"/>
      <c r="N69" s="204"/>
    </row>
    <row r="71" spans="1:14">
      <c r="A71" s="1">
        <v>3</v>
      </c>
      <c r="B71" s="198" t="s">
        <v>59</v>
      </c>
      <c r="C71" s="198"/>
      <c r="D71" s="198"/>
      <c r="E71" s="198"/>
      <c r="F71" s="198"/>
      <c r="G71" s="198"/>
      <c r="H71" s="198"/>
      <c r="I71" s="198"/>
      <c r="J71" s="198"/>
      <c r="K71" s="198"/>
      <c r="L71" s="198"/>
      <c r="M71" s="198"/>
      <c r="N71" s="198"/>
    </row>
    <row r="73" spans="1:14">
      <c r="A73" s="1">
        <v>4</v>
      </c>
      <c r="B73" s="48" t="s">
        <v>60</v>
      </c>
    </row>
  </sheetData>
  <mergeCells count="7">
    <mergeCell ref="B71:N71"/>
    <mergeCell ref="A9:N9"/>
    <mergeCell ref="A10:N10"/>
    <mergeCell ref="E15:H15"/>
    <mergeCell ref="B65:N66"/>
    <mergeCell ref="B68:N69"/>
    <mergeCell ref="A11:N11"/>
  </mergeCells>
  <printOptions horizontalCentered="1"/>
  <pageMargins left="0.74803149606299213" right="0.74803149606299213" top="0.74803149606299213" bottom="0.70866141732283472" header="0.51181102362204722" footer="0.51181102362204722"/>
  <pageSetup scale="52" fitToHeight="0"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55">
    <pageSetUpPr fitToPage="1"/>
  </sheetPr>
  <dimension ref="A1:N78"/>
  <sheetViews>
    <sheetView showGridLines="0" zoomScaleNormal="100" workbookViewId="0">
      <selection activeCell="A12" sqref="A12"/>
    </sheetView>
  </sheetViews>
  <sheetFormatPr defaultColWidth="9.109375" defaultRowHeight="13.2"/>
  <cols>
    <col min="1" max="1" width="7.6640625" style="1" customWidth="1"/>
    <col min="2" max="2" width="6.44140625" style="1" customWidth="1"/>
    <col min="3" max="3" width="37.88671875" style="2" customWidth="1"/>
    <col min="4" max="4" width="14" style="2" customWidth="1"/>
    <col min="5" max="5" width="14.44140625" style="2" customWidth="1"/>
    <col min="6" max="6" width="13" style="2" customWidth="1"/>
    <col min="7" max="7" width="11.6640625" style="2" customWidth="1"/>
    <col min="8" max="8" width="13.5546875" style="2" customWidth="1"/>
    <col min="9" max="9" width="1.6640625" style="3" customWidth="1"/>
    <col min="10" max="10" width="14.33203125" style="2" customWidth="1"/>
    <col min="11" max="11" width="13.44140625" style="2" customWidth="1"/>
    <col min="12" max="12" width="11.88671875" style="2" customWidth="1"/>
    <col min="13" max="13" width="16.6640625" style="2" bestFit="1" customWidth="1"/>
    <col min="14" max="14" width="17.109375" style="2" bestFit="1" customWidth="1"/>
    <col min="15" max="16384" width="9.109375" style="2"/>
  </cols>
  <sheetData>
    <row r="1" spans="1:14">
      <c r="M1" s="4" t="s">
        <v>1</v>
      </c>
      <c r="N1" s="5" t="str">
        <f>'[2]LDC Info'!$E$18</f>
        <v>EB2012-0176</v>
      </c>
    </row>
    <row r="2" spans="1:14">
      <c r="M2" s="4"/>
      <c r="N2" s="4"/>
    </row>
    <row r="3" spans="1:14">
      <c r="M3" s="4"/>
      <c r="N3" s="4"/>
    </row>
    <row r="4" spans="1:14">
      <c r="M4" s="4"/>
      <c r="N4" s="4"/>
    </row>
    <row r="5" spans="1:14">
      <c r="M5" s="4"/>
      <c r="N5" s="4"/>
    </row>
    <row r="6" spans="1:14" ht="9" customHeight="1">
      <c r="M6" s="4"/>
      <c r="N6" s="4"/>
    </row>
    <row r="7" spans="1:14">
      <c r="M7" s="4"/>
      <c r="N7" s="4"/>
    </row>
    <row r="8" spans="1:14" ht="9" customHeight="1"/>
    <row r="9" spans="1:14" ht="20.25" customHeight="1">
      <c r="A9" s="199" t="s">
        <v>2</v>
      </c>
      <c r="B9" s="199"/>
      <c r="C9" s="199"/>
      <c r="D9" s="199"/>
      <c r="E9" s="199"/>
      <c r="F9" s="199"/>
      <c r="G9" s="199"/>
      <c r="H9" s="199"/>
      <c r="I9" s="199"/>
      <c r="J9" s="199"/>
      <c r="K9" s="199"/>
      <c r="L9" s="199"/>
      <c r="M9" s="199"/>
      <c r="N9" s="199"/>
    </row>
    <row r="10" spans="1:14" ht="17.399999999999999">
      <c r="A10" s="199" t="s">
        <v>3</v>
      </c>
      <c r="B10" s="199"/>
      <c r="C10" s="199"/>
      <c r="D10" s="199"/>
      <c r="E10" s="199"/>
      <c r="F10" s="199"/>
      <c r="G10" s="199"/>
      <c r="H10" s="199"/>
      <c r="I10" s="199"/>
      <c r="J10" s="199"/>
      <c r="K10" s="199"/>
      <c r="L10" s="199"/>
      <c r="M10" s="199"/>
      <c r="N10" s="199"/>
    </row>
    <row r="11" spans="1:14" ht="17.399999999999999">
      <c r="A11" s="199" t="s">
        <v>257</v>
      </c>
      <c r="B11" s="199"/>
      <c r="C11" s="199"/>
      <c r="D11" s="199"/>
      <c r="E11" s="199"/>
      <c r="F11" s="199"/>
      <c r="G11" s="199"/>
      <c r="H11" s="199"/>
      <c r="I11" s="199"/>
      <c r="J11" s="199"/>
      <c r="K11" s="199"/>
      <c r="L11" s="199"/>
      <c r="M11" s="199"/>
      <c r="N11" s="199"/>
    </row>
    <row r="13" spans="1:14" ht="13.8">
      <c r="C13" s="6"/>
      <c r="F13" s="7" t="s">
        <v>4</v>
      </c>
      <c r="G13" s="8">
        <v>2013</v>
      </c>
      <c r="H13" s="9"/>
    </row>
    <row r="15" spans="1:14">
      <c r="D15" s="10"/>
      <c r="E15" s="200" t="s">
        <v>5</v>
      </c>
      <c r="F15" s="201"/>
      <c r="G15" s="201"/>
      <c r="H15" s="202"/>
      <c r="J15" s="11"/>
      <c r="K15" s="12" t="s">
        <v>6</v>
      </c>
      <c r="L15" s="12"/>
      <c r="M15" s="13"/>
      <c r="N15" s="3"/>
    </row>
    <row r="16" spans="1:14" ht="26.4">
      <c r="A16" s="14" t="s">
        <v>7</v>
      </c>
      <c r="B16" s="15" t="s">
        <v>8</v>
      </c>
      <c r="C16" s="16" t="s">
        <v>9</v>
      </c>
      <c r="D16" s="14" t="s">
        <v>10</v>
      </c>
      <c r="E16" s="14" t="s">
        <v>11</v>
      </c>
      <c r="F16" s="15" t="s">
        <v>12</v>
      </c>
      <c r="G16" s="15" t="s">
        <v>13</v>
      </c>
      <c r="H16" s="14" t="s">
        <v>14</v>
      </c>
      <c r="I16" s="17"/>
      <c r="J16" s="18" t="s">
        <v>11</v>
      </c>
      <c r="K16" s="19" t="s">
        <v>12</v>
      </c>
      <c r="L16" s="19" t="s">
        <v>13</v>
      </c>
      <c r="M16" s="20" t="s">
        <v>14</v>
      </c>
      <c r="N16" s="14" t="s">
        <v>15</v>
      </c>
    </row>
    <row r="17" spans="1:14" ht="26.4">
      <c r="A17" s="21">
        <v>12</v>
      </c>
      <c r="B17" s="21">
        <v>1611</v>
      </c>
      <c r="C17" s="22" t="s">
        <v>16</v>
      </c>
      <c r="D17" s="23"/>
      <c r="E17" s="24"/>
      <c r="F17" s="24"/>
      <c r="G17" s="24"/>
      <c r="H17" s="25">
        <f>E17+F17+G17</f>
        <v>0</v>
      </c>
      <c r="I17" s="26"/>
      <c r="J17" s="27"/>
      <c r="K17" s="24"/>
      <c r="L17" s="24"/>
      <c r="M17" s="25">
        <f>J17+K17+L17</f>
        <v>0</v>
      </c>
      <c r="N17" s="28">
        <f>H17+M17</f>
        <v>0</v>
      </c>
    </row>
    <row r="18" spans="1:14" ht="26.4">
      <c r="A18" s="21" t="s">
        <v>17</v>
      </c>
      <c r="B18" s="21">
        <v>1612</v>
      </c>
      <c r="C18" s="22" t="s">
        <v>18</v>
      </c>
      <c r="D18" s="23"/>
      <c r="E18" s="24"/>
      <c r="F18" s="24"/>
      <c r="G18" s="24"/>
      <c r="H18" s="25">
        <f>E18+F18+G18</f>
        <v>0</v>
      </c>
      <c r="I18" s="26"/>
      <c r="J18" s="27"/>
      <c r="K18" s="24"/>
      <c r="L18" s="24"/>
      <c r="M18" s="25">
        <f>J18+K18+L18</f>
        <v>0</v>
      </c>
      <c r="N18" s="28">
        <f>H18+M18</f>
        <v>0</v>
      </c>
    </row>
    <row r="19" spans="1:14" ht="14.4">
      <c r="A19" s="29" t="s">
        <v>19</v>
      </c>
      <c r="B19" s="29">
        <v>1805</v>
      </c>
      <c r="C19" s="30" t="s">
        <v>20</v>
      </c>
      <c r="D19" s="23"/>
      <c r="E19" s="24">
        <f>+'[2]App.2-B_FA Cont MIFRS 2012'!H18</f>
        <v>227768.86</v>
      </c>
      <c r="F19" s="24"/>
      <c r="G19" s="24"/>
      <c r="H19" s="25">
        <f>E19+F19+G19</f>
        <v>227768.86</v>
      </c>
      <c r="I19" s="26"/>
      <c r="J19" s="24"/>
      <c r="K19" s="24"/>
      <c r="L19" s="24"/>
      <c r="M19" s="25">
        <f>J19+K19+L19</f>
        <v>0</v>
      </c>
      <c r="N19" s="28">
        <f>H19+M19</f>
        <v>227768.86</v>
      </c>
    </row>
    <row r="20" spans="1:14" ht="14.4">
      <c r="A20" s="21">
        <v>47</v>
      </c>
      <c r="B20" s="21">
        <v>1808</v>
      </c>
      <c r="C20" s="31" t="s">
        <v>21</v>
      </c>
      <c r="D20" s="23">
        <v>0.02</v>
      </c>
      <c r="E20" s="24">
        <f>+'[2]App.2-B_FA Cont MIFRS 2012'!H19</f>
        <v>2491318</v>
      </c>
      <c r="F20" s="24">
        <v>9000</v>
      </c>
      <c r="G20" s="24"/>
      <c r="H20" s="25">
        <f t="shared" ref="H20:H54" si="0">E20+F20+G20</f>
        <v>2500318</v>
      </c>
      <c r="I20" s="26"/>
      <c r="J20" s="24">
        <f>+'[2]App.2-B_FA Cont MIFRS 2012'!M19</f>
        <v>-275176.49</v>
      </c>
      <c r="K20" s="24">
        <v>-50119</v>
      </c>
      <c r="L20" s="24"/>
      <c r="M20" s="25">
        <f t="shared" ref="M20:M54" si="1">J20+K20+L20</f>
        <v>-325295.49</v>
      </c>
      <c r="N20" s="28">
        <f t="shared" ref="N20:N54" si="2">H20+M20</f>
        <v>2175022.5099999998</v>
      </c>
    </row>
    <row r="21" spans="1:14" ht="14.4">
      <c r="A21" s="21">
        <v>13</v>
      </c>
      <c r="B21" s="21">
        <v>1810</v>
      </c>
      <c r="C21" s="31" t="s">
        <v>22</v>
      </c>
      <c r="D21" s="23"/>
      <c r="E21" s="24">
        <f>+'[2]App.2-B_FA Cont MIFRS 2012'!H20</f>
        <v>0</v>
      </c>
      <c r="F21" s="24"/>
      <c r="G21" s="24"/>
      <c r="H21" s="25">
        <f t="shared" si="0"/>
        <v>0</v>
      </c>
      <c r="I21" s="26"/>
      <c r="J21" s="24">
        <f>+'[2]App.2-B_FA Cont MIFRS 2012'!M20</f>
        <v>0</v>
      </c>
      <c r="K21" s="24"/>
      <c r="L21" s="24"/>
      <c r="M21" s="25">
        <f t="shared" si="1"/>
        <v>0</v>
      </c>
      <c r="N21" s="28">
        <f t="shared" si="2"/>
        <v>0</v>
      </c>
    </row>
    <row r="22" spans="1:14" ht="14.4">
      <c r="A22" s="21">
        <v>47</v>
      </c>
      <c r="B22" s="21">
        <v>1815</v>
      </c>
      <c r="C22" s="31" t="s">
        <v>23</v>
      </c>
      <c r="D22" s="23"/>
      <c r="E22" s="24">
        <f>+'[2]App.2-B_FA Cont MIFRS 2012'!H21</f>
        <v>0</v>
      </c>
      <c r="F22" s="24"/>
      <c r="G22" s="24"/>
      <c r="H22" s="25">
        <f t="shared" si="0"/>
        <v>0</v>
      </c>
      <c r="I22" s="26"/>
      <c r="J22" s="24">
        <f>+'[2]App.2-B_FA Cont MIFRS 2012'!M21</f>
        <v>0</v>
      </c>
      <c r="K22" s="24"/>
      <c r="L22" s="24"/>
      <c r="M22" s="25">
        <f t="shared" si="1"/>
        <v>0</v>
      </c>
      <c r="N22" s="28">
        <f t="shared" si="2"/>
        <v>0</v>
      </c>
    </row>
    <row r="23" spans="1:14" ht="14.4">
      <c r="A23" s="21">
        <v>47</v>
      </c>
      <c r="B23" s="21">
        <v>1820</v>
      </c>
      <c r="C23" s="22" t="s">
        <v>24</v>
      </c>
      <c r="D23" s="23">
        <v>3.3300000000000003E-2</v>
      </c>
      <c r="E23" s="24">
        <f>+'[2]App.2-B_FA Cont MIFRS 2012'!H22</f>
        <v>4269129.0199999996</v>
      </c>
      <c r="F23" s="24">
        <f>520121+463809</f>
        <v>983930</v>
      </c>
      <c r="G23" s="27"/>
      <c r="H23" s="25">
        <f t="shared" si="0"/>
        <v>5253059.0199999996</v>
      </c>
      <c r="I23" s="26"/>
      <c r="J23" s="24">
        <f>+'[2]App.2-B_FA Cont MIFRS 2012'!M22</f>
        <v>-1863577.9766666668</v>
      </c>
      <c r="K23" s="24">
        <f>-230732-463809/90</f>
        <v>-235885.43333333332</v>
      </c>
      <c r="L23" s="27"/>
      <c r="M23" s="25">
        <f t="shared" si="1"/>
        <v>-2099463.41</v>
      </c>
      <c r="N23" s="28">
        <f t="shared" si="2"/>
        <v>3153595.6099999994</v>
      </c>
    </row>
    <row r="24" spans="1:14" ht="14.4">
      <c r="A24" s="21">
        <v>47</v>
      </c>
      <c r="B24" s="21">
        <v>1825</v>
      </c>
      <c r="C24" s="31" t="s">
        <v>25</v>
      </c>
      <c r="D24" s="23"/>
      <c r="E24" s="24">
        <f>+'[2]App.2-B_FA Cont MIFRS 2012'!H23</f>
        <v>0</v>
      </c>
      <c r="F24" s="24"/>
      <c r="G24" s="27"/>
      <c r="H24" s="25">
        <f t="shared" si="0"/>
        <v>0</v>
      </c>
      <c r="I24" s="26"/>
      <c r="J24" s="24">
        <f>+'[2]App.2-B_FA Cont MIFRS 2012'!M23</f>
        <v>0</v>
      </c>
      <c r="K24" s="24"/>
      <c r="L24" s="27"/>
      <c r="M24" s="25">
        <f t="shared" si="1"/>
        <v>0</v>
      </c>
      <c r="N24" s="28">
        <f t="shared" si="2"/>
        <v>0</v>
      </c>
    </row>
    <row r="25" spans="1:14" ht="14.4">
      <c r="A25" s="21">
        <v>47</v>
      </c>
      <c r="B25" s="21">
        <v>1830</v>
      </c>
      <c r="C25" s="31" t="s">
        <v>26</v>
      </c>
      <c r="D25" s="23">
        <v>0.04</v>
      </c>
      <c r="E25" s="24">
        <f>+'[2]App.2-B_FA Cont MIFRS 2012'!H24</f>
        <v>7840528.5599999996</v>
      </c>
      <c r="F25" s="24">
        <f>781179+4700</f>
        <v>785879</v>
      </c>
      <c r="G25" s="27"/>
      <c r="H25" s="25">
        <f t="shared" si="0"/>
        <v>8626407.5599999987</v>
      </c>
      <c r="I25" s="26"/>
      <c r="J25" s="24">
        <f>+'[2]App.2-B_FA Cont MIFRS 2012'!M24</f>
        <v>-2449861.4500000002</v>
      </c>
      <c r="K25" s="24">
        <f>-114430-47</f>
        <v>-114477</v>
      </c>
      <c r="L25" s="27"/>
      <c r="M25" s="25">
        <f t="shared" si="1"/>
        <v>-2564338.4500000002</v>
      </c>
      <c r="N25" s="28">
        <f t="shared" si="2"/>
        <v>6062069.1099999985</v>
      </c>
    </row>
    <row r="26" spans="1:14" ht="14.4">
      <c r="A26" s="21">
        <v>47</v>
      </c>
      <c r="B26" s="21">
        <v>1835</v>
      </c>
      <c r="C26" s="31" t="s">
        <v>27</v>
      </c>
      <c r="D26" s="23">
        <v>0.04</v>
      </c>
      <c r="E26" s="24">
        <f>+'[2]App.2-B_FA Cont MIFRS 2012'!H25</f>
        <v>10454842.450000001</v>
      </c>
      <c r="F26" s="24">
        <v>748211</v>
      </c>
      <c r="G26" s="27"/>
      <c r="H26" s="25">
        <f t="shared" si="0"/>
        <v>11203053.450000001</v>
      </c>
      <c r="I26" s="26"/>
      <c r="J26" s="24">
        <f>+'[2]App.2-B_FA Cont MIFRS 2012'!M25</f>
        <v>-3464611.33</v>
      </c>
      <c r="K26" s="24">
        <v>-135965</v>
      </c>
      <c r="L26" s="27"/>
      <c r="M26" s="25">
        <f t="shared" si="1"/>
        <v>-3600576.33</v>
      </c>
      <c r="N26" s="28">
        <f t="shared" si="2"/>
        <v>7602477.120000001</v>
      </c>
    </row>
    <row r="27" spans="1:14" ht="14.4">
      <c r="A27" s="21">
        <v>47</v>
      </c>
      <c r="B27" s="21">
        <v>1840</v>
      </c>
      <c r="C27" s="31" t="s">
        <v>28</v>
      </c>
      <c r="D27" s="23">
        <v>0.04</v>
      </c>
      <c r="E27" s="24">
        <f>+'[2]App.2-B_FA Cont MIFRS 2012'!H26</f>
        <v>3283787.92</v>
      </c>
      <c r="F27" s="24">
        <v>335057</v>
      </c>
      <c r="G27" s="27"/>
      <c r="H27" s="25">
        <f t="shared" si="0"/>
        <v>3618844.92</v>
      </c>
      <c r="I27" s="26"/>
      <c r="J27" s="24">
        <f>+'[2]App.2-B_FA Cont MIFRS 2012'!M26</f>
        <v>-988576.04</v>
      </c>
      <c r="K27" s="24">
        <v>-32396</v>
      </c>
      <c r="L27" s="27"/>
      <c r="M27" s="25">
        <f t="shared" si="1"/>
        <v>-1020972.04</v>
      </c>
      <c r="N27" s="28">
        <f t="shared" si="2"/>
        <v>2597872.88</v>
      </c>
    </row>
    <row r="28" spans="1:14" ht="14.4">
      <c r="A28" s="21">
        <v>47</v>
      </c>
      <c r="B28" s="21">
        <v>1845</v>
      </c>
      <c r="C28" s="31" t="s">
        <v>29</v>
      </c>
      <c r="D28" s="23">
        <v>0.04</v>
      </c>
      <c r="E28" s="24">
        <f>+'[2]App.2-B_FA Cont MIFRS 2012'!H27</f>
        <v>9217104.7899999991</v>
      </c>
      <c r="F28" s="24">
        <v>404073</v>
      </c>
      <c r="G28" s="27"/>
      <c r="H28" s="25">
        <f t="shared" si="0"/>
        <v>9621177.7899999991</v>
      </c>
      <c r="I28" s="26"/>
      <c r="J28" s="24">
        <f>+'[2]App.2-B_FA Cont MIFRS 2012'!M27</f>
        <v>-2778809.74</v>
      </c>
      <c r="K28" s="24">
        <v>-133727</v>
      </c>
      <c r="L28" s="27"/>
      <c r="M28" s="25">
        <f t="shared" si="1"/>
        <v>-2912536.74</v>
      </c>
      <c r="N28" s="28">
        <f t="shared" si="2"/>
        <v>6708641.0499999989</v>
      </c>
    </row>
    <row r="29" spans="1:14" ht="14.4">
      <c r="A29" s="21">
        <v>47</v>
      </c>
      <c r="B29" s="21">
        <v>1850</v>
      </c>
      <c r="C29" s="31" t="s">
        <v>30</v>
      </c>
      <c r="D29" s="23">
        <v>0.04</v>
      </c>
      <c r="E29" s="24">
        <f>+'[2]App.2-B_FA Cont MIFRS 2012'!H28</f>
        <v>8511790.75</v>
      </c>
      <c r="F29" s="24">
        <v>529371</v>
      </c>
      <c r="G29" s="27"/>
      <c r="H29" s="25">
        <f t="shared" si="0"/>
        <v>9041161.75</v>
      </c>
      <c r="I29" s="26"/>
      <c r="J29" s="24">
        <f>+'[2]App.2-B_FA Cont MIFRS 2012'!M28</f>
        <v>-2907837.2199999997</v>
      </c>
      <c r="K29" s="24">
        <v>-229328</v>
      </c>
      <c r="L29" s="27"/>
      <c r="M29" s="25">
        <f t="shared" si="1"/>
        <v>-3137165.2199999997</v>
      </c>
      <c r="N29" s="28">
        <f t="shared" si="2"/>
        <v>5903996.5300000003</v>
      </c>
    </row>
    <row r="30" spans="1:14" ht="14.4">
      <c r="A30" s="21">
        <v>47</v>
      </c>
      <c r="B30" s="21">
        <v>1855</v>
      </c>
      <c r="C30" s="31" t="s">
        <v>31</v>
      </c>
      <c r="D30" s="23">
        <v>0.04</v>
      </c>
      <c r="E30" s="24">
        <f>+'[2]App.2-B_FA Cont MIFRS 2012'!H29</f>
        <v>4957585.2</v>
      </c>
      <c r="F30" s="24">
        <v>532665</v>
      </c>
      <c r="G30" s="27"/>
      <c r="H30" s="25">
        <f t="shared" si="0"/>
        <v>5490250.2000000002</v>
      </c>
      <c r="I30" s="26"/>
      <c r="J30" s="24">
        <f>+'[2]App.2-B_FA Cont MIFRS 2012'!M29</f>
        <v>-1391116.05</v>
      </c>
      <c r="K30" s="24">
        <v>-85957</v>
      </c>
      <c r="L30" s="27"/>
      <c r="M30" s="25">
        <f t="shared" si="1"/>
        <v>-1477073.05</v>
      </c>
      <c r="N30" s="28">
        <f t="shared" si="2"/>
        <v>4013177.1500000004</v>
      </c>
    </row>
    <row r="31" spans="1:14" ht="14.4">
      <c r="A31" s="21">
        <v>47</v>
      </c>
      <c r="B31" s="21">
        <v>1860</v>
      </c>
      <c r="C31" s="31" t="s">
        <v>32</v>
      </c>
      <c r="D31" s="23">
        <v>0.04</v>
      </c>
      <c r="E31" s="24">
        <f>+'[2]App.2-B_FA Cont MIFRS 2012'!H30</f>
        <v>1579563.6600000001</v>
      </c>
      <c r="F31" s="24"/>
      <c r="G31" s="27"/>
      <c r="H31" s="25">
        <f t="shared" si="0"/>
        <v>1579563.6600000001</v>
      </c>
      <c r="I31" s="26"/>
      <c r="J31" s="24">
        <f>+'[2]App.2-B_FA Cont MIFRS 2012'!M30</f>
        <v>-467372.04000000004</v>
      </c>
      <c r="K31" s="24">
        <v>-50099</v>
      </c>
      <c r="L31" s="27"/>
      <c r="M31" s="25">
        <f t="shared" si="1"/>
        <v>-517471.04000000004</v>
      </c>
      <c r="N31" s="28">
        <f t="shared" si="2"/>
        <v>1062092.6200000001</v>
      </c>
    </row>
    <row r="32" spans="1:14" ht="14.4">
      <c r="A32" s="29">
        <v>8</v>
      </c>
      <c r="B32" s="29">
        <v>1860</v>
      </c>
      <c r="C32" s="30" t="s">
        <v>33</v>
      </c>
      <c r="D32" s="23">
        <v>6.6699999999999995E-2</v>
      </c>
      <c r="E32" s="24">
        <f>+'[2]App.2-B_FA Cont MIFRS 2012'!H31</f>
        <v>135371</v>
      </c>
      <c r="F32" s="24">
        <f>168851+180000+58143</f>
        <v>406994</v>
      </c>
      <c r="G32" s="27"/>
      <c r="H32" s="25">
        <f t="shared" si="0"/>
        <v>542365</v>
      </c>
      <c r="I32" s="26"/>
      <c r="J32" s="24">
        <f>+'[2]App.2-B_FA Cont MIFRS 2012'!M31</f>
        <v>-10188.23</v>
      </c>
      <c r="K32" s="24">
        <f>-14566-6000-4361</f>
        <v>-24927</v>
      </c>
      <c r="L32" s="27"/>
      <c r="M32" s="25">
        <f t="shared" si="1"/>
        <v>-35115.229999999996</v>
      </c>
      <c r="N32" s="28">
        <f t="shared" si="2"/>
        <v>507249.77</v>
      </c>
    </row>
    <row r="33" spans="1:14" ht="14.4">
      <c r="A33" s="29" t="s">
        <v>19</v>
      </c>
      <c r="B33" s="29">
        <v>1905</v>
      </c>
      <c r="C33" s="30" t="s">
        <v>20</v>
      </c>
      <c r="D33" s="23"/>
      <c r="E33" s="24">
        <f>+'[2]App.2-B_FA Cont MIFRS 2012'!H32</f>
        <v>0</v>
      </c>
      <c r="F33" s="24"/>
      <c r="G33" s="27"/>
      <c r="H33" s="25">
        <f t="shared" si="0"/>
        <v>0</v>
      </c>
      <c r="I33" s="26"/>
      <c r="J33" s="24">
        <f>+'[2]App.2-B_FA Cont MIFRS 2012'!M32</f>
        <v>0</v>
      </c>
      <c r="K33" s="24"/>
      <c r="L33" s="27"/>
      <c r="M33" s="25">
        <f t="shared" si="1"/>
        <v>0</v>
      </c>
      <c r="N33" s="28">
        <f t="shared" si="2"/>
        <v>0</v>
      </c>
    </row>
    <row r="34" spans="1:14" ht="14.4">
      <c r="A34" s="21">
        <v>47</v>
      </c>
      <c r="B34" s="21">
        <v>1908</v>
      </c>
      <c r="C34" s="31" t="s">
        <v>34</v>
      </c>
      <c r="D34" s="23"/>
      <c r="E34" s="24">
        <f>+'[2]App.2-B_FA Cont MIFRS 2012'!H33</f>
        <v>0</v>
      </c>
      <c r="F34" s="24"/>
      <c r="G34" s="27"/>
      <c r="H34" s="25">
        <f t="shared" si="0"/>
        <v>0</v>
      </c>
      <c r="I34" s="26"/>
      <c r="J34" s="24">
        <f>+'[2]App.2-B_FA Cont MIFRS 2012'!M33</f>
        <v>0</v>
      </c>
      <c r="K34" s="24"/>
      <c r="L34" s="27"/>
      <c r="M34" s="25">
        <f t="shared" si="1"/>
        <v>0</v>
      </c>
      <c r="N34" s="28">
        <f t="shared" si="2"/>
        <v>0</v>
      </c>
    </row>
    <row r="35" spans="1:14" ht="14.4">
      <c r="A35" s="21">
        <v>13</v>
      </c>
      <c r="B35" s="21">
        <v>1910</v>
      </c>
      <c r="C35" s="31" t="s">
        <v>22</v>
      </c>
      <c r="D35" s="23"/>
      <c r="E35" s="24">
        <f>+'[2]App.2-B_FA Cont MIFRS 2012'!H34</f>
        <v>0</v>
      </c>
      <c r="F35" s="24"/>
      <c r="G35" s="27"/>
      <c r="H35" s="25">
        <f t="shared" si="0"/>
        <v>0</v>
      </c>
      <c r="I35" s="26"/>
      <c r="J35" s="24">
        <f>+'[2]App.2-B_FA Cont MIFRS 2012'!M34</f>
        <v>0</v>
      </c>
      <c r="K35" s="24"/>
      <c r="L35" s="27"/>
      <c r="M35" s="25">
        <f t="shared" si="1"/>
        <v>0</v>
      </c>
      <c r="N35" s="28">
        <f t="shared" si="2"/>
        <v>0</v>
      </c>
    </row>
    <row r="36" spans="1:14" ht="14.4">
      <c r="A36" s="21">
        <v>8</v>
      </c>
      <c r="B36" s="21">
        <v>1915</v>
      </c>
      <c r="C36" s="31" t="s">
        <v>35</v>
      </c>
      <c r="D36" s="23">
        <v>0.1</v>
      </c>
      <c r="E36" s="24">
        <f>+'[2]App.2-B_FA Cont MIFRS 2012'!H35</f>
        <v>267476.14999999997</v>
      </c>
      <c r="F36" s="24">
        <v>2000</v>
      </c>
      <c r="G36" s="27"/>
      <c r="H36" s="25">
        <f t="shared" si="0"/>
        <v>269476.14999999997</v>
      </c>
      <c r="I36" s="26"/>
      <c r="J36" s="24">
        <f>+'[2]App.2-B_FA Cont MIFRS 2012'!M35</f>
        <v>-193923.6</v>
      </c>
      <c r="K36" s="24">
        <v>-8245</v>
      </c>
      <c r="L36" s="27"/>
      <c r="M36" s="25">
        <f t="shared" si="1"/>
        <v>-202168.6</v>
      </c>
      <c r="N36" s="28">
        <f t="shared" si="2"/>
        <v>67307.549999999959</v>
      </c>
    </row>
    <row r="37" spans="1:14" ht="14.4">
      <c r="A37" s="21">
        <v>8</v>
      </c>
      <c r="B37" s="21">
        <v>1915</v>
      </c>
      <c r="C37" s="31" t="s">
        <v>36</v>
      </c>
      <c r="D37" s="23"/>
      <c r="E37" s="24">
        <f>+'[2]App.2-B_FA Cont MIFRS 2012'!H36</f>
        <v>0</v>
      </c>
      <c r="F37" s="24"/>
      <c r="G37" s="27"/>
      <c r="H37" s="25">
        <f t="shared" si="0"/>
        <v>0</v>
      </c>
      <c r="I37" s="26"/>
      <c r="J37" s="24">
        <f>+'[2]App.2-B_FA Cont MIFRS 2012'!M36</f>
        <v>0</v>
      </c>
      <c r="K37" s="24"/>
      <c r="L37" s="27"/>
      <c r="M37" s="25">
        <f t="shared" si="1"/>
        <v>0</v>
      </c>
      <c r="N37" s="28">
        <f t="shared" si="2"/>
        <v>0</v>
      </c>
    </row>
    <row r="38" spans="1:14" ht="14.4">
      <c r="A38" s="21">
        <v>10</v>
      </c>
      <c r="B38" s="21">
        <v>1920</v>
      </c>
      <c r="C38" s="31" t="s">
        <v>37</v>
      </c>
      <c r="D38" s="23">
        <v>0.2</v>
      </c>
      <c r="E38" s="24">
        <f>+'[2]App.2-B_FA Cont MIFRS 2012'!H37</f>
        <v>275946.02999999997</v>
      </c>
      <c r="F38" s="24"/>
      <c r="G38" s="27"/>
      <c r="H38" s="25">
        <f t="shared" si="0"/>
        <v>275946.02999999997</v>
      </c>
      <c r="I38" s="26"/>
      <c r="J38" s="24">
        <f>+'[2]App.2-B_FA Cont MIFRS 2012'!M37</f>
        <v>-152871.07</v>
      </c>
      <c r="K38" s="24"/>
      <c r="L38" s="27"/>
      <c r="M38" s="25">
        <f t="shared" si="1"/>
        <v>-152871.07</v>
      </c>
      <c r="N38" s="28">
        <f t="shared" si="2"/>
        <v>123074.95999999996</v>
      </c>
    </row>
    <row r="39" spans="1:14" ht="26.4">
      <c r="A39" s="21">
        <v>45</v>
      </c>
      <c r="B39" s="32">
        <v>1920</v>
      </c>
      <c r="C39" s="22" t="s">
        <v>38</v>
      </c>
      <c r="D39" s="23">
        <v>0.2</v>
      </c>
      <c r="E39" s="24">
        <f>+'[2]App.2-B_FA Cont MIFRS 2012'!H38</f>
        <v>52211.630000000005</v>
      </c>
      <c r="F39" s="24"/>
      <c r="G39" s="27"/>
      <c r="H39" s="25">
        <f t="shared" si="0"/>
        <v>52211.630000000005</v>
      </c>
      <c r="I39" s="26"/>
      <c r="J39" s="24">
        <f>+'[2]App.2-B_FA Cont MIFRS 2012'!M38</f>
        <v>-146240.59</v>
      </c>
      <c r="K39" s="24"/>
      <c r="L39" s="27"/>
      <c r="M39" s="25">
        <f t="shared" si="1"/>
        <v>-146240.59</v>
      </c>
      <c r="N39" s="28">
        <f t="shared" si="2"/>
        <v>-94028.959999999992</v>
      </c>
    </row>
    <row r="40" spans="1:14" ht="26.4">
      <c r="A40" s="21">
        <v>45.1</v>
      </c>
      <c r="B40" s="32">
        <v>1920</v>
      </c>
      <c r="C40" s="22" t="s">
        <v>39</v>
      </c>
      <c r="D40" s="23">
        <v>0.2</v>
      </c>
      <c r="E40" s="24">
        <f>+'[2]App.2-B_FA Cont MIFRS 2012'!H39</f>
        <v>175836.7</v>
      </c>
      <c r="F40" s="24">
        <v>28600</v>
      </c>
      <c r="G40" s="27"/>
      <c r="H40" s="25">
        <f t="shared" si="0"/>
        <v>204436.7</v>
      </c>
      <c r="I40" s="26"/>
      <c r="J40" s="24">
        <f>+'[2]App.2-B_FA Cont MIFRS 2012'!M39</f>
        <v>-124771.88</v>
      </c>
      <c r="K40" s="24">
        <f>-2548-19789</f>
        <v>-22337</v>
      </c>
      <c r="L40" s="27"/>
      <c r="M40" s="25">
        <f t="shared" si="1"/>
        <v>-147108.88</v>
      </c>
      <c r="N40" s="28">
        <f t="shared" si="2"/>
        <v>57327.820000000007</v>
      </c>
    </row>
    <row r="41" spans="1:14" ht="26.4">
      <c r="A41" s="21">
        <v>12</v>
      </c>
      <c r="B41" s="32">
        <v>1925</v>
      </c>
      <c r="C41" s="31" t="s">
        <v>16</v>
      </c>
      <c r="D41" s="23">
        <v>0.33329999999999999</v>
      </c>
      <c r="E41" s="24">
        <f>+'[2]App.2-B_FA Cont MIFRS 2012'!H40</f>
        <v>994456.07</v>
      </c>
      <c r="F41" s="24">
        <v>45000</v>
      </c>
      <c r="G41" s="27"/>
      <c r="H41" s="25">
        <f t="shared" si="0"/>
        <v>1039456.07</v>
      </c>
      <c r="I41" s="26"/>
      <c r="J41" s="24">
        <f>+'[2]App.2-B_FA Cont MIFRS 2012'!M40</f>
        <v>-850420.16</v>
      </c>
      <c r="K41" s="24">
        <v>-47960</v>
      </c>
      <c r="L41" s="27"/>
      <c r="M41" s="25">
        <f t="shared" si="1"/>
        <v>-898380.16</v>
      </c>
      <c r="N41" s="28">
        <f t="shared" si="2"/>
        <v>141075.90999999992</v>
      </c>
    </row>
    <row r="42" spans="1:14" ht="14.4">
      <c r="A42" s="21">
        <v>10</v>
      </c>
      <c r="B42" s="21">
        <v>1930</v>
      </c>
      <c r="C42" s="31" t="s">
        <v>40</v>
      </c>
      <c r="D42" s="23">
        <v>0.125</v>
      </c>
      <c r="E42" s="24">
        <f>+'[2]App.2-B_FA Cont MIFRS 2012'!H41</f>
        <v>2284171.0300000003</v>
      </c>
      <c r="F42" s="24">
        <v>400000</v>
      </c>
      <c r="G42" s="27">
        <v>-50000</v>
      </c>
      <c r="H42" s="25">
        <f t="shared" si="0"/>
        <v>2634171.0300000003</v>
      </c>
      <c r="I42" s="26"/>
      <c r="J42" s="24">
        <f>+'[2]App.2-B_FA Cont MIFRS 2012'!M41</f>
        <v>-1136516.2000000002</v>
      </c>
      <c r="K42" s="24">
        <v>-126308</v>
      </c>
      <c r="L42" s="27">
        <v>50000</v>
      </c>
      <c r="M42" s="25">
        <f t="shared" si="1"/>
        <v>-1212824.2000000002</v>
      </c>
      <c r="N42" s="28">
        <f t="shared" si="2"/>
        <v>1421346.83</v>
      </c>
    </row>
    <row r="43" spans="1:14" ht="14.4">
      <c r="A43" s="21">
        <v>8</v>
      </c>
      <c r="B43" s="21">
        <v>1935</v>
      </c>
      <c r="C43" s="31" t="s">
        <v>41</v>
      </c>
      <c r="D43" s="23">
        <v>0.1</v>
      </c>
      <c r="E43" s="24">
        <f>+'[2]App.2-B_FA Cont MIFRS 2012'!H42</f>
        <v>85037.21</v>
      </c>
      <c r="F43" s="24"/>
      <c r="G43" s="27"/>
      <c r="H43" s="25">
        <f t="shared" si="0"/>
        <v>85037.21</v>
      </c>
      <c r="I43" s="26"/>
      <c r="J43" s="24">
        <f>+'[2]App.2-B_FA Cont MIFRS 2012'!M42</f>
        <v>-32052.989999999998</v>
      </c>
      <c r="K43" s="24">
        <v>-5887</v>
      </c>
      <c r="L43" s="27"/>
      <c r="M43" s="25">
        <f t="shared" si="1"/>
        <v>-37939.99</v>
      </c>
      <c r="N43" s="28">
        <f t="shared" si="2"/>
        <v>47097.220000000008</v>
      </c>
    </row>
    <row r="44" spans="1:14" ht="14.4">
      <c r="A44" s="21">
        <v>8</v>
      </c>
      <c r="B44" s="21">
        <v>1940</v>
      </c>
      <c r="C44" s="31" t="s">
        <v>42</v>
      </c>
      <c r="D44" s="23">
        <v>0.1</v>
      </c>
      <c r="E44" s="24">
        <f>+'[2]App.2-B_FA Cont MIFRS 2012'!H43</f>
        <v>368780.97000000003</v>
      </c>
      <c r="F44" s="24">
        <v>72000</v>
      </c>
      <c r="G44" s="27"/>
      <c r="H44" s="25">
        <f t="shared" si="0"/>
        <v>440780.97000000003</v>
      </c>
      <c r="I44" s="26"/>
      <c r="J44" s="24">
        <f>+'[2]App.2-B_FA Cont MIFRS 2012'!M43</f>
        <v>-199219.91</v>
      </c>
      <c r="K44" s="24">
        <v>-22040</v>
      </c>
      <c r="L44" s="27"/>
      <c r="M44" s="25">
        <f t="shared" si="1"/>
        <v>-221259.91</v>
      </c>
      <c r="N44" s="28">
        <f t="shared" si="2"/>
        <v>219521.06000000003</v>
      </c>
    </row>
    <row r="45" spans="1:14" ht="14.4">
      <c r="A45" s="21">
        <v>8</v>
      </c>
      <c r="B45" s="21">
        <v>1945</v>
      </c>
      <c r="C45" s="31" t="s">
        <v>43</v>
      </c>
      <c r="D45" s="23">
        <v>0.1</v>
      </c>
      <c r="E45" s="24">
        <f>+'[2]App.2-B_FA Cont MIFRS 2012'!H44</f>
        <v>67543.58</v>
      </c>
      <c r="F45" s="24"/>
      <c r="G45" s="27"/>
      <c r="H45" s="25">
        <f t="shared" si="0"/>
        <v>67543.58</v>
      </c>
      <c r="I45" s="26"/>
      <c r="J45" s="24">
        <f>+'[2]App.2-B_FA Cont MIFRS 2012'!M44</f>
        <v>-38244.46</v>
      </c>
      <c r="K45" s="24">
        <v>-3255</v>
      </c>
      <c r="L45" s="27"/>
      <c r="M45" s="25">
        <f t="shared" si="1"/>
        <v>-41499.46</v>
      </c>
      <c r="N45" s="28">
        <f t="shared" si="2"/>
        <v>26044.120000000003</v>
      </c>
    </row>
    <row r="46" spans="1:14" ht="14.4">
      <c r="A46" s="21">
        <v>8</v>
      </c>
      <c r="B46" s="21">
        <v>1950</v>
      </c>
      <c r="C46" s="31" t="s">
        <v>44</v>
      </c>
      <c r="D46" s="23">
        <v>0.125</v>
      </c>
      <c r="E46" s="24">
        <f>+'[2]App.2-B_FA Cont MIFRS 2012'!H45</f>
        <v>89271.959999999992</v>
      </c>
      <c r="F46" s="24"/>
      <c r="G46" s="33"/>
      <c r="H46" s="25">
        <f t="shared" si="0"/>
        <v>89271.959999999992</v>
      </c>
      <c r="I46" s="26"/>
      <c r="J46" s="24">
        <f>+'[2]App.2-B_FA Cont MIFRS 2012'!M45</f>
        <v>-42557.120000000003</v>
      </c>
      <c r="K46" s="24">
        <v>-5190</v>
      </c>
      <c r="L46" s="33"/>
      <c r="M46" s="25">
        <f t="shared" si="1"/>
        <v>-47747.12</v>
      </c>
      <c r="N46" s="28">
        <f t="shared" si="2"/>
        <v>41524.839999999989</v>
      </c>
    </row>
    <row r="47" spans="1:14" ht="14.4">
      <c r="A47" s="21">
        <v>8</v>
      </c>
      <c r="B47" s="21">
        <v>1955</v>
      </c>
      <c r="C47" s="31" t="s">
        <v>45</v>
      </c>
      <c r="D47" s="23">
        <v>0.1</v>
      </c>
      <c r="E47" s="24">
        <f>+'[2]App.2-B_FA Cont MIFRS 2012'!H46</f>
        <v>176173.24</v>
      </c>
      <c r="F47" s="24"/>
      <c r="G47" s="27"/>
      <c r="H47" s="25">
        <f t="shared" si="0"/>
        <v>176173.24</v>
      </c>
      <c r="I47" s="26"/>
      <c r="J47" s="24">
        <f>+'[2]App.2-B_FA Cont MIFRS 2012'!M46</f>
        <v>-114278.53</v>
      </c>
      <c r="K47" s="24">
        <v>-8288</v>
      </c>
      <c r="L47" s="27"/>
      <c r="M47" s="25">
        <f t="shared" si="1"/>
        <v>-122566.53</v>
      </c>
      <c r="N47" s="28">
        <f t="shared" si="2"/>
        <v>53606.709999999992</v>
      </c>
    </row>
    <row r="48" spans="1:14" ht="14.4">
      <c r="A48" s="34">
        <v>8</v>
      </c>
      <c r="B48" s="34">
        <v>1955</v>
      </c>
      <c r="C48" s="35" t="s">
        <v>46</v>
      </c>
      <c r="D48" s="23"/>
      <c r="E48" s="24">
        <f>+'[2]App.2-B_FA Cont MIFRS 2012'!H47</f>
        <v>0</v>
      </c>
      <c r="F48" s="24"/>
      <c r="G48" s="27"/>
      <c r="H48" s="25">
        <f t="shared" si="0"/>
        <v>0</v>
      </c>
      <c r="I48" s="26"/>
      <c r="J48" s="24">
        <f>+'[2]App.2-B_FA Cont MIFRS 2012'!M47</f>
        <v>0</v>
      </c>
      <c r="K48" s="24"/>
      <c r="L48" s="27"/>
      <c r="M48" s="25">
        <f t="shared" si="1"/>
        <v>0</v>
      </c>
      <c r="N48" s="28">
        <f t="shared" si="2"/>
        <v>0</v>
      </c>
    </row>
    <row r="49" spans="1:14" ht="14.4">
      <c r="A49" s="32">
        <v>8</v>
      </c>
      <c r="B49" s="32">
        <v>1960</v>
      </c>
      <c r="C49" s="22" t="s">
        <v>47</v>
      </c>
      <c r="D49" s="23">
        <v>0.1</v>
      </c>
      <c r="E49" s="24">
        <f>+'[2]App.2-B_FA Cont MIFRS 2012'!H48</f>
        <v>83493.47</v>
      </c>
      <c r="F49" s="24">
        <v>45000</v>
      </c>
      <c r="G49" s="27"/>
      <c r="H49" s="25">
        <f t="shared" si="0"/>
        <v>128493.47</v>
      </c>
      <c r="I49" s="26"/>
      <c r="J49" s="24">
        <f>+'[2]App.2-B_FA Cont MIFRS 2012'!M48</f>
        <v>-33204.11</v>
      </c>
      <c r="K49" s="24">
        <v>-7712</v>
      </c>
      <c r="L49" s="27"/>
      <c r="M49" s="25">
        <f t="shared" si="1"/>
        <v>-40916.11</v>
      </c>
      <c r="N49" s="28">
        <f t="shared" si="2"/>
        <v>87577.36</v>
      </c>
    </row>
    <row r="50" spans="1:14" ht="14.4">
      <c r="A50" s="21">
        <v>47</v>
      </c>
      <c r="B50" s="21">
        <v>1975</v>
      </c>
      <c r="C50" s="31" t="s">
        <v>48</v>
      </c>
      <c r="D50" s="23">
        <v>0.1</v>
      </c>
      <c r="E50" s="24">
        <f>+'[2]App.2-B_FA Cont MIFRS 2012'!H49</f>
        <v>258630.5</v>
      </c>
      <c r="F50" s="24"/>
      <c r="G50" s="27"/>
      <c r="H50" s="25">
        <f t="shared" si="0"/>
        <v>258630.5</v>
      </c>
      <c r="I50" s="26"/>
      <c r="J50" s="24">
        <f>+'[2]App.2-B_FA Cont MIFRS 2012'!M49</f>
        <v>-258630.5</v>
      </c>
      <c r="K50" s="24"/>
      <c r="L50" s="27"/>
      <c r="M50" s="25">
        <f t="shared" si="1"/>
        <v>-258630.5</v>
      </c>
      <c r="N50" s="28">
        <f t="shared" si="2"/>
        <v>0</v>
      </c>
    </row>
    <row r="51" spans="1:14" ht="14.4">
      <c r="A51" s="21">
        <v>47</v>
      </c>
      <c r="B51" s="21">
        <v>1980</v>
      </c>
      <c r="C51" s="31" t="s">
        <v>49</v>
      </c>
      <c r="D51" s="23"/>
      <c r="E51" s="24">
        <f>+'[2]App.2-B_FA Cont MIFRS 2012'!H50</f>
        <v>0</v>
      </c>
      <c r="F51" s="24"/>
      <c r="G51" s="27"/>
      <c r="H51" s="25">
        <f t="shared" si="0"/>
        <v>0</v>
      </c>
      <c r="I51" s="26"/>
      <c r="J51" s="24">
        <f>+'[2]App.2-B_FA Cont MIFRS 2012'!M50</f>
        <v>0</v>
      </c>
      <c r="K51" s="24"/>
      <c r="L51" s="27"/>
      <c r="M51" s="25">
        <f t="shared" si="1"/>
        <v>0</v>
      </c>
      <c r="N51" s="28">
        <f t="shared" si="2"/>
        <v>0</v>
      </c>
    </row>
    <row r="52" spans="1:14" ht="14.4">
      <c r="A52" s="21">
        <v>47</v>
      </c>
      <c r="B52" s="21">
        <v>1985</v>
      </c>
      <c r="C52" s="31" t="s">
        <v>50</v>
      </c>
      <c r="D52" s="23">
        <v>0.1</v>
      </c>
      <c r="E52" s="24">
        <f>+'[2]App.2-B_FA Cont MIFRS 2012'!H51</f>
        <v>1427</v>
      </c>
      <c r="F52" s="24"/>
      <c r="G52" s="27"/>
      <c r="H52" s="25">
        <f t="shared" si="0"/>
        <v>1427</v>
      </c>
      <c r="I52" s="26"/>
      <c r="J52" s="24">
        <f>+'[2]App.2-B_FA Cont MIFRS 2012'!M51</f>
        <v>-1426.68</v>
      </c>
      <c r="K52" s="24"/>
      <c r="L52" s="27"/>
      <c r="M52" s="25">
        <f t="shared" si="1"/>
        <v>-1426.68</v>
      </c>
      <c r="N52" s="28">
        <f t="shared" si="2"/>
        <v>0.31999999999993634</v>
      </c>
    </row>
    <row r="53" spans="1:14" ht="14.4">
      <c r="A53" s="21">
        <v>47</v>
      </c>
      <c r="B53" s="21">
        <v>1995</v>
      </c>
      <c r="C53" s="31" t="s">
        <v>51</v>
      </c>
      <c r="D53" s="23">
        <v>0.04</v>
      </c>
      <c r="E53" s="24">
        <f>+'[2]App.2-B_FA Cont MIFRS 2012'!H52</f>
        <v>-8555289.3499999996</v>
      </c>
      <c r="F53" s="24">
        <v>-373740</v>
      </c>
      <c r="G53" s="27"/>
      <c r="H53" s="25">
        <f t="shared" si="0"/>
        <v>-8929029.3499999996</v>
      </c>
      <c r="I53" s="26"/>
      <c r="J53" s="24">
        <f>+'[2]App.2-B_FA Cont MIFRS 2012'!M52</f>
        <v>1860742.5499999998</v>
      </c>
      <c r="K53" s="24">
        <v>147888</v>
      </c>
      <c r="L53" s="27"/>
      <c r="M53" s="25">
        <f t="shared" si="1"/>
        <v>2008630.5499999998</v>
      </c>
      <c r="N53" s="28">
        <f t="shared" si="2"/>
        <v>-6920398.7999999998</v>
      </c>
    </row>
    <row r="54" spans="1:14" ht="14.4">
      <c r="A54" s="36"/>
      <c r="B54" s="36" t="s">
        <v>52</v>
      </c>
      <c r="C54" s="37"/>
      <c r="D54" s="23"/>
      <c r="E54" s="24"/>
      <c r="F54" s="24"/>
      <c r="G54" s="24"/>
      <c r="H54" s="25">
        <f t="shared" si="0"/>
        <v>0</v>
      </c>
      <c r="J54" s="24"/>
      <c r="K54" s="24"/>
      <c r="L54" s="24"/>
      <c r="M54" s="25">
        <f t="shared" si="1"/>
        <v>0</v>
      </c>
      <c r="N54" s="28">
        <f t="shared" si="2"/>
        <v>0</v>
      </c>
    </row>
    <row r="55" spans="1:14" ht="14.4">
      <c r="A55" s="36"/>
      <c r="B55" s="36"/>
      <c r="C55" s="37"/>
      <c r="D55" s="23"/>
      <c r="E55" s="38"/>
      <c r="F55" s="38"/>
      <c r="G55" s="38"/>
      <c r="H55" s="37"/>
      <c r="J55" s="38"/>
      <c r="K55" s="24"/>
      <c r="L55" s="38"/>
      <c r="M55" s="37"/>
      <c r="N55" s="37"/>
    </row>
    <row r="56" spans="1:14">
      <c r="A56" s="36"/>
      <c r="B56" s="36"/>
      <c r="C56" s="39" t="s">
        <v>0</v>
      </c>
      <c r="D56" s="39"/>
      <c r="E56" s="40">
        <f>SUM(E17:E55)</f>
        <v>49593956.400000013</v>
      </c>
      <c r="F56" s="40">
        <f t="shared" ref="F56:H56" si="3">SUM(F17:F55)</f>
        <v>4954040</v>
      </c>
      <c r="G56" s="40">
        <f t="shared" si="3"/>
        <v>-50000</v>
      </c>
      <c r="H56" s="40">
        <f t="shared" si="3"/>
        <v>54497996.400000013</v>
      </c>
      <c r="I56" s="40"/>
      <c r="J56" s="40">
        <f>SUM(J17:J55)</f>
        <v>-18060741.816666666</v>
      </c>
      <c r="K56" s="40">
        <f t="shared" ref="K56:N56" si="4">SUM(K17:K55)</f>
        <v>-1202214.4333333333</v>
      </c>
      <c r="L56" s="40">
        <f t="shared" si="4"/>
        <v>50000</v>
      </c>
      <c r="M56" s="40">
        <f t="shared" si="4"/>
        <v>-19212956.25</v>
      </c>
      <c r="N56" s="40">
        <f t="shared" si="4"/>
        <v>35285040.149999991</v>
      </c>
    </row>
    <row r="57" spans="1:14">
      <c r="A57" s="36"/>
      <c r="B57" s="36"/>
      <c r="C57" s="37" t="s">
        <v>61</v>
      </c>
      <c r="D57" s="39"/>
      <c r="E57" s="40"/>
      <c r="F57" s="40"/>
      <c r="G57" s="49"/>
      <c r="H57" s="40"/>
      <c r="I57" s="49"/>
      <c r="J57" s="40"/>
      <c r="K57" s="40"/>
      <c r="L57" s="49"/>
      <c r="M57" s="40"/>
      <c r="N57" s="40"/>
    </row>
    <row r="58" spans="1:14" ht="14.4">
      <c r="A58" s="36">
        <v>8</v>
      </c>
      <c r="B58" s="36">
        <v>1860</v>
      </c>
      <c r="C58" s="37" t="s">
        <v>33</v>
      </c>
      <c r="D58" s="23">
        <v>6.6699999999999995E-2</v>
      </c>
      <c r="E58" s="24">
        <f>+'[2]App.2-B_Fixed Asset Cont 2013'!E57</f>
        <v>3446141</v>
      </c>
      <c r="F58" s="24"/>
      <c r="G58" s="27"/>
      <c r="H58" s="25">
        <f t="shared" ref="H58:H60" si="5">E58+F58+G58</f>
        <v>3446141</v>
      </c>
      <c r="I58" s="26"/>
      <c r="J58" s="24">
        <f>+'[2]App.2-B_Fixed Asset Cont 2013'!J57</f>
        <v>-656079</v>
      </c>
      <c r="K58" s="24">
        <f>+'[2]App.2-B_Fixed Asset Cont 2013'!K57</f>
        <v>-229743</v>
      </c>
      <c r="L58" s="27"/>
      <c r="M58" s="25">
        <f t="shared" ref="M58:M60" si="6">J58+K58+L58</f>
        <v>-885822</v>
      </c>
      <c r="N58" s="28">
        <f t="shared" ref="N58:N60" si="7">H58+M58</f>
        <v>2560319</v>
      </c>
    </row>
    <row r="59" spans="1:14" ht="14.4">
      <c r="A59" s="36">
        <v>45.1</v>
      </c>
      <c r="B59" s="36">
        <v>1920</v>
      </c>
      <c r="C59" s="37" t="s">
        <v>62</v>
      </c>
      <c r="D59" s="23">
        <v>0.2</v>
      </c>
      <c r="E59" s="24">
        <f>+'[2]App.2-B_Fixed Asset Cont 2013'!E58</f>
        <v>62873</v>
      </c>
      <c r="F59" s="24"/>
      <c r="G59" s="27"/>
      <c r="H59" s="25">
        <f t="shared" si="5"/>
        <v>62873</v>
      </c>
      <c r="I59" s="26"/>
      <c r="J59" s="24">
        <f>+'[2]App.2-B_Fixed Asset Cont 2013'!J58</f>
        <v>-35193</v>
      </c>
      <c r="K59" s="24">
        <f>+'[2]App.2-B_Fixed Asset Cont 2013'!K58</f>
        <v>-12575</v>
      </c>
      <c r="L59" s="27"/>
      <c r="M59" s="25">
        <f t="shared" si="6"/>
        <v>-47768</v>
      </c>
      <c r="N59" s="28">
        <f t="shared" si="7"/>
        <v>15105</v>
      </c>
    </row>
    <row r="60" spans="1:14" ht="14.4">
      <c r="A60" s="50">
        <v>12</v>
      </c>
      <c r="B60" s="50">
        <v>1925</v>
      </c>
      <c r="C60" s="51" t="s">
        <v>63</v>
      </c>
      <c r="D60" s="23">
        <v>0.33329999999999999</v>
      </c>
      <c r="E60" s="24">
        <f>+'[2]App.2-B_Fixed Asset Cont 2013'!E59</f>
        <v>274217</v>
      </c>
      <c r="F60" s="24"/>
      <c r="G60" s="27"/>
      <c r="H60" s="25">
        <f t="shared" si="5"/>
        <v>274217</v>
      </c>
      <c r="I60" s="26"/>
      <c r="J60" s="24">
        <f>+'[2]App.2-B_Fixed Asset Cont 2013'!J59</f>
        <v>-81848</v>
      </c>
      <c r="K60" s="24">
        <f>+'[2]App.2-B_Fixed Asset Cont 2013'!K59</f>
        <v>-54843</v>
      </c>
      <c r="L60" s="27"/>
      <c r="M60" s="25">
        <f t="shared" si="6"/>
        <v>-136691</v>
      </c>
      <c r="N60" s="28">
        <f t="shared" si="7"/>
        <v>137526</v>
      </c>
    </row>
    <row r="61" spans="1:14">
      <c r="A61" s="52"/>
      <c r="B61" s="52"/>
      <c r="C61" s="53" t="s">
        <v>64</v>
      </c>
      <c r="D61" s="53"/>
      <c r="E61" s="40">
        <f>SUM(E56:E60)</f>
        <v>53377187.400000013</v>
      </c>
      <c r="F61" s="40">
        <f>SUM(F56:F60)</f>
        <v>4954040</v>
      </c>
      <c r="G61" s="40">
        <f>SUM(G56:G60)</f>
        <v>-50000</v>
      </c>
      <c r="H61" s="40">
        <f>SUM(H56:H60)</f>
        <v>58281227.400000013</v>
      </c>
      <c r="I61" s="49"/>
      <c r="J61" s="40">
        <f>SUM(J56:J60)</f>
        <v>-18833861.816666666</v>
      </c>
      <c r="K61" s="40">
        <f>SUM(K56:K60)</f>
        <v>-1499375.4333333333</v>
      </c>
      <c r="L61" s="40">
        <f>SUM(L56:L60)</f>
        <v>50000</v>
      </c>
      <c r="M61" s="40">
        <f>SUM(M56:M60)</f>
        <v>-20283237.25</v>
      </c>
      <c r="N61" s="40">
        <f>SUM(N56:N60)</f>
        <v>37997990.149999991</v>
      </c>
    </row>
    <row r="63" spans="1:14">
      <c r="D63" s="3"/>
      <c r="J63" s="41" t="s">
        <v>53</v>
      </c>
      <c r="K63" s="42"/>
    </row>
    <row r="64" spans="1:14" ht="14.4">
      <c r="A64" s="36">
        <v>10</v>
      </c>
      <c r="B64" s="36"/>
      <c r="C64" s="37" t="s">
        <v>54</v>
      </c>
      <c r="D64" s="3"/>
      <c r="E64" s="54"/>
      <c r="J64" s="42" t="s">
        <v>54</v>
      </c>
      <c r="K64" s="42"/>
      <c r="L64" s="43"/>
    </row>
    <row r="65" spans="1:14" ht="14.4">
      <c r="A65" s="36">
        <v>8</v>
      </c>
      <c r="B65" s="36"/>
      <c r="C65" s="37" t="s">
        <v>41</v>
      </c>
      <c r="E65" s="54"/>
      <c r="J65" s="42" t="s">
        <v>41</v>
      </c>
      <c r="K65" s="42"/>
      <c r="L65" s="44"/>
    </row>
    <row r="66" spans="1:14" ht="14.4">
      <c r="E66" s="54"/>
      <c r="J66" s="45" t="s">
        <v>55</v>
      </c>
      <c r="L66" s="46">
        <f>L56-L64-L65</f>
        <v>50000</v>
      </c>
    </row>
    <row r="68" spans="1:14">
      <c r="A68" s="47" t="s">
        <v>56</v>
      </c>
    </row>
    <row r="70" spans="1:14">
      <c r="A70" s="1">
        <v>1</v>
      </c>
      <c r="B70" s="203" t="s">
        <v>57</v>
      </c>
      <c r="C70" s="203"/>
      <c r="D70" s="203"/>
      <c r="E70" s="203"/>
      <c r="F70" s="203"/>
      <c r="G70" s="203"/>
      <c r="H70" s="203"/>
      <c r="I70" s="203"/>
      <c r="J70" s="203"/>
      <c r="K70" s="203"/>
      <c r="L70" s="203"/>
      <c r="M70" s="203"/>
      <c r="N70" s="203"/>
    </row>
    <row r="71" spans="1:14" ht="12.75" customHeight="1">
      <c r="B71" s="203"/>
      <c r="C71" s="203"/>
      <c r="D71" s="203"/>
      <c r="E71" s="203"/>
      <c r="F71" s="203"/>
      <c r="G71" s="203"/>
      <c r="H71" s="203"/>
      <c r="I71" s="203"/>
      <c r="J71" s="203"/>
      <c r="K71" s="203"/>
      <c r="L71" s="203"/>
      <c r="M71" s="203"/>
      <c r="N71" s="203"/>
    </row>
    <row r="73" spans="1:14">
      <c r="A73" s="1">
        <v>2</v>
      </c>
      <c r="B73" s="204" t="s">
        <v>58</v>
      </c>
      <c r="C73" s="204"/>
      <c r="D73" s="204"/>
      <c r="E73" s="204"/>
      <c r="F73" s="204"/>
      <c r="G73" s="204"/>
      <c r="H73" s="204"/>
      <c r="I73" s="204"/>
      <c r="J73" s="204"/>
      <c r="K73" s="204"/>
      <c r="L73" s="204"/>
      <c r="M73" s="204"/>
      <c r="N73" s="204"/>
    </row>
    <row r="74" spans="1:14">
      <c r="B74" s="204"/>
      <c r="C74" s="204"/>
      <c r="D74" s="204"/>
      <c r="E74" s="204"/>
      <c r="F74" s="204"/>
      <c r="G74" s="204"/>
      <c r="H74" s="204"/>
      <c r="I74" s="204"/>
      <c r="J74" s="204"/>
      <c r="K74" s="204"/>
      <c r="L74" s="204"/>
      <c r="M74" s="204"/>
      <c r="N74" s="204"/>
    </row>
    <row r="76" spans="1:14">
      <c r="A76" s="1">
        <v>3</v>
      </c>
      <c r="B76" s="198" t="s">
        <v>59</v>
      </c>
      <c r="C76" s="198"/>
      <c r="D76" s="198"/>
      <c r="E76" s="198"/>
      <c r="F76" s="198"/>
      <c r="G76" s="198"/>
      <c r="H76" s="198"/>
      <c r="I76" s="198"/>
      <c r="J76" s="198"/>
      <c r="K76" s="198"/>
      <c r="L76" s="198"/>
      <c r="M76" s="198"/>
      <c r="N76" s="198"/>
    </row>
    <row r="78" spans="1:14">
      <c r="A78" s="1">
        <v>4</v>
      </c>
      <c r="B78" s="48" t="s">
        <v>60</v>
      </c>
    </row>
  </sheetData>
  <mergeCells count="7">
    <mergeCell ref="B76:N76"/>
    <mergeCell ref="A9:N9"/>
    <mergeCell ref="A10:N10"/>
    <mergeCell ref="E15:H15"/>
    <mergeCell ref="B70:N71"/>
    <mergeCell ref="B73:N74"/>
    <mergeCell ref="A11:N11"/>
  </mergeCells>
  <printOptions horizontalCentered="1"/>
  <pageMargins left="0.74803149606299213" right="0.74803149606299213" top="0.74803149606299213" bottom="0.70866141732283472" header="0.51181102362204722" footer="0.51181102362204722"/>
  <pageSetup scale="64" fitToHeight="0" orientation="landscape" r:id="rId1"/>
  <headerFooter alignWithMargins="0"/>
</worksheet>
</file>

<file path=xl/worksheets/sheet3.xml><?xml version="1.0" encoding="utf-8"?>
<worksheet xmlns="http://schemas.openxmlformats.org/spreadsheetml/2006/main" xmlns:r="http://schemas.openxmlformats.org/officeDocument/2006/relationships">
  <dimension ref="B2:J33"/>
  <sheetViews>
    <sheetView showGridLines="0" zoomScale="90" zoomScaleNormal="90" workbookViewId="0">
      <selection activeCell="O11" sqref="O11"/>
    </sheetView>
  </sheetViews>
  <sheetFormatPr defaultRowHeight="14.4"/>
  <cols>
    <col min="2" max="2" width="5" bestFit="1" customWidth="1"/>
    <col min="3" max="3" width="31.6640625" customWidth="1"/>
    <col min="4" max="10" width="11.5546875" customWidth="1"/>
  </cols>
  <sheetData>
    <row r="2" spans="2:10">
      <c r="B2" s="65" t="s">
        <v>67</v>
      </c>
    </row>
    <row r="3" spans="2:10">
      <c r="B3" t="s">
        <v>65</v>
      </c>
      <c r="D3" s="55">
        <v>2007</v>
      </c>
      <c r="E3" s="55">
        <v>2008</v>
      </c>
      <c r="F3" s="55">
        <v>2009</v>
      </c>
      <c r="G3" s="55">
        <v>2010</v>
      </c>
      <c r="H3" s="55">
        <v>2011</v>
      </c>
      <c r="I3" s="55">
        <v>2012</v>
      </c>
      <c r="J3" s="55">
        <v>2013</v>
      </c>
    </row>
    <row r="4" spans="2:10">
      <c r="B4" s="21">
        <v>1830</v>
      </c>
      <c r="C4" s="31" t="s">
        <v>26</v>
      </c>
      <c r="D4" s="56">
        <v>28826</v>
      </c>
      <c r="E4" s="56">
        <v>92493</v>
      </c>
      <c r="F4" s="57">
        <v>225706</v>
      </c>
      <c r="G4" s="56">
        <v>52021</v>
      </c>
      <c r="H4" s="56">
        <v>65797</v>
      </c>
      <c r="I4" s="56">
        <v>36978</v>
      </c>
      <c r="J4" s="56">
        <v>35359</v>
      </c>
    </row>
    <row r="5" spans="2:10">
      <c r="B5" s="21">
        <v>1835</v>
      </c>
      <c r="C5" s="31" t="s">
        <v>27</v>
      </c>
      <c r="D5" s="56">
        <f>479407-1</f>
        <v>479406</v>
      </c>
      <c r="E5" s="56">
        <v>146887</v>
      </c>
      <c r="F5" s="57">
        <f>245179+3377</f>
        <v>248556</v>
      </c>
      <c r="G5" s="56">
        <f>52370+1</f>
        <v>52371</v>
      </c>
      <c r="H5" s="56">
        <f>66783-1</f>
        <v>66782</v>
      </c>
      <c r="I5" s="56">
        <v>45478</v>
      </c>
      <c r="J5" s="56">
        <v>43859</v>
      </c>
    </row>
    <row r="6" spans="2:10">
      <c r="B6" s="21">
        <v>1840</v>
      </c>
      <c r="C6" s="31" t="s">
        <v>28</v>
      </c>
      <c r="D6" s="56">
        <v>0</v>
      </c>
      <c r="E6" s="56">
        <v>0</v>
      </c>
      <c r="F6" s="57">
        <v>0</v>
      </c>
      <c r="G6" s="56">
        <v>0</v>
      </c>
      <c r="H6" s="56">
        <v>0</v>
      </c>
      <c r="I6" s="56">
        <v>12972</v>
      </c>
      <c r="J6" s="56">
        <v>12567</v>
      </c>
    </row>
    <row r="7" spans="2:10">
      <c r="B7" s="21">
        <v>1845</v>
      </c>
      <c r="C7" s="31" t="s">
        <v>29</v>
      </c>
      <c r="D7" s="56">
        <v>-136971</v>
      </c>
      <c r="E7" s="56">
        <v>94973</v>
      </c>
      <c r="F7" s="57">
        <v>205756</v>
      </c>
      <c r="G7" s="56">
        <v>34594</v>
      </c>
      <c r="H7" s="56">
        <v>157042</v>
      </c>
      <c r="I7" s="56">
        <v>93391</v>
      </c>
      <c r="J7" s="56">
        <v>90961</v>
      </c>
    </row>
    <row r="8" spans="2:10">
      <c r="B8" s="21">
        <v>1850</v>
      </c>
      <c r="C8" s="31" t="s">
        <v>30</v>
      </c>
      <c r="D8" s="56">
        <v>55142</v>
      </c>
      <c r="E8" s="57">
        <v>318036</v>
      </c>
      <c r="F8" s="57">
        <v>423828</v>
      </c>
      <c r="G8" s="56">
        <v>42799</v>
      </c>
      <c r="H8" s="56">
        <v>166552</v>
      </c>
      <c r="I8" s="56">
        <v>177765</v>
      </c>
      <c r="J8" s="56">
        <f>169666-1</f>
        <v>169665</v>
      </c>
    </row>
    <row r="9" spans="2:10">
      <c r="B9" s="21">
        <v>1855</v>
      </c>
      <c r="C9" s="31" t="s">
        <v>31</v>
      </c>
      <c r="D9" s="56">
        <v>305861</v>
      </c>
      <c r="E9" s="57">
        <v>217250</v>
      </c>
      <c r="F9" s="57">
        <v>114814</v>
      </c>
      <c r="G9" s="56">
        <v>103831</v>
      </c>
      <c r="H9" s="56">
        <v>142403</v>
      </c>
      <c r="I9" s="56">
        <v>41832</v>
      </c>
      <c r="J9" s="56">
        <v>41022</v>
      </c>
    </row>
    <row r="10" spans="2:10">
      <c r="B10" s="21">
        <v>1860</v>
      </c>
      <c r="C10" s="31" t="s">
        <v>32</v>
      </c>
      <c r="D10" s="56">
        <v>-54715</v>
      </c>
      <c r="E10" s="57">
        <v>22777</v>
      </c>
      <c r="F10" s="57">
        <v>45697</v>
      </c>
      <c r="G10" s="56">
        <v>1997</v>
      </c>
      <c r="H10" s="56">
        <v>34144</v>
      </c>
      <c r="I10" s="56">
        <v>25445</v>
      </c>
      <c r="J10" s="56">
        <v>24230</v>
      </c>
    </row>
    <row r="11" spans="2:10">
      <c r="B11" t="s">
        <v>0</v>
      </c>
      <c r="D11" s="58">
        <f>SUM(D4:D10)</f>
        <v>677549</v>
      </c>
      <c r="E11" s="59">
        <f t="shared" ref="E11:J11" si="0">SUM(E4:E10)</f>
        <v>892416</v>
      </c>
      <c r="F11" s="59">
        <f t="shared" si="0"/>
        <v>1264357</v>
      </c>
      <c r="G11" s="58">
        <f t="shared" si="0"/>
        <v>287613</v>
      </c>
      <c r="H11" s="58">
        <f t="shared" si="0"/>
        <v>632720</v>
      </c>
      <c r="I11" s="58">
        <f t="shared" si="0"/>
        <v>433861</v>
      </c>
      <c r="J11" s="58">
        <f t="shared" si="0"/>
        <v>417663</v>
      </c>
    </row>
    <row r="13" spans="2:10">
      <c r="B13" s="65" t="s">
        <v>66</v>
      </c>
    </row>
    <row r="14" spans="2:10">
      <c r="B14" t="s">
        <v>65</v>
      </c>
      <c r="D14" s="55">
        <v>2007</v>
      </c>
      <c r="E14" s="55">
        <v>2008</v>
      </c>
      <c r="F14" s="55">
        <v>2009</v>
      </c>
      <c r="G14" s="55">
        <v>2010</v>
      </c>
      <c r="H14" s="55">
        <v>2011</v>
      </c>
      <c r="I14" s="55">
        <v>2012</v>
      </c>
      <c r="J14" s="55">
        <v>2013</v>
      </c>
    </row>
    <row r="15" spans="2:10">
      <c r="B15" s="21">
        <v>1830</v>
      </c>
      <c r="C15" s="31" t="s">
        <v>26</v>
      </c>
      <c r="D15" s="56">
        <v>194258</v>
      </c>
      <c r="E15" s="56">
        <v>284012</v>
      </c>
      <c r="F15" s="57">
        <v>591965.42000000004</v>
      </c>
      <c r="G15" s="56">
        <v>682474.67</v>
      </c>
      <c r="H15" s="56">
        <v>542315.17000000004</v>
      </c>
      <c r="I15" s="56">
        <v>888906</v>
      </c>
      <c r="J15" s="56">
        <v>958576</v>
      </c>
    </row>
    <row r="16" spans="2:10">
      <c r="B16" s="21">
        <v>1835</v>
      </c>
      <c r="C16" s="31" t="s">
        <v>27</v>
      </c>
      <c r="D16" s="56">
        <v>622265</v>
      </c>
      <c r="E16" s="56">
        <v>325395</v>
      </c>
      <c r="F16" s="57">
        <v>664080.74</v>
      </c>
      <c r="G16" s="56">
        <v>726856.4</v>
      </c>
      <c r="H16" s="56">
        <v>673323.17</v>
      </c>
      <c r="I16" s="56">
        <v>838997</v>
      </c>
      <c r="J16" s="56">
        <v>893675</v>
      </c>
    </row>
    <row r="17" spans="2:10">
      <c r="B17" s="21">
        <v>1840</v>
      </c>
      <c r="C17" s="31" t="s">
        <v>28</v>
      </c>
      <c r="D17" s="56">
        <v>389798</v>
      </c>
      <c r="E17" s="56">
        <v>113840</v>
      </c>
      <c r="F17" s="57">
        <v>72698.66</v>
      </c>
      <c r="G17" s="56">
        <v>35402.839999999997</v>
      </c>
      <c r="H17" s="56">
        <v>338350.33</v>
      </c>
      <c r="I17" s="56">
        <v>290681</v>
      </c>
      <c r="J17" s="56">
        <v>409989</v>
      </c>
    </row>
    <row r="18" spans="2:10">
      <c r="B18" s="21">
        <v>1845</v>
      </c>
      <c r="C18" s="31" t="s">
        <v>29</v>
      </c>
      <c r="D18" s="56">
        <v>695407</v>
      </c>
      <c r="E18" s="56">
        <v>523410</v>
      </c>
      <c r="F18" s="57">
        <v>2435317.3899999997</v>
      </c>
      <c r="G18" s="56">
        <v>632802.96</v>
      </c>
      <c r="H18" s="56">
        <v>551064.43999999994</v>
      </c>
      <c r="I18" s="56">
        <v>454468</v>
      </c>
      <c r="J18" s="56">
        <v>505661</v>
      </c>
    </row>
    <row r="19" spans="2:10">
      <c r="B19" s="21">
        <v>1850</v>
      </c>
      <c r="C19" s="31" t="s">
        <v>30</v>
      </c>
      <c r="D19" s="56">
        <v>624935</v>
      </c>
      <c r="E19" s="57">
        <v>699162</v>
      </c>
      <c r="F19" s="57">
        <v>29689.070000000298</v>
      </c>
      <c r="G19" s="62">
        <f>-100985.31</f>
        <v>-100985.31</v>
      </c>
      <c r="H19" s="56">
        <v>507269.99</v>
      </c>
      <c r="I19" s="56">
        <v>592656</v>
      </c>
      <c r="J19" s="56">
        <v>627227</v>
      </c>
    </row>
    <row r="20" spans="2:10">
      <c r="B20" s="21">
        <v>1855</v>
      </c>
      <c r="C20" s="31" t="s">
        <v>31</v>
      </c>
      <c r="D20" s="56">
        <v>277646</v>
      </c>
      <c r="E20" s="57">
        <v>356816</v>
      </c>
      <c r="F20" s="57">
        <f>131842.68+212805.08</f>
        <v>344647.76</v>
      </c>
      <c r="G20" s="56">
        <f>2597670.14-2346792.82</f>
        <v>250877.3200000003</v>
      </c>
      <c r="H20" s="56">
        <v>473443.88</v>
      </c>
      <c r="I20" s="56">
        <v>637257</v>
      </c>
      <c r="J20" s="56">
        <v>658066</v>
      </c>
    </row>
    <row r="21" spans="2:10">
      <c r="B21" s="21">
        <v>1860</v>
      </c>
      <c r="C21" s="31" t="s">
        <v>32</v>
      </c>
      <c r="D21" s="56">
        <v>197357</v>
      </c>
      <c r="E21" s="57">
        <v>151290</v>
      </c>
      <c r="F21" s="57">
        <f>26507.75-125726.72+181591.75</f>
        <v>82372.78</v>
      </c>
      <c r="G21" s="56">
        <f>755419.4-943221.36+286176.86</f>
        <v>98374.900000000023</v>
      </c>
      <c r="H21" s="56">
        <v>170518</v>
      </c>
      <c r="I21" s="56">
        <v>38652</v>
      </c>
      <c r="J21" s="56">
        <v>316432</v>
      </c>
    </row>
    <row r="22" spans="2:10">
      <c r="B22" t="s">
        <v>0</v>
      </c>
      <c r="D22" s="58">
        <f>SUM(D15:D21)</f>
        <v>3001666</v>
      </c>
      <c r="E22" s="59">
        <f t="shared" ref="E22:J22" si="1">SUM(E15:E21)</f>
        <v>2453925</v>
      </c>
      <c r="F22" s="59">
        <f t="shared" si="1"/>
        <v>4220771.82</v>
      </c>
      <c r="G22" s="58">
        <f t="shared" si="1"/>
        <v>2325803.7800000003</v>
      </c>
      <c r="H22" s="58">
        <f t="shared" si="1"/>
        <v>3256284.9800000004</v>
      </c>
      <c r="I22" s="58">
        <f t="shared" si="1"/>
        <v>3741617</v>
      </c>
      <c r="J22" s="58">
        <f t="shared" si="1"/>
        <v>4369626</v>
      </c>
    </row>
    <row r="24" spans="2:10">
      <c r="B24" s="65" t="s">
        <v>68</v>
      </c>
    </row>
    <row r="25" spans="2:10">
      <c r="B25" t="s">
        <v>65</v>
      </c>
      <c r="D25" s="55">
        <v>2007</v>
      </c>
      <c r="E25" s="55">
        <v>2008</v>
      </c>
      <c r="F25" s="55">
        <v>2009</v>
      </c>
      <c r="G25" s="55">
        <v>2010</v>
      </c>
      <c r="H25" s="55">
        <v>2011</v>
      </c>
      <c r="I25" s="55">
        <v>2012</v>
      </c>
      <c r="J25" s="55">
        <v>2013</v>
      </c>
    </row>
    <row r="26" spans="2:10">
      <c r="B26" s="21">
        <v>1830</v>
      </c>
      <c r="C26" s="31" t="s">
        <v>26</v>
      </c>
      <c r="D26" s="60">
        <f t="shared" ref="D26:J33" si="2">+D4/D15</f>
        <v>0.14839028508478416</v>
      </c>
      <c r="E26" s="60">
        <f t="shared" si="2"/>
        <v>0.3256658169373125</v>
      </c>
      <c r="F26" s="60">
        <f t="shared" si="2"/>
        <v>0.38128240666490282</v>
      </c>
      <c r="G26" s="60">
        <f t="shared" si="2"/>
        <v>7.6224074367477981E-2</v>
      </c>
      <c r="H26" s="60">
        <f t="shared" si="2"/>
        <v>0.12132612849461688</v>
      </c>
      <c r="I26" s="60">
        <f t="shared" si="2"/>
        <v>4.1599449210602699E-2</v>
      </c>
      <c r="J26" s="60">
        <f t="shared" si="2"/>
        <v>3.6887007394301549E-2</v>
      </c>
    </row>
    <row r="27" spans="2:10">
      <c r="B27" s="21">
        <v>1835</v>
      </c>
      <c r="C27" s="31" t="s">
        <v>27</v>
      </c>
      <c r="D27" s="60">
        <f t="shared" si="2"/>
        <v>0.77042096213028211</v>
      </c>
      <c r="E27" s="60">
        <f t="shared" si="2"/>
        <v>0.45141136157593081</v>
      </c>
      <c r="F27" s="60">
        <f t="shared" si="2"/>
        <v>0.3742858134991236</v>
      </c>
      <c r="G27" s="60">
        <f t="shared" si="2"/>
        <v>7.2051370807218587E-2</v>
      </c>
      <c r="H27" s="60">
        <f t="shared" si="2"/>
        <v>9.9182685188154152E-2</v>
      </c>
      <c r="I27" s="60">
        <f t="shared" si="2"/>
        <v>5.4205199780213757E-2</v>
      </c>
      <c r="J27" s="60">
        <f t="shared" si="2"/>
        <v>4.9077125353176487E-2</v>
      </c>
    </row>
    <row r="28" spans="2:10">
      <c r="B28" s="21">
        <v>1840</v>
      </c>
      <c r="C28" s="31" t="s">
        <v>28</v>
      </c>
      <c r="D28" s="60">
        <f t="shared" si="2"/>
        <v>0</v>
      </c>
      <c r="E28" s="60">
        <f t="shared" si="2"/>
        <v>0</v>
      </c>
      <c r="F28" s="60">
        <f t="shared" si="2"/>
        <v>0</v>
      </c>
      <c r="G28" s="60">
        <f t="shared" si="2"/>
        <v>0</v>
      </c>
      <c r="H28" s="60">
        <f t="shared" si="2"/>
        <v>0</v>
      </c>
      <c r="I28" s="60">
        <f t="shared" si="2"/>
        <v>4.4626239761112699E-2</v>
      </c>
      <c r="J28" s="60">
        <f t="shared" si="2"/>
        <v>3.0652041884050546E-2</v>
      </c>
    </row>
    <row r="29" spans="2:10">
      <c r="B29" s="21">
        <v>1845</v>
      </c>
      <c r="C29" s="31" t="s">
        <v>29</v>
      </c>
      <c r="D29" s="60">
        <f t="shared" si="2"/>
        <v>-0.19696523043340086</v>
      </c>
      <c r="E29" s="60">
        <f t="shared" si="2"/>
        <v>0.18145048814504883</v>
      </c>
      <c r="F29" s="60">
        <f t="shared" si="2"/>
        <v>8.4488371349411673E-2</v>
      </c>
      <c r="G29" s="60">
        <f t="shared" si="2"/>
        <v>5.466788587714571E-2</v>
      </c>
      <c r="H29" s="60">
        <f t="shared" si="2"/>
        <v>0.28497937555179575</v>
      </c>
      <c r="I29" s="60">
        <f t="shared" si="2"/>
        <v>0.20549521638487198</v>
      </c>
      <c r="J29" s="60">
        <f t="shared" si="2"/>
        <v>0.17988533820088953</v>
      </c>
    </row>
    <row r="30" spans="2:10">
      <c r="B30" s="21">
        <v>1850</v>
      </c>
      <c r="C30" s="31" t="s">
        <v>30</v>
      </c>
      <c r="D30" s="60">
        <f t="shared" si="2"/>
        <v>8.8236376583164647E-2</v>
      </c>
      <c r="E30" s="60">
        <f t="shared" si="2"/>
        <v>0.45488170123662325</v>
      </c>
      <c r="F30" s="60">
        <f t="shared" si="2"/>
        <v>14.275556627405161</v>
      </c>
      <c r="G30" s="63">
        <f t="shared" si="2"/>
        <v>-0.42381411712257955</v>
      </c>
      <c r="H30" s="60">
        <f t="shared" si="2"/>
        <v>0.32833008710016537</v>
      </c>
      <c r="I30" s="60">
        <f t="shared" si="2"/>
        <v>0.29994634324127317</v>
      </c>
      <c r="J30" s="60">
        <f t="shared" si="2"/>
        <v>0.27050015385179527</v>
      </c>
    </row>
    <row r="31" spans="2:10">
      <c r="B31" s="21">
        <v>1855</v>
      </c>
      <c r="C31" s="31" t="s">
        <v>31</v>
      </c>
      <c r="D31" s="60">
        <f t="shared" si="2"/>
        <v>1.1016222095762229</v>
      </c>
      <c r="E31" s="60">
        <f t="shared" si="2"/>
        <v>0.60885722613335724</v>
      </c>
      <c r="F31" s="60">
        <f t="shared" si="2"/>
        <v>0.33313432821962924</v>
      </c>
      <c r="G31" s="60">
        <f t="shared" si="2"/>
        <v>0.41387160864122702</v>
      </c>
      <c r="H31" s="60">
        <f t="shared" si="2"/>
        <v>0.30078116122231846</v>
      </c>
      <c r="I31" s="60">
        <f t="shared" si="2"/>
        <v>6.5643845418724311E-2</v>
      </c>
      <c r="J31" s="60">
        <f t="shared" si="2"/>
        <v>6.2337212376874049E-2</v>
      </c>
    </row>
    <row r="32" spans="2:10">
      <c r="B32" s="21">
        <v>1860</v>
      </c>
      <c r="C32" s="31" t="s">
        <v>32</v>
      </c>
      <c r="D32" s="60">
        <f t="shared" si="2"/>
        <v>-0.27723870954665908</v>
      </c>
      <c r="E32" s="60">
        <f t="shared" si="2"/>
        <v>0.15055192015334787</v>
      </c>
      <c r="F32" s="60">
        <f t="shared" si="2"/>
        <v>0.55475850153412332</v>
      </c>
      <c r="G32" s="60">
        <f t="shared" si="2"/>
        <v>2.0299893570412772E-2</v>
      </c>
      <c r="H32" s="60">
        <f t="shared" si="2"/>
        <v>0.20023692513400346</v>
      </c>
      <c r="I32" s="60">
        <f t="shared" si="2"/>
        <v>0.658310048639139</v>
      </c>
      <c r="J32" s="60">
        <f t="shared" si="2"/>
        <v>7.6572533751327304E-2</v>
      </c>
    </row>
    <row r="33" spans="2:10">
      <c r="B33" t="s">
        <v>0</v>
      </c>
      <c r="D33" s="61">
        <f t="shared" si="2"/>
        <v>0.22572431443071947</v>
      </c>
      <c r="E33" s="61">
        <f t="shared" si="2"/>
        <v>0.36366881628411624</v>
      </c>
      <c r="F33" s="61">
        <f t="shared" si="2"/>
        <v>0.2995558760151123</v>
      </c>
      <c r="G33" s="64">
        <f t="shared" si="2"/>
        <v>0.12366176479427683</v>
      </c>
      <c r="H33" s="61">
        <f t="shared" si="2"/>
        <v>0.19430731765989348</v>
      </c>
      <c r="I33" s="61">
        <f t="shared" si="2"/>
        <v>0.11595548127988514</v>
      </c>
      <c r="J33" s="61">
        <f t="shared" si="2"/>
        <v>9.5583237558546197E-2</v>
      </c>
    </row>
  </sheetData>
  <pageMargins left="0.7" right="0.7" top="0.75" bottom="0.75" header="0.3" footer="0.3"/>
  <ignoredErrors>
    <ignoredError sqref="D22:J22 E11:J11" formulaRange="1"/>
  </ignoredErrors>
</worksheet>
</file>

<file path=xl/worksheets/sheet4.xml><?xml version="1.0" encoding="utf-8"?>
<worksheet xmlns="http://schemas.openxmlformats.org/spreadsheetml/2006/main" xmlns:r="http://schemas.openxmlformats.org/officeDocument/2006/relationships">
  <dimension ref="A1:V728"/>
  <sheetViews>
    <sheetView showGridLines="0" zoomScaleNormal="100" workbookViewId="0">
      <pane ySplit="14" topLeftCell="A675" activePane="bottomLeft" state="frozen"/>
      <selection pane="bottomLeft" activeCell="M655" sqref="M655"/>
    </sheetView>
  </sheetViews>
  <sheetFormatPr defaultColWidth="8.88671875" defaultRowHeight="13.2"/>
  <cols>
    <col min="1" max="1" width="34.33203125" style="2" customWidth="1"/>
    <col min="2" max="2" width="10.5546875" style="2" hidden="1" customWidth="1"/>
    <col min="3" max="6" width="12.6640625" style="2" hidden="1" customWidth="1"/>
    <col min="7" max="7" width="12.6640625" style="2" customWidth="1"/>
    <col min="8" max="8" width="17.33203125" style="2" bestFit="1" customWidth="1"/>
    <col min="9" max="9" width="13.44140625" style="2" customWidth="1"/>
    <col min="10" max="10" width="13.5546875" style="2" customWidth="1"/>
    <col min="11" max="11" width="11.88671875" style="2" customWidth="1"/>
    <col min="12" max="12" width="13.88671875" style="2" customWidth="1"/>
    <col min="13" max="13" width="14" style="2" customWidth="1"/>
    <col min="14" max="15" width="0" style="2" hidden="1" customWidth="1"/>
    <col min="16" max="17" width="13.109375" style="2" hidden="1" customWidth="1"/>
    <col min="18" max="20" width="11.5546875" style="2" hidden="1" customWidth="1"/>
    <col min="21" max="24" width="0" style="2" hidden="1" customWidth="1"/>
    <col min="25" max="16384" width="8.88671875" style="2"/>
  </cols>
  <sheetData>
    <row r="1" spans="1:21">
      <c r="L1" s="4" t="s">
        <v>1</v>
      </c>
      <c r="M1" s="5" t="str">
        <f>'[3]LDC Info'!$E$18</f>
        <v>EB2012-0176</v>
      </c>
    </row>
    <row r="2" spans="1:21">
      <c r="G2" s="4"/>
      <c r="K2" s="4"/>
    </row>
    <row r="3" spans="1:21">
      <c r="G3" s="4"/>
      <c r="K3" s="4"/>
    </row>
    <row r="4" spans="1:21">
      <c r="G4" s="4"/>
      <c r="K4" s="4"/>
    </row>
    <row r="5" spans="1:21">
      <c r="G5" s="4"/>
      <c r="K5" s="4"/>
    </row>
    <row r="6" spans="1:21">
      <c r="G6" s="4"/>
      <c r="K6" s="4"/>
    </row>
    <row r="7" spans="1:21">
      <c r="G7" s="4"/>
      <c r="K7" s="4"/>
    </row>
    <row r="9" spans="1:21" ht="17.399999999999999">
      <c r="A9" s="199" t="s">
        <v>108</v>
      </c>
      <c r="B9" s="199"/>
      <c r="C9" s="199"/>
      <c r="D9" s="199"/>
      <c r="E9" s="199"/>
      <c r="F9" s="199"/>
      <c r="G9" s="199"/>
      <c r="H9" s="199"/>
      <c r="I9" s="199"/>
      <c r="J9" s="199"/>
      <c r="K9" s="199"/>
      <c r="L9" s="199"/>
      <c r="M9" s="199"/>
    </row>
    <row r="10" spans="1:21" ht="17.399999999999999">
      <c r="A10" s="199" t="s">
        <v>109</v>
      </c>
      <c r="B10" s="199"/>
      <c r="C10" s="199"/>
      <c r="D10" s="199"/>
      <c r="E10" s="199"/>
      <c r="F10" s="199"/>
      <c r="G10" s="199"/>
      <c r="H10" s="199"/>
      <c r="I10" s="199"/>
      <c r="J10" s="199"/>
      <c r="K10" s="199"/>
      <c r="L10" s="199"/>
      <c r="M10" s="199"/>
      <c r="N10" s="124"/>
    </row>
    <row r="11" spans="1:21" ht="17.399999999999999">
      <c r="A11" s="199" t="s">
        <v>110</v>
      </c>
      <c r="B11" s="199"/>
      <c r="C11" s="199"/>
      <c r="D11" s="199"/>
      <c r="E11" s="199"/>
      <c r="F11" s="199"/>
      <c r="G11" s="199"/>
      <c r="H11" s="199"/>
      <c r="I11" s="199"/>
      <c r="J11" s="199"/>
      <c r="K11" s="199"/>
      <c r="L11" s="199"/>
      <c r="M11" s="199"/>
    </row>
    <row r="12" spans="1:21" ht="13.8" thickBot="1">
      <c r="A12" s="122"/>
      <c r="B12" s="122"/>
      <c r="C12" s="122"/>
      <c r="D12" s="122"/>
      <c r="E12" s="122"/>
      <c r="F12" s="122"/>
      <c r="G12" s="122"/>
      <c r="K12" s="122"/>
    </row>
    <row r="13" spans="1:21" ht="79.2">
      <c r="A13" s="125" t="s">
        <v>111</v>
      </c>
      <c r="B13" s="126">
        <f>IF(ISBLANK('[3]LDC Info'!E26), "Year 1", '[3]LDC Info'!E26-5)</f>
        <v>2007</v>
      </c>
      <c r="C13" s="126">
        <f>IF(ISBLANK('[3]LDC Info'!E26), "Year 2", '[3]LDC Info'!E26-4)</f>
        <v>2008</v>
      </c>
      <c r="D13" s="126">
        <f>IF(ISBLANK('[3]LDC Info'!E26), "Year 3", '[3]LDC Info'!E26-3)</f>
        <v>2009</v>
      </c>
      <c r="E13" s="126">
        <f>IF(ISBLANK('[3]LDC Info'!E26), "Year 4", '[3]LDC Info'!E26-2)</f>
        <v>2010</v>
      </c>
      <c r="F13" s="126">
        <f>IF(ISBLANK('[3]LDC Info'!E26), "Year 5", '[3]LDC Info'!E26-1)</f>
        <v>2011</v>
      </c>
      <c r="G13" s="126" t="s">
        <v>112</v>
      </c>
      <c r="H13" s="126" t="s">
        <v>113</v>
      </c>
      <c r="I13" s="126" t="s">
        <v>114</v>
      </c>
      <c r="J13" s="126" t="s">
        <v>115</v>
      </c>
      <c r="K13" s="126" t="s">
        <v>116</v>
      </c>
      <c r="L13" s="126" t="s">
        <v>117</v>
      </c>
      <c r="M13" s="126" t="s">
        <v>118</v>
      </c>
      <c r="P13" s="126" t="s">
        <v>119</v>
      </c>
      <c r="Q13" s="126" t="s">
        <v>120</v>
      </c>
      <c r="R13" s="126" t="s">
        <v>121</v>
      </c>
      <c r="S13" s="126" t="s">
        <v>122</v>
      </c>
      <c r="T13" s="126" t="s">
        <v>123</v>
      </c>
    </row>
    <row r="14" spans="1:21">
      <c r="A14" s="127" t="s">
        <v>124</v>
      </c>
      <c r="B14" s="128" t="s">
        <v>125</v>
      </c>
      <c r="C14" s="128" t="s">
        <v>125</v>
      </c>
      <c r="D14" s="128" t="s">
        <v>125</v>
      </c>
      <c r="E14" s="128" t="s">
        <v>125</v>
      </c>
      <c r="F14" s="128" t="s">
        <v>125</v>
      </c>
      <c r="G14" s="128" t="s">
        <v>125</v>
      </c>
      <c r="H14" s="128" t="s">
        <v>125</v>
      </c>
      <c r="I14" s="128" t="s">
        <v>125</v>
      </c>
      <c r="J14" s="128" t="s">
        <v>126</v>
      </c>
      <c r="K14" s="128" t="s">
        <v>125</v>
      </c>
      <c r="L14" s="128" t="s">
        <v>125</v>
      </c>
      <c r="M14" s="128" t="s">
        <v>126</v>
      </c>
      <c r="P14" s="128" t="s">
        <v>125</v>
      </c>
      <c r="Q14" s="128" t="s">
        <v>125</v>
      </c>
      <c r="R14" s="128" t="s">
        <v>125</v>
      </c>
      <c r="S14" s="129" t="s">
        <v>125</v>
      </c>
      <c r="T14" s="129" t="s">
        <v>125</v>
      </c>
    </row>
    <row r="15" spans="1:21" ht="14.4">
      <c r="A15" s="130" t="s">
        <v>127</v>
      </c>
      <c r="B15" s="131"/>
      <c r="C15" s="132"/>
      <c r="D15" s="132"/>
      <c r="E15" s="132"/>
      <c r="F15" s="132"/>
      <c r="G15" s="132"/>
      <c r="H15" s="132"/>
      <c r="I15" s="132"/>
      <c r="J15" s="132"/>
      <c r="K15" s="132"/>
      <c r="L15" s="132"/>
      <c r="M15" s="132"/>
      <c r="P15" s="133">
        <v>938531</v>
      </c>
      <c r="Q15" s="133">
        <f>1290202*0.92-P15</f>
        <v>248454.84000000008</v>
      </c>
      <c r="R15" s="133">
        <f>SUM(P15:Q15)</f>
        <v>1186985.8400000001</v>
      </c>
      <c r="S15" s="134">
        <v>-103216</v>
      </c>
      <c r="T15" s="134"/>
      <c r="U15" s="2" t="s">
        <v>128</v>
      </c>
    </row>
    <row r="16" spans="1:21" ht="14.4">
      <c r="A16" s="135" t="s">
        <v>26</v>
      </c>
      <c r="B16" s="136"/>
      <c r="C16" s="137"/>
      <c r="D16" s="137">
        <v>143729</v>
      </c>
      <c r="E16" s="137">
        <v>182424</v>
      </c>
      <c r="F16" s="137">
        <v>224903</v>
      </c>
      <c r="G16" s="137">
        <v>322551</v>
      </c>
      <c r="H16" s="137">
        <f t="shared" ref="H16:H21" si="0">+G16+S16</f>
        <v>296746.96000006201</v>
      </c>
      <c r="I16" s="137">
        <f>+H16</f>
        <v>296746.96000006201</v>
      </c>
      <c r="J16" s="137">
        <f>300985*0.92</f>
        <v>276906.2</v>
      </c>
      <c r="K16" s="137">
        <v>351114</v>
      </c>
      <c r="L16" s="137">
        <v>351114</v>
      </c>
      <c r="M16" s="137">
        <v>331257</v>
      </c>
      <c r="P16" s="137"/>
      <c r="Q16" s="137"/>
      <c r="R16" s="137"/>
      <c r="S16" s="134">
        <f t="shared" ref="S16:S21" si="1">+G16/$G$23*$S$15</f>
        <v>-25804.039999937995</v>
      </c>
      <c r="T16" s="134"/>
    </row>
    <row r="17" spans="1:21" ht="14.4">
      <c r="A17" s="135" t="s">
        <v>27</v>
      </c>
      <c r="B17" s="138"/>
      <c r="C17" s="133"/>
      <c r="D17" s="133">
        <v>201622</v>
      </c>
      <c r="E17" s="133">
        <v>201865</v>
      </c>
      <c r="F17" s="133">
        <v>295784</v>
      </c>
      <c r="G17" s="133">
        <v>387061</v>
      </c>
      <c r="H17" s="133">
        <f t="shared" si="0"/>
        <v>356096.1680000496</v>
      </c>
      <c r="I17" s="133">
        <f>+H17</f>
        <v>356096.1680000496</v>
      </c>
      <c r="J17" s="133">
        <f>361181*0.92</f>
        <v>332286.52</v>
      </c>
      <c r="K17" s="133">
        <v>421338</v>
      </c>
      <c r="L17" s="133">
        <v>421338</v>
      </c>
      <c r="M17" s="133">
        <v>397509</v>
      </c>
      <c r="P17" s="133"/>
      <c r="Q17" s="133"/>
      <c r="R17" s="133"/>
      <c r="S17" s="134">
        <f t="shared" si="1"/>
        <v>-30964.831999950395</v>
      </c>
      <c r="T17" s="134"/>
    </row>
    <row r="18" spans="1:21" ht="14.4">
      <c r="A18" s="135" t="s">
        <v>28</v>
      </c>
      <c r="B18" s="139"/>
      <c r="C18" s="140"/>
      <c r="D18" s="140">
        <v>10799</v>
      </c>
      <c r="E18" s="140">
        <v>7802</v>
      </c>
      <c r="F18" s="140">
        <v>4070</v>
      </c>
      <c r="G18" s="140"/>
      <c r="H18" s="140">
        <f t="shared" si="0"/>
        <v>0</v>
      </c>
      <c r="I18" s="140"/>
      <c r="J18" s="140"/>
      <c r="K18" s="140"/>
      <c r="L18" s="140"/>
      <c r="M18" s="140"/>
      <c r="P18" s="140"/>
      <c r="Q18" s="140"/>
      <c r="R18" s="140"/>
      <c r="S18" s="134">
        <f t="shared" si="1"/>
        <v>0</v>
      </c>
      <c r="T18" s="134"/>
    </row>
    <row r="19" spans="1:21" ht="14.4">
      <c r="A19" s="135" t="s">
        <v>29</v>
      </c>
      <c r="B19" s="139"/>
      <c r="C19" s="140"/>
      <c r="D19" s="140">
        <v>82044</v>
      </c>
      <c r="E19" s="140">
        <v>36147</v>
      </c>
      <c r="F19" s="140">
        <v>58496</v>
      </c>
      <c r="G19" s="140">
        <v>64510</v>
      </c>
      <c r="H19" s="140">
        <f t="shared" si="0"/>
        <v>59349.2079999876</v>
      </c>
      <c r="I19" s="140">
        <f>+H19</f>
        <v>59349.2079999876</v>
      </c>
      <c r="J19" s="140">
        <f>60197*0.92</f>
        <v>55381.240000000005</v>
      </c>
      <c r="K19" s="140">
        <v>70223</v>
      </c>
      <c r="L19" s="140">
        <v>70223</v>
      </c>
      <c r="M19" s="140">
        <v>66252</v>
      </c>
      <c r="P19" s="140"/>
      <c r="Q19" s="140"/>
      <c r="R19" s="140"/>
      <c r="S19" s="134">
        <f t="shared" si="1"/>
        <v>-5160.7920000124013</v>
      </c>
      <c r="T19" s="134"/>
    </row>
    <row r="20" spans="1:21" ht="14.4">
      <c r="A20" s="135" t="s">
        <v>30</v>
      </c>
      <c r="B20" s="139"/>
      <c r="C20" s="140"/>
      <c r="D20" s="140">
        <v>137421</v>
      </c>
      <c r="E20" s="140">
        <v>23617</v>
      </c>
      <c r="F20" s="140">
        <v>136620</v>
      </c>
      <c r="G20" s="140">
        <v>258040</v>
      </c>
      <c r="H20" s="140">
        <f t="shared" si="0"/>
        <v>237396.8319999504</v>
      </c>
      <c r="I20" s="140">
        <f>+H20</f>
        <v>237396.8319999504</v>
      </c>
      <c r="J20" s="140">
        <f>240788*0.92</f>
        <v>221524.96000000002</v>
      </c>
      <c r="K20" s="140">
        <v>280892</v>
      </c>
      <c r="L20" s="140">
        <v>280892</v>
      </c>
      <c r="M20" s="140">
        <v>265006</v>
      </c>
      <c r="P20" s="140"/>
      <c r="Q20" s="140"/>
      <c r="R20" s="140"/>
      <c r="S20" s="134">
        <f t="shared" si="1"/>
        <v>-20643.168000049605</v>
      </c>
      <c r="T20" s="134"/>
    </row>
    <row r="21" spans="1:21" ht="14.4">
      <c r="A21" s="135" t="s">
        <v>129</v>
      </c>
      <c r="B21" s="139"/>
      <c r="C21" s="140"/>
      <c r="D21" s="140">
        <v>75775</v>
      </c>
      <c r="E21" s="140">
        <v>60143</v>
      </c>
      <c r="F21" s="140">
        <v>163793</v>
      </c>
      <c r="G21" s="140">
        <v>258040</v>
      </c>
      <c r="H21" s="140">
        <f t="shared" si="0"/>
        <v>237396.8319999504</v>
      </c>
      <c r="I21" s="140">
        <f>+H21</f>
        <v>237396.8319999504</v>
      </c>
      <c r="J21" s="140">
        <f>240788*0.92</f>
        <v>221524.96000000002</v>
      </c>
      <c r="K21" s="140">
        <v>280892</v>
      </c>
      <c r="L21" s="140">
        <v>280892</v>
      </c>
      <c r="M21" s="140">
        <v>265006</v>
      </c>
      <c r="P21" s="140"/>
      <c r="Q21" s="140"/>
      <c r="R21" s="140"/>
      <c r="S21" s="134">
        <f t="shared" si="1"/>
        <v>-20643.168000049605</v>
      </c>
      <c r="T21" s="134"/>
    </row>
    <row r="22" spans="1:21" ht="14.4">
      <c r="A22" s="135" t="s">
        <v>32</v>
      </c>
      <c r="B22" s="139"/>
      <c r="C22" s="140"/>
      <c r="D22" s="140">
        <v>782</v>
      </c>
      <c r="E22" s="140">
        <v>947</v>
      </c>
      <c r="F22" s="140"/>
      <c r="G22" s="140"/>
      <c r="H22" s="140"/>
      <c r="I22" s="140"/>
      <c r="J22" s="140"/>
      <c r="K22" s="140"/>
      <c r="L22" s="140"/>
      <c r="M22" s="140"/>
      <c r="P22" s="140"/>
      <c r="Q22" s="140"/>
      <c r="R22" s="140"/>
      <c r="S22" s="134"/>
      <c r="T22" s="134"/>
    </row>
    <row r="23" spans="1:21">
      <c r="A23" s="141" t="s">
        <v>130</v>
      </c>
      <c r="B23" s="131">
        <f>SUM(B16:B22)</f>
        <v>0</v>
      </c>
      <c r="C23" s="131">
        <f t="shared" ref="C23:K23" si="2">SUM(C16:C22)</f>
        <v>0</v>
      </c>
      <c r="D23" s="131">
        <f t="shared" si="2"/>
        <v>652172</v>
      </c>
      <c r="E23" s="131">
        <f t="shared" si="2"/>
        <v>512945</v>
      </c>
      <c r="F23" s="131">
        <f t="shared" si="2"/>
        <v>883666</v>
      </c>
      <c r="G23" s="131">
        <f t="shared" si="2"/>
        <v>1290202</v>
      </c>
      <c r="H23" s="131">
        <f>SUM(H16:H22)</f>
        <v>1186986</v>
      </c>
      <c r="I23" s="131">
        <f>SUM(I16:I22)</f>
        <v>1186986</v>
      </c>
      <c r="J23" s="131">
        <f>SUM(J16:J22)</f>
        <v>1107623.8799999999</v>
      </c>
      <c r="K23" s="131">
        <f t="shared" si="2"/>
        <v>1404459</v>
      </c>
      <c r="L23" s="131">
        <f>SUM(L16:L22)</f>
        <v>1404459</v>
      </c>
      <c r="M23" s="131">
        <f>SUM(M16:M22)</f>
        <v>1325030</v>
      </c>
      <c r="P23" s="131">
        <f>SUM(P15:P22)</f>
        <v>938531</v>
      </c>
      <c r="Q23" s="131">
        <f>SUM(Q15:Q22)</f>
        <v>248454.84000000008</v>
      </c>
      <c r="R23" s="131">
        <f>SUM(R15:R22)</f>
        <v>1186985.8400000001</v>
      </c>
      <c r="S23" s="142"/>
      <c r="T23" s="142"/>
    </row>
    <row r="24" spans="1:21">
      <c r="A24" s="141"/>
      <c r="B24" s="131"/>
      <c r="C24" s="131"/>
      <c r="D24" s="131"/>
      <c r="E24" s="131"/>
      <c r="F24" s="131"/>
      <c r="G24" s="131"/>
      <c r="H24" s="131"/>
      <c r="I24" s="131"/>
      <c r="J24" s="131"/>
      <c r="K24" s="131"/>
      <c r="L24" s="131"/>
      <c r="M24" s="131"/>
      <c r="P24" s="131"/>
      <c r="Q24" s="131"/>
      <c r="R24" s="131"/>
      <c r="S24" s="142"/>
      <c r="T24" s="142"/>
    </row>
    <row r="25" spans="1:21" ht="14.4">
      <c r="A25" s="130" t="s">
        <v>131</v>
      </c>
      <c r="B25" s="131"/>
      <c r="C25" s="132"/>
      <c r="D25" s="132"/>
      <c r="E25" s="132"/>
      <c r="F25" s="132"/>
      <c r="G25" s="132"/>
      <c r="H25" s="132"/>
      <c r="I25" s="132"/>
      <c r="J25" s="132"/>
      <c r="K25" s="132"/>
      <c r="L25" s="132"/>
      <c r="M25" s="132"/>
      <c r="P25" s="133">
        <v>477510</v>
      </c>
      <c r="Q25" s="133">
        <f>573418-477510</f>
        <v>95908</v>
      </c>
      <c r="R25" s="133">
        <f>SUM(P25:Q25)</f>
        <v>573418</v>
      </c>
      <c r="S25" s="143"/>
      <c r="T25" s="143">
        <v>231801</v>
      </c>
      <c r="U25" s="2" t="s">
        <v>132</v>
      </c>
    </row>
    <row r="26" spans="1:21" ht="14.4">
      <c r="A26" s="135" t="s">
        <v>26</v>
      </c>
      <c r="B26" s="136"/>
      <c r="C26" s="137"/>
      <c r="D26" s="137">
        <v>204510</v>
      </c>
      <c r="E26" s="137">
        <v>151385</v>
      </c>
      <c r="F26" s="137">
        <v>182403</v>
      </c>
      <c r="G26" s="137">
        <v>200696</v>
      </c>
      <c r="H26" s="137">
        <v>200696</v>
      </c>
      <c r="I26" s="137">
        <f t="shared" ref="I26:I31" si="3">+H26</f>
        <v>200696</v>
      </c>
      <c r="J26" s="137">
        <v>152645</v>
      </c>
      <c r="K26" s="137">
        <v>198504</v>
      </c>
      <c r="L26" s="137">
        <f t="shared" ref="L26:L31" si="4">+K26+T26</f>
        <v>279634.24782290554</v>
      </c>
      <c r="M26" s="137">
        <v>213341</v>
      </c>
      <c r="P26" s="137"/>
      <c r="Q26" s="137"/>
      <c r="R26" s="137"/>
      <c r="S26" s="134"/>
      <c r="T26" s="134">
        <f t="shared" ref="T26:T31" si="5">+K26/$K$33*$T$25</f>
        <v>81130.247822905556</v>
      </c>
      <c r="U26" s="2" t="s">
        <v>133</v>
      </c>
    </row>
    <row r="27" spans="1:21" ht="14.4">
      <c r="A27" s="135" t="s">
        <v>27</v>
      </c>
      <c r="B27" s="138"/>
      <c r="C27" s="133"/>
      <c r="D27" s="133">
        <v>259122</v>
      </c>
      <c r="E27" s="133">
        <v>120732</v>
      </c>
      <c r="F27" s="133">
        <v>243633</v>
      </c>
      <c r="G27" s="133">
        <v>229367</v>
      </c>
      <c r="H27" s="133">
        <v>229367</v>
      </c>
      <c r="I27" s="133">
        <f t="shared" si="3"/>
        <v>229367</v>
      </c>
      <c r="J27" s="133">
        <v>174451</v>
      </c>
      <c r="K27" s="133">
        <v>226862</v>
      </c>
      <c r="L27" s="133">
        <f t="shared" si="4"/>
        <v>319582.40000000002</v>
      </c>
      <c r="M27" s="133">
        <v>228488</v>
      </c>
      <c r="P27" s="133"/>
      <c r="Q27" s="133"/>
      <c r="R27" s="133"/>
      <c r="S27" s="134"/>
      <c r="T27" s="134">
        <f t="shared" si="5"/>
        <v>92720.400000000009</v>
      </c>
    </row>
    <row r="28" spans="1:21" ht="14.4">
      <c r="A28" s="135" t="s">
        <v>28</v>
      </c>
      <c r="B28" s="139"/>
      <c r="C28" s="140"/>
      <c r="D28" s="140">
        <v>9848</v>
      </c>
      <c r="E28" s="140">
        <v>4364</v>
      </c>
      <c r="F28" s="140">
        <v>6823</v>
      </c>
      <c r="G28" s="140">
        <v>14336</v>
      </c>
      <c r="H28" s="140">
        <v>14336</v>
      </c>
      <c r="I28" s="140">
        <f t="shared" si="3"/>
        <v>14336</v>
      </c>
      <c r="J28" s="140">
        <v>10903</v>
      </c>
      <c r="K28" s="140">
        <v>14179</v>
      </c>
      <c r="L28" s="140">
        <f t="shared" si="4"/>
        <v>19974.076088547223</v>
      </c>
      <c r="M28" s="140">
        <v>14281</v>
      </c>
      <c r="P28" s="140"/>
      <c r="Q28" s="140"/>
      <c r="R28" s="140"/>
      <c r="S28" s="134"/>
      <c r="T28" s="134">
        <f t="shared" si="5"/>
        <v>5795.0760885472228</v>
      </c>
    </row>
    <row r="29" spans="1:21" ht="14.4">
      <c r="A29" s="135" t="s">
        <v>29</v>
      </c>
      <c r="B29" s="139"/>
      <c r="C29" s="140"/>
      <c r="D29" s="140">
        <v>124252</v>
      </c>
      <c r="E29" s="140">
        <v>5468</v>
      </c>
      <c r="F29" s="140">
        <v>21975</v>
      </c>
      <c r="G29" s="140">
        <v>43006</v>
      </c>
      <c r="H29" s="140">
        <v>43006</v>
      </c>
      <c r="I29" s="140">
        <f t="shared" si="3"/>
        <v>43006</v>
      </c>
      <c r="J29" s="140">
        <v>32709</v>
      </c>
      <c r="K29" s="140">
        <v>42537</v>
      </c>
      <c r="L29" s="140">
        <f t="shared" si="4"/>
        <v>59922.228265641665</v>
      </c>
      <c r="M29" s="140">
        <v>42842</v>
      </c>
      <c r="P29" s="140"/>
      <c r="Q29" s="140"/>
      <c r="R29" s="140"/>
      <c r="S29" s="134"/>
      <c r="T29" s="134">
        <f t="shared" si="5"/>
        <v>17385.228265641668</v>
      </c>
    </row>
    <row r="30" spans="1:21" ht="14.4">
      <c r="A30" s="135" t="s">
        <v>30</v>
      </c>
      <c r="B30" s="139"/>
      <c r="C30" s="140"/>
      <c r="D30" s="140">
        <v>133695</v>
      </c>
      <c r="E30" s="140">
        <v>10252</v>
      </c>
      <c r="F30" s="140">
        <v>140419</v>
      </c>
      <c r="G30" s="140">
        <v>28671</v>
      </c>
      <c r="H30" s="140">
        <v>28671</v>
      </c>
      <c r="I30" s="140">
        <f t="shared" si="3"/>
        <v>28671</v>
      </c>
      <c r="J30" s="140">
        <v>21806</v>
      </c>
      <c r="K30" s="140">
        <v>28358</v>
      </c>
      <c r="L30" s="140">
        <f t="shared" si="4"/>
        <v>39948.152177094446</v>
      </c>
      <c r="M30" s="140">
        <v>28561</v>
      </c>
      <c r="P30" s="140"/>
      <c r="Q30" s="140"/>
      <c r="R30" s="140"/>
      <c r="S30" s="134"/>
      <c r="T30" s="134">
        <f t="shared" si="5"/>
        <v>11590.152177094446</v>
      </c>
    </row>
    <row r="31" spans="1:21" ht="14.4">
      <c r="A31" s="135" t="s">
        <v>129</v>
      </c>
      <c r="B31" s="139"/>
      <c r="C31" s="140"/>
      <c r="D31" s="140">
        <v>78986</v>
      </c>
      <c r="E31" s="140">
        <v>15413</v>
      </c>
      <c r="F31" s="140">
        <v>72855</v>
      </c>
      <c r="G31" s="140">
        <v>57342</v>
      </c>
      <c r="H31" s="140">
        <v>57342</v>
      </c>
      <c r="I31" s="140">
        <f t="shared" si="3"/>
        <v>57342</v>
      </c>
      <c r="J31" s="140">
        <v>43613</v>
      </c>
      <c r="K31" s="140">
        <v>56715</v>
      </c>
      <c r="L31" s="140">
        <f t="shared" si="4"/>
        <v>79894.895645811106</v>
      </c>
      <c r="M31" s="140">
        <v>57122</v>
      </c>
      <c r="P31" s="140"/>
      <c r="Q31" s="140"/>
      <c r="R31" s="140"/>
      <c r="S31" s="134"/>
      <c r="T31" s="134">
        <f t="shared" si="5"/>
        <v>23179.89564581111</v>
      </c>
    </row>
    <row r="32" spans="1:21" ht="14.4">
      <c r="A32" s="135" t="s">
        <v>32</v>
      </c>
      <c r="B32" s="139"/>
      <c r="C32" s="140"/>
      <c r="D32" s="140">
        <v>58</v>
      </c>
      <c r="E32" s="140">
        <v>5071</v>
      </c>
      <c r="F32" s="140">
        <v>1057</v>
      </c>
      <c r="G32" s="140"/>
      <c r="H32" s="140"/>
      <c r="I32" s="140"/>
      <c r="J32" s="140"/>
      <c r="K32" s="140"/>
      <c r="L32" s="140"/>
      <c r="M32" s="140"/>
      <c r="P32" s="140"/>
      <c r="Q32" s="140"/>
      <c r="R32" s="140"/>
      <c r="S32" s="134"/>
      <c r="T32" s="134"/>
    </row>
    <row r="33" spans="1:21">
      <c r="A33" s="141" t="s">
        <v>130</v>
      </c>
      <c r="B33" s="131">
        <f t="shared" ref="B33:K33" si="6">SUM(B26:B32)</f>
        <v>0</v>
      </c>
      <c r="C33" s="131">
        <f t="shared" si="6"/>
        <v>0</v>
      </c>
      <c r="D33" s="131">
        <f t="shared" si="6"/>
        <v>810471</v>
      </c>
      <c r="E33" s="131">
        <f t="shared" si="6"/>
        <v>312685</v>
      </c>
      <c r="F33" s="131">
        <f t="shared" si="6"/>
        <v>669165</v>
      </c>
      <c r="G33" s="131">
        <f t="shared" si="6"/>
        <v>573418</v>
      </c>
      <c r="H33" s="131">
        <f>SUM(H26:H32)</f>
        <v>573418</v>
      </c>
      <c r="I33" s="131">
        <f>SUM(I26:I32)</f>
        <v>573418</v>
      </c>
      <c r="J33" s="131">
        <f>SUM(J26:J32)</f>
        <v>436127</v>
      </c>
      <c r="K33" s="131">
        <f t="shared" si="6"/>
        <v>567155</v>
      </c>
      <c r="L33" s="131">
        <f>SUM(L26:L32)</f>
        <v>798956.00000000012</v>
      </c>
      <c r="M33" s="131">
        <f>SUM(M26:M32)</f>
        <v>584635</v>
      </c>
      <c r="P33" s="131">
        <f>SUM(P25:P32)</f>
        <v>477510</v>
      </c>
      <c r="Q33" s="131">
        <f>SUM(Q25:Q32)</f>
        <v>95908</v>
      </c>
      <c r="R33" s="131">
        <f>SUM(R25:R32)</f>
        <v>573418</v>
      </c>
      <c r="S33" s="142"/>
      <c r="T33" s="142"/>
    </row>
    <row r="34" spans="1:21">
      <c r="A34" s="141"/>
      <c r="B34" s="131"/>
      <c r="C34" s="131"/>
      <c r="D34" s="131"/>
      <c r="E34" s="131"/>
      <c r="F34" s="131"/>
      <c r="G34" s="131"/>
      <c r="H34" s="131"/>
      <c r="I34" s="131"/>
      <c r="J34" s="131"/>
      <c r="K34" s="131"/>
      <c r="L34" s="131"/>
      <c r="M34" s="131"/>
      <c r="P34" s="131"/>
      <c r="Q34" s="131"/>
      <c r="R34" s="131"/>
      <c r="S34" s="142"/>
      <c r="T34" s="142"/>
    </row>
    <row r="35" spans="1:21" ht="14.4">
      <c r="A35" s="130" t="s">
        <v>134</v>
      </c>
      <c r="B35" s="144"/>
      <c r="C35" s="145"/>
      <c r="D35" s="145"/>
      <c r="E35" s="145"/>
      <c r="F35" s="145"/>
      <c r="G35" s="145"/>
      <c r="H35" s="145"/>
      <c r="I35" s="145"/>
      <c r="J35" s="145"/>
      <c r="K35" s="145"/>
      <c r="L35" s="145"/>
      <c r="M35" s="145"/>
      <c r="P35" s="133">
        <v>179120</v>
      </c>
      <c r="Q35" s="133">
        <v>5000</v>
      </c>
      <c r="R35" s="133">
        <f>SUM(P35:Q35)</f>
        <v>184120</v>
      </c>
      <c r="S35" s="143">
        <v>-288438</v>
      </c>
      <c r="T35" s="143">
        <v>-231801</v>
      </c>
      <c r="U35" s="2" t="s">
        <v>135</v>
      </c>
    </row>
    <row r="36" spans="1:21" ht="14.4">
      <c r="A36" s="135" t="s">
        <v>26</v>
      </c>
      <c r="B36" s="136"/>
      <c r="C36" s="137"/>
      <c r="D36" s="137">
        <v>84835</v>
      </c>
      <c r="E36" s="137">
        <v>71400</v>
      </c>
      <c r="F36" s="137">
        <v>105344</v>
      </c>
      <c r="G36" s="137">
        <v>283535</v>
      </c>
      <c r="H36" s="137">
        <f t="shared" ref="H36:H41" si="7">+G36+S36</f>
        <v>110472.07792482615</v>
      </c>
      <c r="I36" s="137">
        <f>+H36</f>
        <v>110472.07792482615</v>
      </c>
      <c r="J36" s="137">
        <f>214896*0.42</f>
        <v>90256.319999999992</v>
      </c>
      <c r="K36" s="137">
        <v>286173</v>
      </c>
      <c r="L36" s="137">
        <f t="shared" ref="L36:L41" si="8">+K36+T36</f>
        <v>147092.10839829419</v>
      </c>
      <c r="M36" s="137">
        <v>104274</v>
      </c>
      <c r="P36" s="137"/>
      <c r="Q36" s="137"/>
      <c r="R36" s="137"/>
      <c r="S36" s="134">
        <f t="shared" ref="S36:S41" si="9">+G36/$G$43*$S$35</f>
        <v>-173062.92207517385</v>
      </c>
      <c r="T36" s="134">
        <f t="shared" ref="T36:T41" si="10">+K36/$K$43*$T$35</f>
        <v>-139080.89160170581</v>
      </c>
      <c r="U36" s="2" t="s">
        <v>136</v>
      </c>
    </row>
    <row r="37" spans="1:21" ht="14.4">
      <c r="A37" s="135" t="s">
        <v>27</v>
      </c>
      <c r="B37" s="138"/>
      <c r="C37" s="133"/>
      <c r="D37" s="133">
        <v>41557</v>
      </c>
      <c r="E37" s="133">
        <v>45296</v>
      </c>
      <c r="F37" s="133">
        <v>42486</v>
      </c>
      <c r="G37" s="133">
        <v>118139</v>
      </c>
      <c r="H37" s="133">
        <f t="shared" si="7"/>
        <v>46029.805187934602</v>
      </c>
      <c r="I37" s="133">
        <f>+H37</f>
        <v>46029.805187934602</v>
      </c>
      <c r="J37" s="133">
        <f>89540*0.42</f>
        <v>37606.799999999996</v>
      </c>
      <c r="K37" s="146">
        <v>119238</v>
      </c>
      <c r="L37" s="146">
        <f t="shared" si="8"/>
        <v>61287.993001421521</v>
      </c>
      <c r="M37" s="146">
        <v>43447</v>
      </c>
      <c r="P37" s="133"/>
      <c r="Q37" s="133"/>
      <c r="R37" s="133"/>
      <c r="S37" s="134">
        <f t="shared" si="9"/>
        <v>-72109.194812065398</v>
      </c>
      <c r="T37" s="134">
        <f t="shared" si="10"/>
        <v>-57950.006998578479</v>
      </c>
    </row>
    <row r="38" spans="1:21" ht="14.4">
      <c r="A38" s="135" t="s">
        <v>28</v>
      </c>
      <c r="B38" s="139"/>
      <c r="C38" s="140"/>
      <c r="D38" s="140">
        <v>1964</v>
      </c>
      <c r="E38" s="140">
        <v>3166</v>
      </c>
      <c r="F38" s="140">
        <v>530</v>
      </c>
      <c r="G38" s="140"/>
      <c r="H38" s="140">
        <f t="shared" si="7"/>
        <v>0</v>
      </c>
      <c r="I38" s="140"/>
      <c r="J38" s="140"/>
      <c r="K38" s="140"/>
      <c r="L38" s="140">
        <f t="shared" si="8"/>
        <v>0</v>
      </c>
      <c r="M38" s="140"/>
      <c r="P38" s="140"/>
      <c r="Q38" s="140"/>
      <c r="R38" s="140"/>
      <c r="S38" s="134">
        <f t="shared" si="9"/>
        <v>0</v>
      </c>
      <c r="T38" s="134">
        <f t="shared" si="10"/>
        <v>0</v>
      </c>
    </row>
    <row r="39" spans="1:21" ht="14.4">
      <c r="A39" s="135" t="s">
        <v>29</v>
      </c>
      <c r="B39" s="139"/>
      <c r="C39" s="140"/>
      <c r="D39" s="140">
        <v>10320</v>
      </c>
      <c r="E39" s="140">
        <v>11525</v>
      </c>
      <c r="F39" s="140">
        <v>2835</v>
      </c>
      <c r="G39" s="140">
        <v>11814</v>
      </c>
      <c r="H39" s="140">
        <f t="shared" si="7"/>
        <v>4603.0194812065392</v>
      </c>
      <c r="I39" s="140">
        <f>+H39</f>
        <v>4603.0194812065392</v>
      </c>
      <c r="J39" s="140">
        <f>8954*0.42</f>
        <v>3760.68</v>
      </c>
      <c r="K39" s="140">
        <v>11924</v>
      </c>
      <c r="L39" s="140">
        <f t="shared" si="8"/>
        <v>6128.9020995735436</v>
      </c>
      <c r="M39" s="140">
        <v>4345</v>
      </c>
      <c r="P39" s="140"/>
      <c r="Q39" s="140"/>
      <c r="R39" s="140"/>
      <c r="S39" s="134">
        <f t="shared" si="9"/>
        <v>-7210.9805187934608</v>
      </c>
      <c r="T39" s="134">
        <f t="shared" si="10"/>
        <v>-5795.0979004264564</v>
      </c>
    </row>
    <row r="40" spans="1:21" ht="14.4">
      <c r="A40" s="135" t="s">
        <v>30</v>
      </c>
      <c r="B40" s="139"/>
      <c r="C40" s="140"/>
      <c r="D40" s="140">
        <v>21938</v>
      </c>
      <c r="E40" s="140">
        <v>14319</v>
      </c>
      <c r="F40" s="140">
        <v>12098</v>
      </c>
      <c r="G40" s="140">
        <v>35442</v>
      </c>
      <c r="H40" s="140">
        <f t="shared" si="7"/>
        <v>13809.058443619619</v>
      </c>
      <c r="I40" s="140">
        <f>+H40</f>
        <v>13809.058443619619</v>
      </c>
      <c r="J40" s="140">
        <f>26862*0.42</f>
        <v>11282.039999999999</v>
      </c>
      <c r="K40" s="140">
        <v>35771</v>
      </c>
      <c r="L40" s="140">
        <f t="shared" si="8"/>
        <v>18386.192301563671</v>
      </c>
      <c r="M40" s="140">
        <v>13034</v>
      </c>
      <c r="P40" s="140"/>
      <c r="Q40" s="140"/>
      <c r="R40" s="140"/>
      <c r="S40" s="134">
        <f t="shared" si="9"/>
        <v>-21632.941556380381</v>
      </c>
      <c r="T40" s="134">
        <f t="shared" si="10"/>
        <v>-17384.807698436329</v>
      </c>
    </row>
    <row r="41" spans="1:21" ht="14.4">
      <c r="A41" s="135" t="s">
        <v>129</v>
      </c>
      <c r="B41" s="139"/>
      <c r="C41" s="140"/>
      <c r="D41" s="140">
        <v>9837</v>
      </c>
      <c r="E41" s="140">
        <v>5685</v>
      </c>
      <c r="F41" s="140">
        <v>9514</v>
      </c>
      <c r="G41" s="140">
        <v>23628</v>
      </c>
      <c r="H41" s="140">
        <f t="shared" si="7"/>
        <v>9206.0389624130785</v>
      </c>
      <c r="I41" s="140">
        <f>+H41</f>
        <v>9206.0389624130785</v>
      </c>
      <c r="J41" s="140">
        <f>17908*0.42</f>
        <v>7521.36</v>
      </c>
      <c r="K41" s="140">
        <v>23848</v>
      </c>
      <c r="L41" s="140">
        <f t="shared" si="8"/>
        <v>12257.804199147087</v>
      </c>
      <c r="M41" s="140">
        <v>8689</v>
      </c>
      <c r="P41" s="140"/>
      <c r="Q41" s="140"/>
      <c r="R41" s="140"/>
      <c r="S41" s="134">
        <f t="shared" si="9"/>
        <v>-14421.961037586922</v>
      </c>
      <c r="T41" s="134">
        <f t="shared" si="10"/>
        <v>-11590.195800852913</v>
      </c>
    </row>
    <row r="42" spans="1:21" ht="14.4">
      <c r="A42" s="135" t="s">
        <v>32</v>
      </c>
      <c r="B42" s="139"/>
      <c r="C42" s="140"/>
      <c r="D42" s="140"/>
      <c r="E42" s="140">
        <v>499</v>
      </c>
      <c r="F42" s="140">
        <v>1302</v>
      </c>
      <c r="G42" s="140"/>
      <c r="H42" s="140"/>
      <c r="I42" s="140"/>
      <c r="J42" s="140"/>
      <c r="K42" s="140"/>
      <c r="L42" s="140"/>
      <c r="M42" s="140"/>
      <c r="P42" s="140"/>
      <c r="Q42" s="140"/>
      <c r="R42" s="140"/>
      <c r="S42" s="134"/>
      <c r="T42" s="134"/>
    </row>
    <row r="43" spans="1:21">
      <c r="A43" s="141" t="s">
        <v>130</v>
      </c>
      <c r="B43" s="131">
        <f>SUM(B36:B42)</f>
        <v>0</v>
      </c>
      <c r="C43" s="131">
        <f>SUM(C36:C42)</f>
        <v>0</v>
      </c>
      <c r="D43" s="131">
        <f t="shared" ref="D43:K43" si="11">SUM(D36:D42)</f>
        <v>170451</v>
      </c>
      <c r="E43" s="131">
        <f t="shared" si="11"/>
        <v>151890</v>
      </c>
      <c r="F43" s="131">
        <f t="shared" si="11"/>
        <v>174109</v>
      </c>
      <c r="G43" s="131">
        <f t="shared" si="11"/>
        <v>472558</v>
      </c>
      <c r="H43" s="131">
        <f>SUM(H36:H42)</f>
        <v>184120</v>
      </c>
      <c r="I43" s="131">
        <f>SUM(I36:I42)</f>
        <v>184120</v>
      </c>
      <c r="J43" s="131">
        <f>SUM(J36:J42)</f>
        <v>150427.19999999998</v>
      </c>
      <c r="K43" s="131">
        <f t="shared" si="11"/>
        <v>476954</v>
      </c>
      <c r="L43" s="131">
        <f>SUM(L36:L42)</f>
        <v>245153</v>
      </c>
      <c r="M43" s="131">
        <f>SUM(M36:M42)</f>
        <v>173789</v>
      </c>
      <c r="P43" s="131">
        <f>SUM(P35:P42)</f>
        <v>179120</v>
      </c>
      <c r="Q43" s="131">
        <f>SUM(Q35:Q42)</f>
        <v>5000</v>
      </c>
      <c r="R43" s="131">
        <f>SUM(R35:R42)</f>
        <v>184120</v>
      </c>
      <c r="S43" s="142"/>
      <c r="T43" s="142"/>
    </row>
    <row r="44" spans="1:21">
      <c r="A44" s="141"/>
      <c r="B44" s="131"/>
      <c r="C44" s="131"/>
      <c r="D44" s="131"/>
      <c r="E44" s="131"/>
      <c r="F44" s="131"/>
      <c r="G44" s="131"/>
      <c r="H44" s="131"/>
      <c r="I44" s="131"/>
      <c r="J44" s="131"/>
      <c r="K44" s="131"/>
      <c r="L44" s="131"/>
      <c r="M44" s="131"/>
      <c r="P44" s="131"/>
      <c r="Q44" s="131"/>
      <c r="R44" s="131"/>
      <c r="S44" s="142"/>
      <c r="T44" s="142"/>
    </row>
    <row r="45" spans="1:21" ht="27" hidden="1" customHeight="1">
      <c r="A45" s="130" t="s">
        <v>137</v>
      </c>
      <c r="B45" s="144"/>
      <c r="C45" s="145"/>
      <c r="D45" s="145"/>
      <c r="E45" s="145"/>
      <c r="F45" s="145"/>
      <c r="G45" s="145"/>
      <c r="H45" s="145"/>
      <c r="I45" s="145"/>
      <c r="J45" s="145"/>
      <c r="K45" s="145"/>
      <c r="L45" s="145"/>
      <c r="M45" s="145"/>
      <c r="P45" s="145"/>
      <c r="Q45" s="145"/>
      <c r="R45" s="145"/>
      <c r="S45" s="143"/>
      <c r="T45" s="143"/>
    </row>
    <row r="46" spans="1:21" ht="14.4" hidden="1" customHeight="1">
      <c r="A46" s="135" t="s">
        <v>138</v>
      </c>
      <c r="B46" s="138"/>
      <c r="C46" s="133">
        <v>39600</v>
      </c>
      <c r="D46" s="133"/>
      <c r="E46" s="133"/>
      <c r="F46" s="133"/>
      <c r="G46" s="133"/>
      <c r="H46" s="133"/>
      <c r="I46" s="133"/>
      <c r="J46" s="133"/>
      <c r="K46" s="133"/>
      <c r="L46" s="133"/>
      <c r="M46" s="133"/>
      <c r="P46" s="133"/>
      <c r="Q46" s="133"/>
      <c r="R46" s="133"/>
      <c r="S46" s="134"/>
      <c r="T46" s="134"/>
    </row>
    <row r="47" spans="1:21" ht="14.4" hidden="1" customHeight="1">
      <c r="A47" s="135" t="s">
        <v>26</v>
      </c>
      <c r="B47" s="136"/>
      <c r="C47" s="137"/>
      <c r="D47" s="137">
        <v>5600</v>
      </c>
      <c r="E47" s="137"/>
      <c r="F47" s="137"/>
      <c r="G47" s="137"/>
      <c r="H47" s="137"/>
      <c r="I47" s="137"/>
      <c r="J47" s="137"/>
      <c r="K47" s="137"/>
      <c r="L47" s="137"/>
      <c r="M47" s="137"/>
      <c r="P47" s="137"/>
      <c r="Q47" s="137"/>
      <c r="R47" s="137"/>
      <c r="S47" s="134"/>
      <c r="T47" s="134"/>
    </row>
    <row r="48" spans="1:21" ht="27" hidden="1" customHeight="1">
      <c r="A48" s="135" t="s">
        <v>27</v>
      </c>
      <c r="B48" s="138"/>
      <c r="C48" s="133"/>
      <c r="D48" s="133">
        <v>8538</v>
      </c>
      <c r="E48" s="133"/>
      <c r="F48" s="133"/>
      <c r="G48" s="133"/>
      <c r="H48" s="133"/>
      <c r="I48" s="133"/>
      <c r="J48" s="133"/>
      <c r="K48" s="133"/>
      <c r="L48" s="133"/>
      <c r="M48" s="133"/>
      <c r="P48" s="133"/>
      <c r="Q48" s="133"/>
      <c r="R48" s="133"/>
      <c r="S48" s="134"/>
      <c r="T48" s="134"/>
    </row>
    <row r="49" spans="1:20" ht="14.4" hidden="1" customHeight="1">
      <c r="A49" s="135" t="s">
        <v>28</v>
      </c>
      <c r="B49" s="139"/>
      <c r="C49" s="140"/>
      <c r="D49" s="140">
        <v>241</v>
      </c>
      <c r="E49" s="140"/>
      <c r="F49" s="140"/>
      <c r="G49" s="140"/>
      <c r="H49" s="140"/>
      <c r="I49" s="140"/>
      <c r="J49" s="140"/>
      <c r="K49" s="140"/>
      <c r="L49" s="140"/>
      <c r="M49" s="140"/>
      <c r="P49" s="140"/>
      <c r="Q49" s="140"/>
      <c r="R49" s="140"/>
      <c r="S49" s="134"/>
      <c r="T49" s="134"/>
    </row>
    <row r="50" spans="1:20" ht="27" hidden="1" customHeight="1">
      <c r="A50" s="135" t="s">
        <v>29</v>
      </c>
      <c r="B50" s="139"/>
      <c r="C50" s="140"/>
      <c r="D50" s="140">
        <v>19396</v>
      </c>
      <c r="E50" s="140"/>
      <c r="F50" s="140"/>
      <c r="G50" s="140"/>
      <c r="H50" s="140"/>
      <c r="I50" s="140"/>
      <c r="J50" s="140"/>
      <c r="K50" s="140"/>
      <c r="L50" s="140"/>
      <c r="M50" s="140"/>
      <c r="P50" s="140"/>
      <c r="Q50" s="140"/>
      <c r="R50" s="140"/>
      <c r="S50" s="134"/>
      <c r="T50" s="134"/>
    </row>
    <row r="51" spans="1:20" ht="14.4" hidden="1" customHeight="1">
      <c r="A51" s="135" t="s">
        <v>30</v>
      </c>
      <c r="B51" s="139"/>
      <c r="C51" s="140"/>
      <c r="D51" s="140">
        <v>51044</v>
      </c>
      <c r="E51" s="140"/>
      <c r="F51" s="140"/>
      <c r="G51" s="140"/>
      <c r="H51" s="140"/>
      <c r="I51" s="140"/>
      <c r="J51" s="140"/>
      <c r="K51" s="140"/>
      <c r="L51" s="140"/>
      <c r="M51" s="140"/>
      <c r="P51" s="140"/>
      <c r="Q51" s="140"/>
      <c r="R51" s="140"/>
      <c r="S51" s="134"/>
      <c r="T51" s="134"/>
    </row>
    <row r="52" spans="1:20" ht="14.4" hidden="1" customHeight="1">
      <c r="A52" s="135" t="s">
        <v>129</v>
      </c>
      <c r="B52" s="139"/>
      <c r="C52" s="140"/>
      <c r="D52" s="140">
        <v>12620</v>
      </c>
      <c r="E52" s="140"/>
      <c r="F52" s="140"/>
      <c r="G52" s="140"/>
      <c r="H52" s="140"/>
      <c r="I52" s="140"/>
      <c r="J52" s="140"/>
      <c r="K52" s="140"/>
      <c r="L52" s="140"/>
      <c r="M52" s="140"/>
      <c r="P52" s="140"/>
      <c r="Q52" s="140"/>
      <c r="R52" s="140"/>
      <c r="S52" s="134"/>
      <c r="T52" s="134"/>
    </row>
    <row r="53" spans="1:20" ht="14.4" hidden="1" customHeight="1">
      <c r="A53" s="135" t="s">
        <v>32</v>
      </c>
      <c r="B53" s="139"/>
      <c r="C53" s="140"/>
      <c r="D53" s="140">
        <v>1503</v>
      </c>
      <c r="E53" s="140"/>
      <c r="F53" s="140"/>
      <c r="G53" s="140"/>
      <c r="H53" s="140"/>
      <c r="I53" s="140"/>
      <c r="J53" s="140"/>
      <c r="K53" s="140"/>
      <c r="L53" s="140"/>
      <c r="M53" s="140"/>
      <c r="P53" s="140"/>
      <c r="Q53" s="140"/>
      <c r="R53" s="140"/>
      <c r="S53" s="134"/>
      <c r="T53" s="134"/>
    </row>
    <row r="54" spans="1:20" ht="13.2" hidden="1" customHeight="1">
      <c r="A54" s="141" t="s">
        <v>130</v>
      </c>
      <c r="B54" s="131">
        <f t="shared" ref="B54:L54" si="12">SUM(B47:B53)</f>
        <v>0</v>
      </c>
      <c r="C54" s="131">
        <f>SUM(C46:C53)</f>
        <v>39600</v>
      </c>
      <c r="D54" s="131">
        <f t="shared" si="12"/>
        <v>98942</v>
      </c>
      <c r="E54" s="131">
        <f t="shared" si="12"/>
        <v>0</v>
      </c>
      <c r="F54" s="131">
        <f t="shared" si="12"/>
        <v>0</v>
      </c>
      <c r="G54" s="131">
        <f t="shared" si="12"/>
        <v>0</v>
      </c>
      <c r="H54" s="131">
        <f>SUM(H47:H53)</f>
        <v>0</v>
      </c>
      <c r="I54" s="131"/>
      <c r="J54" s="131"/>
      <c r="K54" s="131">
        <f t="shared" si="12"/>
        <v>0</v>
      </c>
      <c r="L54" s="131">
        <f t="shared" si="12"/>
        <v>0</v>
      </c>
      <c r="M54" s="131"/>
      <c r="P54" s="131">
        <f t="shared" ref="P54:R54" si="13">SUM(P47:P53)</f>
        <v>0</v>
      </c>
      <c r="Q54" s="131">
        <f t="shared" si="13"/>
        <v>0</v>
      </c>
      <c r="R54" s="131">
        <f t="shared" si="13"/>
        <v>0</v>
      </c>
      <c r="S54" s="142"/>
      <c r="T54" s="142"/>
    </row>
    <row r="55" spans="1:20" ht="13.2" hidden="1" customHeight="1">
      <c r="A55" s="141"/>
      <c r="B55" s="144"/>
      <c r="C55" s="144"/>
      <c r="D55" s="144"/>
      <c r="E55" s="144"/>
      <c r="F55" s="144"/>
      <c r="G55" s="144"/>
      <c r="H55" s="144"/>
      <c r="I55" s="144"/>
      <c r="J55" s="144"/>
      <c r="K55" s="144"/>
      <c r="L55" s="144"/>
      <c r="M55" s="144"/>
      <c r="P55" s="144"/>
      <c r="Q55" s="144"/>
      <c r="R55" s="144"/>
      <c r="S55" s="142"/>
      <c r="T55" s="142"/>
    </row>
    <row r="56" spans="1:20" ht="27" hidden="1" customHeight="1">
      <c r="A56" s="130" t="s">
        <v>139</v>
      </c>
      <c r="B56" s="144"/>
      <c r="C56" s="145"/>
      <c r="D56" s="145"/>
      <c r="E56" s="145"/>
      <c r="F56" s="145"/>
      <c r="G56" s="145"/>
      <c r="H56" s="145"/>
      <c r="I56" s="145"/>
      <c r="J56" s="145"/>
      <c r="K56" s="145"/>
      <c r="L56" s="145"/>
      <c r="M56" s="145"/>
      <c r="P56" s="145"/>
      <c r="Q56" s="145"/>
      <c r="R56" s="145"/>
      <c r="S56" s="143"/>
      <c r="T56" s="143"/>
    </row>
    <row r="57" spans="1:20" ht="14.4" hidden="1" customHeight="1">
      <c r="A57" s="135" t="s">
        <v>138</v>
      </c>
      <c r="B57" s="138">
        <v>115402</v>
      </c>
      <c r="C57" s="133"/>
      <c r="D57" s="133"/>
      <c r="E57" s="133"/>
      <c r="F57" s="133"/>
      <c r="G57" s="133"/>
      <c r="H57" s="133"/>
      <c r="I57" s="133"/>
      <c r="J57" s="133"/>
      <c r="K57" s="133"/>
      <c r="L57" s="133"/>
      <c r="M57" s="133"/>
      <c r="P57" s="133"/>
      <c r="Q57" s="133"/>
      <c r="R57" s="133"/>
      <c r="S57" s="134"/>
      <c r="T57" s="134"/>
    </row>
    <row r="58" spans="1:20" ht="13.2" hidden="1" customHeight="1">
      <c r="A58" s="141" t="s">
        <v>130</v>
      </c>
      <c r="B58" s="131">
        <f t="shared" ref="B58:L58" si="14">SUM(B57:B57)</f>
        <v>115402</v>
      </c>
      <c r="C58" s="131">
        <f t="shared" si="14"/>
        <v>0</v>
      </c>
      <c r="D58" s="131">
        <f t="shared" si="14"/>
        <v>0</v>
      </c>
      <c r="E58" s="131">
        <f t="shared" si="14"/>
        <v>0</v>
      </c>
      <c r="F58" s="131">
        <f t="shared" si="14"/>
        <v>0</v>
      </c>
      <c r="G58" s="131">
        <f t="shared" si="14"/>
        <v>0</v>
      </c>
      <c r="H58" s="131">
        <f>SUM(H57:H57)</f>
        <v>0</v>
      </c>
      <c r="I58" s="131"/>
      <c r="J58" s="131"/>
      <c r="K58" s="131">
        <f t="shared" si="14"/>
        <v>0</v>
      </c>
      <c r="L58" s="131">
        <f t="shared" si="14"/>
        <v>0</v>
      </c>
      <c r="M58" s="131"/>
      <c r="P58" s="131">
        <f t="shared" ref="P58:R58" si="15">SUM(P57:P57)</f>
        <v>0</v>
      </c>
      <c r="Q58" s="131">
        <f t="shared" si="15"/>
        <v>0</v>
      </c>
      <c r="R58" s="131">
        <f t="shared" si="15"/>
        <v>0</v>
      </c>
      <c r="S58" s="142"/>
      <c r="T58" s="142"/>
    </row>
    <row r="59" spans="1:20" ht="13.2" hidden="1" customHeight="1">
      <c r="A59" s="141"/>
      <c r="B59" s="144"/>
      <c r="C59" s="144"/>
      <c r="D59" s="144"/>
      <c r="E59" s="144"/>
      <c r="F59" s="144"/>
      <c r="G59" s="144"/>
      <c r="H59" s="144"/>
      <c r="I59" s="144"/>
      <c r="J59" s="144"/>
      <c r="K59" s="144"/>
      <c r="L59" s="144"/>
      <c r="M59" s="144"/>
      <c r="P59" s="144"/>
      <c r="Q59" s="144"/>
      <c r="R59" s="144"/>
      <c r="S59" s="142"/>
      <c r="T59" s="142"/>
    </row>
    <row r="60" spans="1:20" ht="27" hidden="1" customHeight="1">
      <c r="A60" s="130" t="s">
        <v>140</v>
      </c>
      <c r="B60" s="131"/>
      <c r="C60" s="132"/>
      <c r="D60" s="132"/>
      <c r="E60" s="132"/>
      <c r="F60" s="132"/>
      <c r="G60" s="132"/>
      <c r="H60" s="132"/>
      <c r="I60" s="132"/>
      <c r="J60" s="132"/>
      <c r="K60" s="132"/>
      <c r="L60" s="132"/>
      <c r="M60" s="132"/>
      <c r="P60" s="132"/>
      <c r="Q60" s="132"/>
      <c r="R60" s="132"/>
      <c r="S60" s="143"/>
      <c r="T60" s="143"/>
    </row>
    <row r="61" spans="1:20" ht="27" hidden="1" customHeight="1">
      <c r="A61" s="135" t="s">
        <v>141</v>
      </c>
      <c r="B61" s="138"/>
      <c r="C61" s="133"/>
      <c r="D61" s="133">
        <v>4094</v>
      </c>
      <c r="E61" s="133">
        <v>81230</v>
      </c>
      <c r="F61" s="133"/>
      <c r="G61" s="133"/>
      <c r="H61" s="133"/>
      <c r="I61" s="133"/>
      <c r="J61" s="133"/>
      <c r="K61" s="133"/>
      <c r="L61" s="133"/>
      <c r="M61" s="133"/>
      <c r="P61" s="133"/>
      <c r="Q61" s="133"/>
      <c r="R61" s="133"/>
      <c r="S61" s="134"/>
      <c r="T61" s="134"/>
    </row>
    <row r="62" spans="1:20" ht="14.4" hidden="1" customHeight="1">
      <c r="A62" s="135" t="s">
        <v>26</v>
      </c>
      <c r="B62" s="136"/>
      <c r="C62" s="137"/>
      <c r="D62" s="137">
        <v>11655</v>
      </c>
      <c r="E62" s="137"/>
      <c r="F62" s="137"/>
      <c r="G62" s="137"/>
      <c r="H62" s="137"/>
      <c r="I62" s="137"/>
      <c r="J62" s="137"/>
      <c r="K62" s="137"/>
      <c r="L62" s="137"/>
      <c r="M62" s="137"/>
      <c r="P62" s="137"/>
      <c r="Q62" s="137"/>
      <c r="R62" s="137"/>
      <c r="S62" s="134"/>
      <c r="T62" s="134"/>
    </row>
    <row r="63" spans="1:20" ht="27" hidden="1" customHeight="1">
      <c r="A63" s="135" t="s">
        <v>27</v>
      </c>
      <c r="B63" s="138"/>
      <c r="C63" s="133"/>
      <c r="D63" s="133">
        <v>8341</v>
      </c>
      <c r="E63" s="133">
        <v>4015</v>
      </c>
      <c r="F63" s="133"/>
      <c r="G63" s="133"/>
      <c r="H63" s="133"/>
      <c r="I63" s="133"/>
      <c r="J63" s="133"/>
      <c r="K63" s="133"/>
      <c r="L63" s="133"/>
      <c r="M63" s="133"/>
      <c r="P63" s="133"/>
      <c r="Q63" s="133"/>
      <c r="R63" s="133"/>
      <c r="S63" s="134"/>
      <c r="T63" s="134"/>
    </row>
    <row r="64" spans="1:20" ht="14.4" hidden="1" customHeight="1">
      <c r="A64" s="135" t="s">
        <v>28</v>
      </c>
      <c r="B64" s="139"/>
      <c r="C64" s="140"/>
      <c r="D64" s="140">
        <v>924</v>
      </c>
      <c r="E64" s="140">
        <v>469</v>
      </c>
      <c r="F64" s="140"/>
      <c r="G64" s="140"/>
      <c r="H64" s="140"/>
      <c r="I64" s="140"/>
      <c r="J64" s="140"/>
      <c r="K64" s="140"/>
      <c r="L64" s="140"/>
      <c r="M64" s="140"/>
      <c r="P64" s="140"/>
      <c r="Q64" s="140"/>
      <c r="R64" s="140"/>
      <c r="S64" s="134"/>
      <c r="T64" s="134"/>
    </row>
    <row r="65" spans="1:20" ht="27" hidden="1" customHeight="1">
      <c r="A65" s="135" t="s">
        <v>29</v>
      </c>
      <c r="B65" s="139"/>
      <c r="C65" s="140"/>
      <c r="D65" s="140">
        <v>55553</v>
      </c>
      <c r="E65" s="140">
        <v>6351</v>
      </c>
      <c r="F65" s="140"/>
      <c r="G65" s="140"/>
      <c r="H65" s="140"/>
      <c r="I65" s="140"/>
      <c r="J65" s="140"/>
      <c r="K65" s="140"/>
      <c r="L65" s="140"/>
      <c r="M65" s="140"/>
      <c r="P65" s="140"/>
      <c r="Q65" s="140"/>
      <c r="R65" s="140"/>
      <c r="S65" s="134"/>
      <c r="T65" s="134"/>
    </row>
    <row r="66" spans="1:20" ht="14.4" hidden="1" customHeight="1">
      <c r="A66" s="135" t="s">
        <v>30</v>
      </c>
      <c r="B66" s="139"/>
      <c r="C66" s="140"/>
      <c r="D66" s="140">
        <v>1007</v>
      </c>
      <c r="E66" s="140">
        <v>1807</v>
      </c>
      <c r="F66" s="140"/>
      <c r="G66" s="140"/>
      <c r="H66" s="140"/>
      <c r="I66" s="140"/>
      <c r="J66" s="140"/>
      <c r="K66" s="140"/>
      <c r="L66" s="140"/>
      <c r="M66" s="140"/>
      <c r="P66" s="140"/>
      <c r="Q66" s="140"/>
      <c r="R66" s="140"/>
      <c r="S66" s="134"/>
      <c r="T66" s="134"/>
    </row>
    <row r="67" spans="1:20" ht="14.4" hidden="1" customHeight="1">
      <c r="A67" s="135" t="s">
        <v>129</v>
      </c>
      <c r="B67" s="139"/>
      <c r="C67" s="140"/>
      <c r="D67" s="140"/>
      <c r="E67" s="140"/>
      <c r="F67" s="140"/>
      <c r="G67" s="140"/>
      <c r="H67" s="140"/>
      <c r="I67" s="140"/>
      <c r="J67" s="140"/>
      <c r="K67" s="140"/>
      <c r="L67" s="140"/>
      <c r="M67" s="140"/>
      <c r="P67" s="140"/>
      <c r="Q67" s="140"/>
      <c r="R67" s="140"/>
      <c r="S67" s="134"/>
      <c r="T67" s="134"/>
    </row>
    <row r="68" spans="1:20" ht="14.4" hidden="1" customHeight="1">
      <c r="A68" s="135" t="s">
        <v>32</v>
      </c>
      <c r="B68" s="139"/>
      <c r="C68" s="140"/>
      <c r="D68" s="140"/>
      <c r="E68" s="140">
        <v>32243</v>
      </c>
      <c r="F68" s="140"/>
      <c r="G68" s="140"/>
      <c r="H68" s="140"/>
      <c r="I68" s="140"/>
      <c r="J68" s="140"/>
      <c r="K68" s="140"/>
      <c r="L68" s="140"/>
      <c r="M68" s="140"/>
      <c r="P68" s="140"/>
      <c r="Q68" s="140"/>
      <c r="R68" s="140"/>
      <c r="S68" s="134"/>
      <c r="T68" s="134"/>
    </row>
    <row r="69" spans="1:20" ht="13.2" hidden="1" customHeight="1">
      <c r="A69" s="141" t="s">
        <v>130</v>
      </c>
      <c r="B69" s="131">
        <f>SUM(B61:B68)</f>
        <v>0</v>
      </c>
      <c r="C69" s="131">
        <f t="shared" ref="C69:L69" si="16">SUM(C61:C68)</f>
        <v>0</v>
      </c>
      <c r="D69" s="131">
        <f t="shared" si="16"/>
        <v>81574</v>
      </c>
      <c r="E69" s="131">
        <f t="shared" si="16"/>
        <v>126115</v>
      </c>
      <c r="F69" s="131">
        <f t="shared" si="16"/>
        <v>0</v>
      </c>
      <c r="G69" s="131">
        <f t="shared" si="16"/>
        <v>0</v>
      </c>
      <c r="H69" s="131">
        <f>SUM(H61:H68)</f>
        <v>0</v>
      </c>
      <c r="I69" s="131"/>
      <c r="J69" s="131"/>
      <c r="K69" s="131">
        <f t="shared" si="16"/>
        <v>0</v>
      </c>
      <c r="L69" s="131">
        <f t="shared" si="16"/>
        <v>0</v>
      </c>
      <c r="M69" s="131"/>
      <c r="P69" s="131">
        <f t="shared" ref="P69:R69" si="17">SUM(P61:P68)</f>
        <v>0</v>
      </c>
      <c r="Q69" s="131">
        <f t="shared" si="17"/>
        <v>0</v>
      </c>
      <c r="R69" s="131">
        <f t="shared" si="17"/>
        <v>0</v>
      </c>
      <c r="S69" s="142"/>
      <c r="T69" s="142"/>
    </row>
    <row r="70" spans="1:20" ht="13.2" hidden="1" customHeight="1">
      <c r="A70" s="141"/>
      <c r="B70" s="131"/>
      <c r="C70" s="131"/>
      <c r="D70" s="131"/>
      <c r="E70" s="131"/>
      <c r="F70" s="131"/>
      <c r="G70" s="131"/>
      <c r="H70" s="131"/>
      <c r="I70" s="131"/>
      <c r="J70" s="131"/>
      <c r="K70" s="131"/>
      <c r="L70" s="131"/>
      <c r="M70" s="131"/>
      <c r="P70" s="131"/>
      <c r="Q70" s="131"/>
      <c r="R70" s="131"/>
      <c r="S70" s="142"/>
      <c r="T70" s="142"/>
    </row>
    <row r="71" spans="1:20" ht="27" hidden="1" customHeight="1">
      <c r="A71" s="130" t="s">
        <v>142</v>
      </c>
      <c r="B71" s="131"/>
      <c r="C71" s="132"/>
      <c r="D71" s="132"/>
      <c r="E71" s="132"/>
      <c r="F71" s="132"/>
      <c r="G71" s="132"/>
      <c r="H71" s="132"/>
      <c r="I71" s="132"/>
      <c r="J71" s="132"/>
      <c r="K71" s="132"/>
      <c r="L71" s="132"/>
      <c r="M71" s="132"/>
      <c r="P71" s="132"/>
      <c r="Q71" s="132"/>
      <c r="R71" s="132"/>
      <c r="S71" s="143"/>
      <c r="T71" s="143"/>
    </row>
    <row r="72" spans="1:20" ht="27" hidden="1" customHeight="1">
      <c r="A72" s="135" t="s">
        <v>141</v>
      </c>
      <c r="B72" s="138"/>
      <c r="C72" s="133"/>
      <c r="D72" s="133">
        <v>113046</v>
      </c>
      <c r="E72" s="133"/>
      <c r="F72" s="133"/>
      <c r="G72" s="133"/>
      <c r="H72" s="133"/>
      <c r="I72" s="133"/>
      <c r="J72" s="133"/>
      <c r="K72" s="133"/>
      <c r="L72" s="133"/>
      <c r="M72" s="133"/>
      <c r="P72" s="133"/>
      <c r="Q72" s="133"/>
      <c r="R72" s="133"/>
      <c r="S72" s="134"/>
      <c r="T72" s="134"/>
    </row>
    <row r="73" spans="1:20" ht="14.4" hidden="1" customHeight="1">
      <c r="A73" s="135" t="s">
        <v>26</v>
      </c>
      <c r="B73" s="136"/>
      <c r="C73" s="137"/>
      <c r="D73" s="137"/>
      <c r="E73" s="137"/>
      <c r="F73" s="137"/>
      <c r="G73" s="137"/>
      <c r="H73" s="137"/>
      <c r="I73" s="137"/>
      <c r="J73" s="137"/>
      <c r="K73" s="137"/>
      <c r="L73" s="137"/>
      <c r="M73" s="137"/>
      <c r="P73" s="137"/>
      <c r="Q73" s="137"/>
      <c r="R73" s="137"/>
      <c r="S73" s="134"/>
      <c r="T73" s="134"/>
    </row>
    <row r="74" spans="1:20" ht="27" hidden="1" customHeight="1">
      <c r="A74" s="135" t="s">
        <v>27</v>
      </c>
      <c r="B74" s="138"/>
      <c r="C74" s="133"/>
      <c r="D74" s="133">
        <v>224</v>
      </c>
      <c r="E74" s="133"/>
      <c r="F74" s="133"/>
      <c r="G74" s="133"/>
      <c r="H74" s="133"/>
      <c r="I74" s="133"/>
      <c r="J74" s="133"/>
      <c r="K74" s="133"/>
      <c r="L74" s="133"/>
      <c r="M74" s="133"/>
      <c r="P74" s="133"/>
      <c r="Q74" s="133"/>
      <c r="R74" s="133"/>
      <c r="S74" s="134"/>
      <c r="T74" s="134"/>
    </row>
    <row r="75" spans="1:20" ht="14.4" hidden="1" customHeight="1">
      <c r="A75" s="135" t="s">
        <v>28</v>
      </c>
      <c r="B75" s="139"/>
      <c r="C75" s="140"/>
      <c r="D75" s="140"/>
      <c r="E75" s="140"/>
      <c r="F75" s="140"/>
      <c r="G75" s="140"/>
      <c r="H75" s="140"/>
      <c r="I75" s="140"/>
      <c r="J75" s="140"/>
      <c r="K75" s="140"/>
      <c r="L75" s="140"/>
      <c r="M75" s="140"/>
      <c r="P75" s="140"/>
      <c r="Q75" s="140"/>
      <c r="R75" s="140"/>
      <c r="S75" s="134"/>
      <c r="T75" s="134"/>
    </row>
    <row r="76" spans="1:20" ht="27" hidden="1" customHeight="1">
      <c r="A76" s="135" t="s">
        <v>29</v>
      </c>
      <c r="B76" s="139"/>
      <c r="C76" s="140"/>
      <c r="D76" s="140">
        <v>13726</v>
      </c>
      <c r="E76" s="140"/>
      <c r="F76" s="140"/>
      <c r="G76" s="140"/>
      <c r="H76" s="140"/>
      <c r="I76" s="140"/>
      <c r="J76" s="140"/>
      <c r="K76" s="140"/>
      <c r="L76" s="140"/>
      <c r="M76" s="140"/>
      <c r="P76" s="140"/>
      <c r="Q76" s="140"/>
      <c r="R76" s="140"/>
      <c r="S76" s="134"/>
      <c r="T76" s="134"/>
    </row>
    <row r="77" spans="1:20" ht="14.4" hidden="1" customHeight="1">
      <c r="A77" s="135" t="s">
        <v>30</v>
      </c>
      <c r="B77" s="139"/>
      <c r="C77" s="140"/>
      <c r="D77" s="140"/>
      <c r="E77" s="140"/>
      <c r="F77" s="140"/>
      <c r="G77" s="140"/>
      <c r="H77" s="140"/>
      <c r="I77" s="140"/>
      <c r="J77" s="140"/>
      <c r="K77" s="140"/>
      <c r="L77" s="140"/>
      <c r="M77" s="140"/>
      <c r="P77" s="140"/>
      <c r="Q77" s="140"/>
      <c r="R77" s="140"/>
      <c r="S77" s="134"/>
      <c r="T77" s="134"/>
    </row>
    <row r="78" spans="1:20" ht="14.4" hidden="1" customHeight="1">
      <c r="A78" s="135" t="s">
        <v>129</v>
      </c>
      <c r="B78" s="139"/>
      <c r="C78" s="140"/>
      <c r="D78" s="140"/>
      <c r="E78" s="140"/>
      <c r="F78" s="140"/>
      <c r="G78" s="140"/>
      <c r="H78" s="140"/>
      <c r="I78" s="140"/>
      <c r="J78" s="140"/>
      <c r="K78" s="140"/>
      <c r="L78" s="140"/>
      <c r="M78" s="140"/>
      <c r="P78" s="140"/>
      <c r="Q78" s="140"/>
      <c r="R78" s="140"/>
      <c r="S78" s="134"/>
      <c r="T78" s="134"/>
    </row>
    <row r="79" spans="1:20" ht="14.4" hidden="1" customHeight="1">
      <c r="A79" s="135" t="s">
        <v>32</v>
      </c>
      <c r="B79" s="139"/>
      <c r="C79" s="140"/>
      <c r="D79" s="140"/>
      <c r="E79" s="140"/>
      <c r="F79" s="140"/>
      <c r="G79" s="140"/>
      <c r="H79" s="140"/>
      <c r="I79" s="140"/>
      <c r="J79" s="140"/>
      <c r="K79" s="140"/>
      <c r="L79" s="140"/>
      <c r="M79" s="140"/>
      <c r="P79" s="140"/>
      <c r="Q79" s="140"/>
      <c r="R79" s="140"/>
      <c r="S79" s="134"/>
      <c r="T79" s="134"/>
    </row>
    <row r="80" spans="1:20" ht="13.2" hidden="1" customHeight="1">
      <c r="A80" s="141" t="s">
        <v>130</v>
      </c>
      <c r="B80" s="131">
        <f>SUM(B72:B79)</f>
        <v>0</v>
      </c>
      <c r="C80" s="131">
        <f t="shared" ref="C80:L80" si="18">SUM(C72:C79)</f>
        <v>0</v>
      </c>
      <c r="D80" s="131">
        <f t="shared" si="18"/>
        <v>126996</v>
      </c>
      <c r="E80" s="131">
        <f t="shared" si="18"/>
        <v>0</v>
      </c>
      <c r="F80" s="131">
        <f t="shared" si="18"/>
        <v>0</v>
      </c>
      <c r="G80" s="131">
        <f t="shared" si="18"/>
        <v>0</v>
      </c>
      <c r="H80" s="131">
        <f>SUM(H72:H79)</f>
        <v>0</v>
      </c>
      <c r="I80" s="131"/>
      <c r="J80" s="131"/>
      <c r="K80" s="131">
        <f t="shared" si="18"/>
        <v>0</v>
      </c>
      <c r="L80" s="131">
        <f t="shared" si="18"/>
        <v>0</v>
      </c>
      <c r="M80" s="131"/>
      <c r="P80" s="131">
        <f t="shared" ref="P80:R80" si="19">SUM(P72:P79)</f>
        <v>0</v>
      </c>
      <c r="Q80" s="131">
        <f t="shared" si="19"/>
        <v>0</v>
      </c>
      <c r="R80" s="131">
        <f t="shared" si="19"/>
        <v>0</v>
      </c>
      <c r="S80" s="142"/>
      <c r="T80" s="142"/>
    </row>
    <row r="81" spans="1:20" ht="13.2" hidden="1" customHeight="1">
      <c r="A81" s="141"/>
      <c r="B81" s="131"/>
      <c r="C81" s="131"/>
      <c r="D81" s="131"/>
      <c r="E81" s="131"/>
      <c r="F81" s="131"/>
      <c r="G81" s="131"/>
      <c r="H81" s="131"/>
      <c r="I81" s="131"/>
      <c r="J81" s="131"/>
      <c r="K81" s="131"/>
      <c r="L81" s="131"/>
      <c r="M81" s="131"/>
      <c r="P81" s="131"/>
      <c r="Q81" s="131"/>
      <c r="R81" s="131"/>
      <c r="S81" s="142"/>
      <c r="T81" s="142"/>
    </row>
    <row r="82" spans="1:20" ht="27" hidden="1" customHeight="1">
      <c r="A82" s="130" t="s">
        <v>143</v>
      </c>
      <c r="B82" s="144"/>
      <c r="C82" s="145"/>
      <c r="D82" s="145"/>
      <c r="E82" s="145"/>
      <c r="F82" s="145"/>
      <c r="G82" s="145"/>
      <c r="H82" s="145"/>
      <c r="I82" s="145"/>
      <c r="J82" s="145"/>
      <c r="K82" s="145"/>
      <c r="L82" s="145"/>
      <c r="M82" s="145"/>
      <c r="P82" s="145"/>
      <c r="Q82" s="145"/>
      <c r="R82" s="145"/>
      <c r="S82" s="143"/>
      <c r="T82" s="143"/>
    </row>
    <row r="83" spans="1:20" ht="14.4" hidden="1" customHeight="1">
      <c r="A83" s="135" t="s">
        <v>26</v>
      </c>
      <c r="B83" s="136"/>
      <c r="C83" s="137"/>
      <c r="D83" s="137"/>
      <c r="E83" s="137">
        <v>17082</v>
      </c>
      <c r="F83" s="137">
        <v>84318</v>
      </c>
      <c r="G83" s="137"/>
      <c r="H83" s="137"/>
      <c r="I83" s="137"/>
      <c r="J83" s="137"/>
      <c r="K83" s="137"/>
      <c r="L83" s="137"/>
      <c r="M83" s="137"/>
      <c r="P83" s="137"/>
      <c r="Q83" s="137"/>
      <c r="R83" s="137"/>
      <c r="S83" s="134"/>
      <c r="T83" s="134"/>
    </row>
    <row r="84" spans="1:20" ht="27" hidden="1" customHeight="1">
      <c r="A84" s="135" t="s">
        <v>27</v>
      </c>
      <c r="B84" s="138"/>
      <c r="C84" s="133"/>
      <c r="D84" s="133"/>
      <c r="E84" s="133">
        <v>35587</v>
      </c>
      <c r="F84" s="133"/>
      <c r="G84" s="133"/>
      <c r="H84" s="133"/>
      <c r="I84" s="133"/>
      <c r="J84" s="133"/>
      <c r="K84" s="133"/>
      <c r="L84" s="133"/>
      <c r="M84" s="133"/>
      <c r="P84" s="133"/>
      <c r="Q84" s="133"/>
      <c r="R84" s="133"/>
      <c r="S84" s="134"/>
      <c r="T84" s="134"/>
    </row>
    <row r="85" spans="1:20" ht="14.4" hidden="1" customHeight="1">
      <c r="A85" s="135" t="s">
        <v>28</v>
      </c>
      <c r="B85" s="139"/>
      <c r="C85" s="140"/>
      <c r="D85" s="140"/>
      <c r="E85" s="140">
        <v>1495</v>
      </c>
      <c r="F85" s="140"/>
      <c r="G85" s="140"/>
      <c r="H85" s="140"/>
      <c r="I85" s="140"/>
      <c r="J85" s="140"/>
      <c r="K85" s="140"/>
      <c r="L85" s="140"/>
      <c r="M85" s="140"/>
      <c r="P85" s="140"/>
      <c r="Q85" s="140"/>
      <c r="R85" s="140"/>
      <c r="S85" s="134"/>
      <c r="T85" s="134"/>
    </row>
    <row r="86" spans="1:20" ht="27" hidden="1" customHeight="1">
      <c r="A86" s="135" t="s">
        <v>29</v>
      </c>
      <c r="B86" s="139"/>
      <c r="C86" s="140"/>
      <c r="D86" s="140"/>
      <c r="E86" s="140">
        <v>1924</v>
      </c>
      <c r="F86" s="140"/>
      <c r="G86" s="140"/>
      <c r="H86" s="140"/>
      <c r="I86" s="140"/>
      <c r="J86" s="140"/>
      <c r="K86" s="140"/>
      <c r="L86" s="140"/>
      <c r="M86" s="140"/>
      <c r="P86" s="140"/>
      <c r="Q86" s="140"/>
      <c r="R86" s="140"/>
      <c r="S86" s="134"/>
      <c r="T86" s="134"/>
    </row>
    <row r="87" spans="1:20" ht="14.4" hidden="1" customHeight="1">
      <c r="A87" s="135" t="s">
        <v>30</v>
      </c>
      <c r="B87" s="139"/>
      <c r="C87" s="140"/>
      <c r="D87" s="140"/>
      <c r="E87" s="140"/>
      <c r="F87" s="140"/>
      <c r="G87" s="140"/>
      <c r="H87" s="140"/>
      <c r="I87" s="140"/>
      <c r="J87" s="140"/>
      <c r="K87" s="140"/>
      <c r="L87" s="140"/>
      <c r="M87" s="140"/>
      <c r="P87" s="140"/>
      <c r="Q87" s="140"/>
      <c r="R87" s="140"/>
      <c r="S87" s="134"/>
      <c r="T87" s="134"/>
    </row>
    <row r="88" spans="1:20" ht="14.4" hidden="1" customHeight="1">
      <c r="A88" s="135" t="s">
        <v>129</v>
      </c>
      <c r="B88" s="139"/>
      <c r="C88" s="140"/>
      <c r="D88" s="140"/>
      <c r="E88" s="140"/>
      <c r="F88" s="140"/>
      <c r="G88" s="140"/>
      <c r="H88" s="140"/>
      <c r="I88" s="140"/>
      <c r="J88" s="140"/>
      <c r="K88" s="140"/>
      <c r="L88" s="140"/>
      <c r="M88" s="140"/>
      <c r="P88" s="140"/>
      <c r="Q88" s="140"/>
      <c r="R88" s="140"/>
      <c r="S88" s="134"/>
      <c r="T88" s="134"/>
    </row>
    <row r="89" spans="1:20" ht="14.4" hidden="1" customHeight="1">
      <c r="A89" s="135" t="s">
        <v>32</v>
      </c>
      <c r="B89" s="139"/>
      <c r="C89" s="140"/>
      <c r="D89" s="140"/>
      <c r="E89" s="140"/>
      <c r="F89" s="140"/>
      <c r="G89" s="140"/>
      <c r="H89" s="140"/>
      <c r="I89" s="140"/>
      <c r="J89" s="140"/>
      <c r="K89" s="140"/>
      <c r="L89" s="140"/>
      <c r="M89" s="140"/>
      <c r="P89" s="140"/>
      <c r="Q89" s="140"/>
      <c r="R89" s="140"/>
      <c r="S89" s="134"/>
      <c r="T89" s="134"/>
    </row>
    <row r="90" spans="1:20" ht="13.2" hidden="1" customHeight="1">
      <c r="A90" s="141" t="s">
        <v>130</v>
      </c>
      <c r="B90" s="131">
        <f t="shared" ref="B90:L90" si="20">SUM(B83:B89)</f>
        <v>0</v>
      </c>
      <c r="C90" s="131">
        <f t="shared" si="20"/>
        <v>0</v>
      </c>
      <c r="D90" s="131">
        <f t="shared" si="20"/>
        <v>0</v>
      </c>
      <c r="E90" s="131">
        <f t="shared" si="20"/>
        <v>56088</v>
      </c>
      <c r="F90" s="131">
        <f t="shared" si="20"/>
        <v>84318</v>
      </c>
      <c r="G90" s="131">
        <f t="shared" si="20"/>
        <v>0</v>
      </c>
      <c r="H90" s="131">
        <f>SUM(H83:H89)</f>
        <v>0</v>
      </c>
      <c r="I90" s="131"/>
      <c r="J90" s="131"/>
      <c r="K90" s="131">
        <f t="shared" si="20"/>
        <v>0</v>
      </c>
      <c r="L90" s="131">
        <f t="shared" si="20"/>
        <v>0</v>
      </c>
      <c r="M90" s="131"/>
      <c r="P90" s="131">
        <f t="shared" ref="P90:R90" si="21">SUM(P83:P89)</f>
        <v>0</v>
      </c>
      <c r="Q90" s="131">
        <f t="shared" si="21"/>
        <v>0</v>
      </c>
      <c r="R90" s="131">
        <f t="shared" si="21"/>
        <v>0</v>
      </c>
      <c r="S90" s="142"/>
      <c r="T90" s="142"/>
    </row>
    <row r="91" spans="1:20" ht="13.2" hidden="1" customHeight="1">
      <c r="A91" s="141"/>
      <c r="B91" s="144"/>
      <c r="C91" s="144"/>
      <c r="D91" s="144"/>
      <c r="E91" s="144"/>
      <c r="F91" s="144"/>
      <c r="G91" s="144"/>
      <c r="H91" s="144"/>
      <c r="I91" s="144"/>
      <c r="J91" s="144"/>
      <c r="K91" s="144"/>
      <c r="L91" s="144"/>
      <c r="M91" s="144"/>
      <c r="P91" s="144"/>
      <c r="Q91" s="144"/>
      <c r="R91" s="144"/>
      <c r="S91" s="142"/>
      <c r="T91" s="142"/>
    </row>
    <row r="92" spans="1:20" ht="27">
      <c r="A92" s="130" t="s">
        <v>144</v>
      </c>
      <c r="B92" s="144"/>
      <c r="C92" s="145"/>
      <c r="D92" s="145"/>
      <c r="E92" s="145"/>
      <c r="F92" s="145"/>
      <c r="G92" s="145"/>
      <c r="H92" s="145"/>
      <c r="I92" s="145"/>
      <c r="J92" s="145"/>
      <c r="K92" s="145"/>
      <c r="L92" s="145"/>
      <c r="M92" s="145"/>
      <c r="P92" s="145"/>
      <c r="Q92" s="145"/>
      <c r="R92" s="145"/>
      <c r="S92" s="143"/>
      <c r="T92" s="143"/>
    </row>
    <row r="93" spans="1:20" ht="14.4">
      <c r="A93" s="135" t="s">
        <v>141</v>
      </c>
      <c r="B93" s="138"/>
      <c r="C93" s="133"/>
      <c r="D93" s="133"/>
      <c r="E93" s="133"/>
      <c r="F93" s="133"/>
      <c r="G93" s="133"/>
      <c r="H93" s="133"/>
      <c r="I93" s="133"/>
      <c r="J93" s="133"/>
      <c r="K93" s="133">
        <v>256064</v>
      </c>
      <c r="L93" s="133">
        <v>256064</v>
      </c>
      <c r="M93" s="133">
        <v>217758</v>
      </c>
      <c r="P93" s="133"/>
      <c r="Q93" s="133"/>
      <c r="R93" s="133"/>
      <c r="S93" s="134"/>
      <c r="T93" s="134"/>
    </row>
    <row r="94" spans="1:20" ht="14.4">
      <c r="A94" s="135" t="s">
        <v>26</v>
      </c>
      <c r="B94" s="138"/>
      <c r="C94" s="133"/>
      <c r="D94" s="133"/>
      <c r="E94" s="133"/>
      <c r="F94" s="133"/>
      <c r="G94" s="133"/>
      <c r="H94" s="133"/>
      <c r="I94" s="133"/>
      <c r="J94" s="133"/>
      <c r="K94" s="133">
        <v>30125</v>
      </c>
      <c r="L94" s="133">
        <v>30125</v>
      </c>
      <c r="M94" s="133">
        <v>25619</v>
      </c>
      <c r="P94" s="133"/>
      <c r="Q94" s="133"/>
      <c r="R94" s="133"/>
      <c r="S94" s="134"/>
      <c r="T94" s="134"/>
    </row>
    <row r="95" spans="1:20" ht="14.4">
      <c r="A95" s="135" t="s">
        <v>27</v>
      </c>
      <c r="B95" s="138"/>
      <c r="C95" s="133"/>
      <c r="D95" s="133"/>
      <c r="E95" s="133"/>
      <c r="F95" s="133"/>
      <c r="G95" s="133"/>
      <c r="H95" s="133"/>
      <c r="I95" s="133"/>
      <c r="J95" s="133"/>
      <c r="K95" s="133">
        <v>15063</v>
      </c>
      <c r="L95" s="133">
        <v>15063</v>
      </c>
      <c r="M95" s="133">
        <v>12809</v>
      </c>
      <c r="P95" s="133"/>
      <c r="Q95" s="133"/>
      <c r="R95" s="133"/>
      <c r="S95" s="134"/>
      <c r="T95" s="134"/>
    </row>
    <row r="96" spans="1:20">
      <c r="A96" s="141" t="s">
        <v>130</v>
      </c>
      <c r="B96" s="131" t="e">
        <f>SUM(#REF!)</f>
        <v>#REF!</v>
      </c>
      <c r="C96" s="131" t="e">
        <f>SUM(#REF!)</f>
        <v>#REF!</v>
      </c>
      <c r="D96" s="131" t="e">
        <f>SUM(#REF!)</f>
        <v>#REF!</v>
      </c>
      <c r="E96" s="131" t="e">
        <f>SUM(#REF!)</f>
        <v>#REF!</v>
      </c>
      <c r="F96" s="131" t="e">
        <f>SUM(#REF!)</f>
        <v>#REF!</v>
      </c>
      <c r="G96" s="131">
        <f>SUM(G93:G95)</f>
        <v>0</v>
      </c>
      <c r="H96" s="131">
        <f>SUM(H93:H95)</f>
        <v>0</v>
      </c>
      <c r="I96" s="131">
        <v>0</v>
      </c>
      <c r="J96" s="131">
        <v>0</v>
      </c>
      <c r="K96" s="131">
        <f>SUM(K93:K95)</f>
        <v>301252</v>
      </c>
      <c r="L96" s="131">
        <f>SUM(L93:L95)</f>
        <v>301252</v>
      </c>
      <c r="M96" s="131">
        <f>SUM(M93:M95)</f>
        <v>256186</v>
      </c>
      <c r="P96" s="131">
        <f>SUM(P93:P95)</f>
        <v>0</v>
      </c>
      <c r="Q96" s="131">
        <f t="shared" ref="Q96:R96" si="22">SUM(Q93:Q95)</f>
        <v>0</v>
      </c>
      <c r="R96" s="131">
        <f t="shared" si="22"/>
        <v>0</v>
      </c>
      <c r="S96" s="142"/>
      <c r="T96" s="142"/>
    </row>
    <row r="97" spans="1:21">
      <c r="A97" s="141"/>
      <c r="B97" s="144"/>
      <c r="C97" s="144"/>
      <c r="D97" s="144"/>
      <c r="E97" s="144"/>
      <c r="F97" s="144"/>
      <c r="G97" s="144"/>
      <c r="H97" s="144"/>
      <c r="I97" s="144"/>
      <c r="J97" s="144"/>
      <c r="K97" s="144"/>
      <c r="L97" s="144"/>
      <c r="M97" s="144"/>
      <c r="P97" s="144"/>
      <c r="Q97" s="144"/>
      <c r="R97" s="144"/>
      <c r="S97" s="142"/>
      <c r="T97" s="142"/>
    </row>
    <row r="98" spans="1:21" ht="27" hidden="1" customHeight="1">
      <c r="A98" s="130" t="s">
        <v>145</v>
      </c>
      <c r="B98" s="144"/>
      <c r="C98" s="145"/>
      <c r="D98" s="145"/>
      <c r="E98" s="145"/>
      <c r="F98" s="145"/>
      <c r="G98" s="145"/>
      <c r="H98" s="145"/>
      <c r="I98" s="145"/>
      <c r="J98" s="145"/>
      <c r="K98" s="145"/>
      <c r="L98" s="145"/>
      <c r="M98" s="145"/>
      <c r="P98" s="145"/>
      <c r="Q98" s="145"/>
      <c r="R98" s="145"/>
      <c r="S98" s="143"/>
      <c r="T98" s="143"/>
    </row>
    <row r="99" spans="1:21" ht="14.4" hidden="1" customHeight="1">
      <c r="A99" s="135" t="s">
        <v>138</v>
      </c>
      <c r="B99" s="136"/>
      <c r="C99" s="137">
        <v>41250</v>
      </c>
      <c r="D99" s="137"/>
      <c r="E99" s="137"/>
      <c r="F99" s="137"/>
      <c r="G99" s="137"/>
      <c r="H99" s="137"/>
      <c r="I99" s="137"/>
      <c r="J99" s="137"/>
      <c r="K99" s="137"/>
      <c r="L99" s="137"/>
      <c r="M99" s="137"/>
      <c r="P99" s="137"/>
      <c r="Q99" s="137"/>
      <c r="R99" s="137"/>
      <c r="S99" s="134"/>
      <c r="T99" s="134"/>
    </row>
    <row r="100" spans="1:21" ht="13.2" hidden="1" customHeight="1">
      <c r="A100" s="141" t="s">
        <v>130</v>
      </c>
      <c r="B100" s="131">
        <f t="shared" ref="B100:L100" si="23">SUM(B99:B99)</f>
        <v>0</v>
      </c>
      <c r="C100" s="131">
        <f t="shared" si="23"/>
        <v>41250</v>
      </c>
      <c r="D100" s="131">
        <f t="shared" si="23"/>
        <v>0</v>
      </c>
      <c r="E100" s="131">
        <f t="shared" si="23"/>
        <v>0</v>
      </c>
      <c r="F100" s="131">
        <f t="shared" si="23"/>
        <v>0</v>
      </c>
      <c r="G100" s="131">
        <f t="shared" si="23"/>
        <v>0</v>
      </c>
      <c r="H100" s="131">
        <f>SUM(H99:H99)</f>
        <v>0</v>
      </c>
      <c r="I100" s="131"/>
      <c r="J100" s="131"/>
      <c r="K100" s="131">
        <f t="shared" si="23"/>
        <v>0</v>
      </c>
      <c r="L100" s="131">
        <f t="shared" si="23"/>
        <v>0</v>
      </c>
      <c r="M100" s="131"/>
      <c r="P100" s="131">
        <f t="shared" ref="P100:R100" si="24">SUM(P99:P99)</f>
        <v>0</v>
      </c>
      <c r="Q100" s="131">
        <f t="shared" si="24"/>
        <v>0</v>
      </c>
      <c r="R100" s="131">
        <f t="shared" si="24"/>
        <v>0</v>
      </c>
      <c r="S100" s="142"/>
      <c r="T100" s="142"/>
    </row>
    <row r="101" spans="1:21" ht="13.2" hidden="1" customHeight="1">
      <c r="A101" s="141"/>
      <c r="B101" s="144"/>
      <c r="C101" s="144"/>
      <c r="D101" s="144"/>
      <c r="E101" s="144"/>
      <c r="F101" s="144"/>
      <c r="G101" s="144"/>
      <c r="H101" s="144"/>
      <c r="I101" s="144"/>
      <c r="J101" s="144"/>
      <c r="K101" s="144"/>
      <c r="L101" s="144"/>
      <c r="M101" s="144"/>
      <c r="P101" s="144"/>
      <c r="Q101" s="144"/>
      <c r="R101" s="144"/>
      <c r="S101" s="142"/>
      <c r="T101" s="142"/>
    </row>
    <row r="102" spans="1:21" ht="27" hidden="1" customHeight="1">
      <c r="A102" s="130" t="s">
        <v>146</v>
      </c>
      <c r="B102" s="144"/>
      <c r="C102" s="145"/>
      <c r="D102" s="145"/>
      <c r="E102" s="145"/>
      <c r="F102" s="145"/>
      <c r="G102" s="145"/>
      <c r="H102" s="145"/>
      <c r="I102" s="145"/>
      <c r="J102" s="145"/>
      <c r="K102" s="145"/>
      <c r="L102" s="145"/>
      <c r="M102" s="145"/>
      <c r="P102" s="145"/>
      <c r="Q102" s="145"/>
      <c r="R102" s="145"/>
      <c r="S102" s="143"/>
      <c r="T102" s="143"/>
    </row>
    <row r="103" spans="1:21" ht="27" hidden="1" customHeight="1">
      <c r="A103" s="135" t="s">
        <v>141</v>
      </c>
      <c r="B103" s="136"/>
      <c r="C103" s="137"/>
      <c r="D103" s="137"/>
      <c r="E103" s="137"/>
      <c r="F103" s="137">
        <v>169049</v>
      </c>
      <c r="G103" s="137"/>
      <c r="H103" s="137"/>
      <c r="I103" s="137"/>
      <c r="J103" s="137"/>
      <c r="K103" s="137"/>
      <c r="L103" s="137"/>
      <c r="M103" s="137"/>
      <c r="P103" s="137"/>
      <c r="Q103" s="137"/>
      <c r="R103" s="137"/>
      <c r="S103" s="134"/>
      <c r="T103" s="134"/>
    </row>
    <row r="104" spans="1:21" ht="13.2" hidden="1" customHeight="1">
      <c r="A104" s="141" t="s">
        <v>130</v>
      </c>
      <c r="B104" s="131">
        <f t="shared" ref="B104:L104" si="25">SUM(B103:B103)</f>
        <v>0</v>
      </c>
      <c r="C104" s="131">
        <f t="shared" si="25"/>
        <v>0</v>
      </c>
      <c r="D104" s="131">
        <f t="shared" si="25"/>
        <v>0</v>
      </c>
      <c r="E104" s="131">
        <f t="shared" si="25"/>
        <v>0</v>
      </c>
      <c r="F104" s="131">
        <f t="shared" si="25"/>
        <v>169049</v>
      </c>
      <c r="G104" s="131">
        <f t="shared" si="25"/>
        <v>0</v>
      </c>
      <c r="H104" s="131">
        <f>SUM(H103:H103)</f>
        <v>0</v>
      </c>
      <c r="I104" s="131"/>
      <c r="J104" s="131"/>
      <c r="K104" s="131">
        <f t="shared" si="25"/>
        <v>0</v>
      </c>
      <c r="L104" s="131">
        <f t="shared" si="25"/>
        <v>0</v>
      </c>
      <c r="M104" s="131"/>
      <c r="P104" s="131">
        <f t="shared" ref="P104:R104" si="26">SUM(P103:P103)</f>
        <v>0</v>
      </c>
      <c r="Q104" s="131">
        <f t="shared" si="26"/>
        <v>0</v>
      </c>
      <c r="R104" s="131">
        <f t="shared" si="26"/>
        <v>0</v>
      </c>
      <c r="S104" s="142"/>
      <c r="T104" s="142"/>
    </row>
    <row r="105" spans="1:21" ht="13.2" hidden="1" customHeight="1">
      <c r="A105" s="141"/>
      <c r="B105" s="144"/>
      <c r="C105" s="144"/>
      <c r="D105" s="144"/>
      <c r="E105" s="144"/>
      <c r="F105" s="144"/>
      <c r="G105" s="144"/>
      <c r="H105" s="144"/>
      <c r="I105" s="144"/>
      <c r="J105" s="144"/>
      <c r="K105" s="144"/>
      <c r="L105" s="144"/>
      <c r="M105" s="144"/>
      <c r="P105" s="144"/>
      <c r="Q105" s="144"/>
      <c r="R105" s="144"/>
      <c r="S105" s="142"/>
      <c r="T105" s="142"/>
    </row>
    <row r="106" spans="1:21" ht="14.4">
      <c r="A106" s="130" t="s">
        <v>147</v>
      </c>
      <c r="B106" s="144"/>
      <c r="C106" s="145"/>
      <c r="D106" s="145"/>
      <c r="E106" s="145"/>
      <c r="F106" s="145"/>
      <c r="G106" s="145"/>
      <c r="H106" s="145"/>
      <c r="I106" s="145"/>
      <c r="J106" s="145"/>
      <c r="K106" s="145"/>
      <c r="L106" s="145"/>
      <c r="M106" s="145"/>
      <c r="P106" s="145"/>
      <c r="Q106" s="145"/>
      <c r="R106" s="145"/>
      <c r="S106" s="143"/>
      <c r="T106" s="143"/>
    </row>
    <row r="107" spans="1:21" ht="14.4">
      <c r="A107" s="135" t="s">
        <v>141</v>
      </c>
      <c r="B107" s="136"/>
      <c r="C107" s="137"/>
      <c r="D107" s="137"/>
      <c r="E107" s="137"/>
      <c r="F107" s="137"/>
      <c r="G107" s="137"/>
      <c r="H107" s="137"/>
      <c r="I107" s="137"/>
      <c r="J107" s="137"/>
      <c r="K107" s="137">
        <v>129422</v>
      </c>
      <c r="L107" s="137">
        <v>129422</v>
      </c>
      <c r="M107" s="137">
        <v>114638</v>
      </c>
      <c r="P107" s="137"/>
      <c r="Q107" s="137"/>
      <c r="R107" s="137"/>
      <c r="S107" s="134"/>
      <c r="T107" s="134"/>
    </row>
    <row r="108" spans="1:21">
      <c r="A108" s="141" t="s">
        <v>130</v>
      </c>
      <c r="B108" s="131">
        <f t="shared" ref="B108:M108" si="27">SUM(B107:B107)</f>
        <v>0</v>
      </c>
      <c r="C108" s="131">
        <f t="shared" si="27"/>
        <v>0</v>
      </c>
      <c r="D108" s="131">
        <f t="shared" si="27"/>
        <v>0</v>
      </c>
      <c r="E108" s="131">
        <f t="shared" si="27"/>
        <v>0</v>
      </c>
      <c r="F108" s="131">
        <f t="shared" si="27"/>
        <v>0</v>
      </c>
      <c r="G108" s="131">
        <f t="shared" si="27"/>
        <v>0</v>
      </c>
      <c r="H108" s="131">
        <f>SUM(H107:H107)</f>
        <v>0</v>
      </c>
      <c r="I108" s="131">
        <v>0</v>
      </c>
      <c r="J108" s="131">
        <v>0</v>
      </c>
      <c r="K108" s="131">
        <f t="shared" si="27"/>
        <v>129422</v>
      </c>
      <c r="L108" s="131">
        <f t="shared" si="27"/>
        <v>129422</v>
      </c>
      <c r="M108" s="131">
        <f t="shared" si="27"/>
        <v>114638</v>
      </c>
      <c r="P108" s="131">
        <f t="shared" ref="P108:R108" si="28">SUM(P107:P107)</f>
        <v>0</v>
      </c>
      <c r="Q108" s="131">
        <f t="shared" si="28"/>
        <v>0</v>
      </c>
      <c r="R108" s="131">
        <f t="shared" si="28"/>
        <v>0</v>
      </c>
      <c r="S108" s="142"/>
      <c r="T108" s="142"/>
    </row>
    <row r="109" spans="1:21">
      <c r="A109" s="141"/>
      <c r="B109" s="144"/>
      <c r="C109" s="144"/>
      <c r="D109" s="144"/>
      <c r="E109" s="144"/>
      <c r="F109" s="144"/>
      <c r="G109" s="144"/>
      <c r="H109" s="144"/>
      <c r="I109" s="144"/>
      <c r="J109" s="144"/>
      <c r="K109" s="144"/>
      <c r="L109" s="144"/>
      <c r="M109" s="144"/>
      <c r="P109" s="144"/>
      <c r="Q109" s="144"/>
      <c r="R109" s="144"/>
      <c r="S109" s="142"/>
      <c r="T109" s="142"/>
    </row>
    <row r="110" spans="1:21" ht="14.4">
      <c r="A110" s="130" t="s">
        <v>148</v>
      </c>
      <c r="B110" s="144"/>
      <c r="C110" s="145"/>
      <c r="D110" s="145"/>
      <c r="E110" s="145"/>
      <c r="F110" s="145"/>
      <c r="G110" s="145"/>
      <c r="H110" s="145"/>
      <c r="I110" s="145"/>
      <c r="J110" s="145"/>
      <c r="K110" s="145"/>
      <c r="L110" s="145"/>
      <c r="M110" s="145"/>
      <c r="P110" s="145"/>
      <c r="Q110" s="145"/>
      <c r="R110" s="145"/>
      <c r="S110" s="143"/>
      <c r="T110" s="143"/>
      <c r="U110" s="2" t="s">
        <v>149</v>
      </c>
    </row>
    <row r="111" spans="1:21" ht="14.4">
      <c r="A111" s="130" t="s">
        <v>150</v>
      </c>
      <c r="B111" s="147"/>
      <c r="C111" s="148"/>
      <c r="D111" s="148"/>
      <c r="E111" s="148"/>
      <c r="F111" s="148"/>
      <c r="G111" s="133"/>
      <c r="H111" s="133">
        <v>-242020</v>
      </c>
      <c r="I111" s="133">
        <f>+H111</f>
        <v>-242020</v>
      </c>
      <c r="J111" s="133"/>
      <c r="K111" s="133"/>
      <c r="L111" s="133"/>
      <c r="M111" s="133"/>
      <c r="P111" s="133"/>
      <c r="Q111" s="133"/>
      <c r="R111" s="133"/>
      <c r="S111" s="134"/>
      <c r="T111" s="134"/>
    </row>
    <row r="112" spans="1:21" ht="14.4">
      <c r="A112" s="135" t="s">
        <v>141</v>
      </c>
      <c r="B112" s="136"/>
      <c r="C112" s="137"/>
      <c r="D112" s="137"/>
      <c r="E112" s="137"/>
      <c r="F112" s="137"/>
      <c r="G112" s="137">
        <v>242020</v>
      </c>
      <c r="H112" s="137">
        <v>242020</v>
      </c>
      <c r="I112" s="137">
        <f>+H112</f>
        <v>242020</v>
      </c>
      <c r="J112" s="137"/>
      <c r="K112" s="137"/>
      <c r="L112" s="137">
        <v>242020</v>
      </c>
      <c r="M112" s="137">
        <v>223550</v>
      </c>
      <c r="P112" s="137"/>
      <c r="Q112" s="137"/>
      <c r="R112" s="137">
        <f>SUM(P112:Q112)</f>
        <v>0</v>
      </c>
      <c r="S112" s="134"/>
      <c r="T112" s="134"/>
    </row>
    <row r="113" spans="1:20">
      <c r="A113" s="141" t="s">
        <v>130</v>
      </c>
      <c r="B113" s="131">
        <f t="shared" ref="B113:K113" si="29">SUM(B112:B112)</f>
        <v>0</v>
      </c>
      <c r="C113" s="131">
        <f t="shared" si="29"/>
        <v>0</v>
      </c>
      <c r="D113" s="131">
        <f t="shared" si="29"/>
        <v>0</v>
      </c>
      <c r="E113" s="131">
        <f t="shared" si="29"/>
        <v>0</v>
      </c>
      <c r="F113" s="131">
        <f t="shared" si="29"/>
        <v>0</v>
      </c>
      <c r="G113" s="131">
        <f t="shared" si="29"/>
        <v>242020</v>
      </c>
      <c r="H113" s="131">
        <f>SUM(H111:H112)</f>
        <v>0</v>
      </c>
      <c r="I113" s="131">
        <f>SUM(I111:I112)</f>
        <v>0</v>
      </c>
      <c r="J113" s="131">
        <v>0</v>
      </c>
      <c r="K113" s="131">
        <f t="shared" si="29"/>
        <v>0</v>
      </c>
      <c r="L113" s="131">
        <f>SUM(L111:L112)</f>
        <v>242020</v>
      </c>
      <c r="M113" s="131">
        <f>SUM(M111:M112)</f>
        <v>223550</v>
      </c>
      <c r="P113" s="131">
        <f t="shared" ref="P113:R113" si="30">SUM(P112:P112)</f>
        <v>0</v>
      </c>
      <c r="Q113" s="131">
        <f t="shared" si="30"/>
        <v>0</v>
      </c>
      <c r="R113" s="131">
        <f t="shared" si="30"/>
        <v>0</v>
      </c>
      <c r="S113" s="142"/>
      <c r="T113" s="142"/>
    </row>
    <row r="114" spans="1:20">
      <c r="A114" s="141"/>
      <c r="B114" s="144"/>
      <c r="C114" s="144"/>
      <c r="D114" s="144"/>
      <c r="E114" s="144"/>
      <c r="F114" s="144"/>
      <c r="G114" s="144"/>
      <c r="H114" s="144"/>
      <c r="I114" s="144"/>
      <c r="J114" s="144"/>
      <c r="K114" s="144"/>
      <c r="L114" s="144"/>
      <c r="M114" s="144"/>
      <c r="P114" s="144"/>
      <c r="Q114" s="144"/>
      <c r="R114" s="144"/>
      <c r="S114" s="142"/>
      <c r="T114" s="142"/>
    </row>
    <row r="115" spans="1:20" ht="27" hidden="1" customHeight="1">
      <c r="A115" s="130" t="s">
        <v>151</v>
      </c>
      <c r="B115" s="144"/>
      <c r="C115" s="145"/>
      <c r="D115" s="145"/>
      <c r="E115" s="145"/>
      <c r="F115" s="145"/>
      <c r="G115" s="145"/>
      <c r="H115" s="145"/>
      <c r="I115" s="145"/>
      <c r="J115" s="145"/>
      <c r="K115" s="145"/>
      <c r="L115" s="145"/>
      <c r="M115" s="145"/>
      <c r="P115" s="145"/>
      <c r="Q115" s="145"/>
      <c r="R115" s="145"/>
      <c r="S115" s="143"/>
      <c r="T115" s="143"/>
    </row>
    <row r="116" spans="1:20" ht="14.4" hidden="1" customHeight="1">
      <c r="A116" s="135" t="s">
        <v>138</v>
      </c>
      <c r="B116" s="136"/>
      <c r="C116" s="137">
        <v>143325</v>
      </c>
      <c r="D116" s="137"/>
      <c r="E116" s="137"/>
      <c r="F116" s="137"/>
      <c r="G116" s="137"/>
      <c r="H116" s="137"/>
      <c r="I116" s="137"/>
      <c r="J116" s="137"/>
      <c r="K116" s="137"/>
      <c r="L116" s="137"/>
      <c r="M116" s="137"/>
      <c r="P116" s="137"/>
      <c r="Q116" s="137"/>
      <c r="R116" s="137"/>
      <c r="S116" s="134"/>
      <c r="T116" s="134"/>
    </row>
    <row r="117" spans="1:20" ht="13.2" hidden="1" customHeight="1">
      <c r="A117" s="141" t="s">
        <v>130</v>
      </c>
      <c r="B117" s="131">
        <f t="shared" ref="B117:L117" si="31">SUM(B116:B116)</f>
        <v>0</v>
      </c>
      <c r="C117" s="131">
        <f t="shared" si="31"/>
        <v>143325</v>
      </c>
      <c r="D117" s="131">
        <f t="shared" si="31"/>
        <v>0</v>
      </c>
      <c r="E117" s="131">
        <f t="shared" si="31"/>
        <v>0</v>
      </c>
      <c r="F117" s="131">
        <f t="shared" si="31"/>
        <v>0</v>
      </c>
      <c r="G117" s="131">
        <f t="shared" si="31"/>
        <v>0</v>
      </c>
      <c r="H117" s="131">
        <f>SUM(H116:H116)</f>
        <v>0</v>
      </c>
      <c r="I117" s="131"/>
      <c r="J117" s="131"/>
      <c r="K117" s="131">
        <f t="shared" si="31"/>
        <v>0</v>
      </c>
      <c r="L117" s="131">
        <f t="shared" si="31"/>
        <v>0</v>
      </c>
      <c r="M117" s="131"/>
      <c r="P117" s="131">
        <f t="shared" ref="P117:R117" si="32">SUM(P116:P116)</f>
        <v>0</v>
      </c>
      <c r="Q117" s="131">
        <f t="shared" si="32"/>
        <v>0</v>
      </c>
      <c r="R117" s="131">
        <f t="shared" si="32"/>
        <v>0</v>
      </c>
      <c r="S117" s="142"/>
      <c r="T117" s="142"/>
    </row>
    <row r="118" spans="1:20" ht="13.2" hidden="1" customHeight="1">
      <c r="A118" s="141"/>
      <c r="B118" s="144"/>
      <c r="C118" s="144"/>
      <c r="D118" s="144"/>
      <c r="E118" s="144"/>
      <c r="F118" s="144"/>
      <c r="G118" s="144"/>
      <c r="H118" s="144"/>
      <c r="I118" s="144"/>
      <c r="J118" s="144"/>
      <c r="K118" s="144"/>
      <c r="L118" s="144"/>
      <c r="M118" s="144"/>
      <c r="P118" s="144"/>
      <c r="Q118" s="144"/>
      <c r="R118" s="144"/>
      <c r="S118" s="142"/>
      <c r="T118" s="142"/>
    </row>
    <row r="119" spans="1:20" ht="14.4" hidden="1" customHeight="1">
      <c r="A119" s="130" t="s">
        <v>152</v>
      </c>
      <c r="B119" s="144"/>
      <c r="C119" s="145"/>
      <c r="D119" s="145"/>
      <c r="E119" s="145"/>
      <c r="F119" s="145"/>
      <c r="G119" s="145"/>
      <c r="H119" s="145"/>
      <c r="I119" s="145"/>
      <c r="J119" s="145"/>
      <c r="K119" s="145"/>
      <c r="L119" s="145"/>
      <c r="M119" s="145"/>
      <c r="P119" s="145"/>
      <c r="Q119" s="145"/>
      <c r="R119" s="145"/>
      <c r="S119" s="143"/>
      <c r="T119" s="143"/>
    </row>
    <row r="120" spans="1:20" ht="14.4" hidden="1" customHeight="1">
      <c r="A120" s="135" t="s">
        <v>153</v>
      </c>
      <c r="B120" s="138"/>
      <c r="C120" s="133"/>
      <c r="D120" s="133"/>
      <c r="E120" s="133">
        <v>3263</v>
      </c>
      <c r="F120" s="133"/>
      <c r="G120" s="133"/>
      <c r="H120" s="133"/>
      <c r="I120" s="133"/>
      <c r="J120" s="133"/>
      <c r="K120" s="133"/>
      <c r="L120" s="133"/>
      <c r="M120" s="133"/>
      <c r="P120" s="133"/>
      <c r="Q120" s="133"/>
      <c r="R120" s="133"/>
      <c r="S120" s="134"/>
      <c r="T120" s="134"/>
    </row>
    <row r="121" spans="1:20" ht="27" hidden="1" customHeight="1">
      <c r="A121" s="135" t="s">
        <v>141</v>
      </c>
      <c r="B121" s="138"/>
      <c r="C121" s="133"/>
      <c r="D121" s="133"/>
      <c r="E121" s="133">
        <v>13760</v>
      </c>
      <c r="F121" s="133"/>
      <c r="G121" s="133"/>
      <c r="H121" s="133"/>
      <c r="I121" s="133"/>
      <c r="J121" s="133"/>
      <c r="K121" s="133"/>
      <c r="L121" s="133"/>
      <c r="M121" s="133"/>
      <c r="P121" s="133"/>
      <c r="Q121" s="133"/>
      <c r="R121" s="133"/>
      <c r="S121" s="134"/>
      <c r="T121" s="134"/>
    </row>
    <row r="122" spans="1:20" ht="14.4" hidden="1" customHeight="1">
      <c r="A122" s="135" t="s">
        <v>26</v>
      </c>
      <c r="B122" s="138"/>
      <c r="C122" s="133"/>
      <c r="D122" s="133"/>
      <c r="E122" s="133"/>
      <c r="F122" s="133"/>
      <c r="G122" s="133"/>
      <c r="H122" s="133"/>
      <c r="I122" s="133"/>
      <c r="J122" s="133"/>
      <c r="K122" s="133"/>
      <c r="L122" s="133"/>
      <c r="M122" s="133"/>
      <c r="P122" s="133"/>
      <c r="Q122" s="133"/>
      <c r="R122" s="133"/>
      <c r="S122" s="134"/>
      <c r="T122" s="134"/>
    </row>
    <row r="123" spans="1:20" ht="27" hidden="1" customHeight="1">
      <c r="A123" s="135" t="s">
        <v>27</v>
      </c>
      <c r="B123" s="138"/>
      <c r="C123" s="133"/>
      <c r="D123" s="133"/>
      <c r="E123" s="133"/>
      <c r="F123" s="133"/>
      <c r="G123" s="133"/>
      <c r="H123" s="133"/>
      <c r="I123" s="133"/>
      <c r="J123" s="133"/>
      <c r="K123" s="133"/>
      <c r="L123" s="133"/>
      <c r="M123" s="133"/>
      <c r="P123" s="133"/>
      <c r="Q123" s="133"/>
      <c r="R123" s="133"/>
      <c r="S123" s="134"/>
      <c r="T123" s="134"/>
    </row>
    <row r="124" spans="1:20" ht="14.4" hidden="1" customHeight="1">
      <c r="A124" s="135" t="s">
        <v>28</v>
      </c>
      <c r="B124" s="139"/>
      <c r="C124" s="140"/>
      <c r="D124" s="140"/>
      <c r="E124" s="140"/>
      <c r="F124" s="140"/>
      <c r="G124" s="140"/>
      <c r="H124" s="140"/>
      <c r="I124" s="140"/>
      <c r="J124" s="140"/>
      <c r="K124" s="140"/>
      <c r="L124" s="140"/>
      <c r="M124" s="140"/>
      <c r="P124" s="140"/>
      <c r="Q124" s="140"/>
      <c r="R124" s="140"/>
      <c r="S124" s="134"/>
      <c r="T124" s="134"/>
    </row>
    <row r="125" spans="1:20" ht="27" hidden="1" customHeight="1">
      <c r="A125" s="135" t="s">
        <v>29</v>
      </c>
      <c r="B125" s="139"/>
      <c r="C125" s="140"/>
      <c r="D125" s="140"/>
      <c r="E125" s="140"/>
      <c r="F125" s="140"/>
      <c r="G125" s="140"/>
      <c r="H125" s="140"/>
      <c r="I125" s="140"/>
      <c r="J125" s="140"/>
      <c r="K125" s="140"/>
      <c r="L125" s="140"/>
      <c r="M125" s="140"/>
      <c r="P125" s="140"/>
      <c r="Q125" s="140"/>
      <c r="R125" s="140"/>
      <c r="S125" s="134"/>
      <c r="T125" s="134"/>
    </row>
    <row r="126" spans="1:20" ht="14.4" hidden="1" customHeight="1">
      <c r="A126" s="135" t="s">
        <v>30</v>
      </c>
      <c r="B126" s="139"/>
      <c r="C126" s="140"/>
      <c r="D126" s="140"/>
      <c r="E126" s="140"/>
      <c r="F126" s="140"/>
      <c r="G126" s="140"/>
      <c r="H126" s="140"/>
      <c r="I126" s="140"/>
      <c r="J126" s="140"/>
      <c r="K126" s="140"/>
      <c r="L126" s="140"/>
      <c r="M126" s="140"/>
      <c r="P126" s="140"/>
      <c r="Q126" s="140"/>
      <c r="R126" s="140"/>
      <c r="S126" s="134"/>
      <c r="T126" s="134"/>
    </row>
    <row r="127" spans="1:20" ht="14.4" hidden="1" customHeight="1">
      <c r="A127" s="135" t="s">
        <v>129</v>
      </c>
      <c r="B127" s="139"/>
      <c r="C127" s="140"/>
      <c r="D127" s="140"/>
      <c r="E127" s="140"/>
      <c r="F127" s="140"/>
      <c r="G127" s="140"/>
      <c r="H127" s="140"/>
      <c r="I127" s="140"/>
      <c r="J127" s="140"/>
      <c r="K127" s="140"/>
      <c r="L127" s="140"/>
      <c r="M127" s="140"/>
      <c r="P127" s="140"/>
      <c r="Q127" s="140"/>
      <c r="R127" s="140"/>
      <c r="S127" s="134"/>
      <c r="T127" s="134"/>
    </row>
    <row r="128" spans="1:20" ht="14.4" hidden="1" customHeight="1">
      <c r="A128" s="135" t="s">
        <v>32</v>
      </c>
      <c r="B128" s="139"/>
      <c r="C128" s="140"/>
      <c r="D128" s="140"/>
      <c r="E128" s="140"/>
      <c r="F128" s="140"/>
      <c r="G128" s="140"/>
      <c r="H128" s="140"/>
      <c r="I128" s="140"/>
      <c r="J128" s="140"/>
      <c r="K128" s="140"/>
      <c r="L128" s="140"/>
      <c r="M128" s="140"/>
      <c r="P128" s="140"/>
      <c r="Q128" s="140"/>
      <c r="R128" s="140"/>
      <c r="S128" s="134"/>
      <c r="T128" s="134"/>
    </row>
    <row r="129" spans="1:21" ht="13.2" hidden="1" customHeight="1">
      <c r="A129" s="141" t="s">
        <v>130</v>
      </c>
      <c r="B129" s="131">
        <f t="shared" ref="B129:L129" si="33">SUM(B122:B128)</f>
        <v>0</v>
      </c>
      <c r="C129" s="131">
        <f t="shared" si="33"/>
        <v>0</v>
      </c>
      <c r="D129" s="131">
        <f t="shared" si="33"/>
        <v>0</v>
      </c>
      <c r="E129" s="131">
        <f>SUM(E120:E128)</f>
        <v>17023</v>
      </c>
      <c r="F129" s="131">
        <f t="shared" si="33"/>
        <v>0</v>
      </c>
      <c r="G129" s="131">
        <f t="shared" si="33"/>
        <v>0</v>
      </c>
      <c r="H129" s="131">
        <f>SUM(H122:H128)</f>
        <v>0</v>
      </c>
      <c r="I129" s="131"/>
      <c r="J129" s="131"/>
      <c r="K129" s="131">
        <f t="shared" si="33"/>
        <v>0</v>
      </c>
      <c r="L129" s="131">
        <f t="shared" si="33"/>
        <v>0</v>
      </c>
      <c r="M129" s="131"/>
      <c r="P129" s="131">
        <f t="shared" ref="P129:R129" si="34">SUM(P122:P128)</f>
        <v>0</v>
      </c>
      <c r="Q129" s="131">
        <f t="shared" si="34"/>
        <v>0</v>
      </c>
      <c r="R129" s="131">
        <f t="shared" si="34"/>
        <v>0</v>
      </c>
      <c r="S129" s="142"/>
      <c r="T129" s="142"/>
    </row>
    <row r="130" spans="1:21" ht="13.2" hidden="1" customHeight="1">
      <c r="A130" s="141"/>
      <c r="B130" s="144"/>
      <c r="C130" s="144"/>
      <c r="D130" s="144"/>
      <c r="E130" s="144"/>
      <c r="F130" s="144"/>
      <c r="G130" s="144"/>
      <c r="H130" s="144"/>
      <c r="I130" s="144"/>
      <c r="J130" s="144"/>
      <c r="K130" s="144"/>
      <c r="L130" s="144"/>
      <c r="M130" s="144"/>
      <c r="P130" s="144"/>
      <c r="Q130" s="144"/>
      <c r="R130" s="144"/>
      <c r="S130" s="142"/>
      <c r="T130" s="142"/>
    </row>
    <row r="131" spans="1:21" ht="14.4">
      <c r="A131" s="130" t="s">
        <v>154</v>
      </c>
      <c r="B131" s="144"/>
      <c r="C131" s="145"/>
      <c r="D131" s="145"/>
      <c r="E131" s="145"/>
      <c r="F131" s="145"/>
      <c r="G131" s="145"/>
      <c r="H131" s="145"/>
      <c r="I131" s="145"/>
      <c r="J131" s="145"/>
      <c r="K131" s="145"/>
      <c r="L131" s="145"/>
      <c r="M131" s="145"/>
      <c r="P131" s="145"/>
      <c r="Q131" s="145"/>
      <c r="R131" s="145"/>
      <c r="S131" s="143"/>
      <c r="T131" s="143"/>
      <c r="U131" s="2" t="s">
        <v>149</v>
      </c>
    </row>
    <row r="132" spans="1:21" ht="14.4">
      <c r="A132" s="130" t="s">
        <v>150</v>
      </c>
      <c r="B132" s="147"/>
      <c r="C132" s="148"/>
      <c r="D132" s="148"/>
      <c r="E132" s="148"/>
      <c r="F132" s="148"/>
      <c r="G132" s="133"/>
      <c r="H132" s="133">
        <v>-120928</v>
      </c>
      <c r="I132" s="133">
        <f>+H132</f>
        <v>-120928</v>
      </c>
      <c r="J132" s="133"/>
      <c r="K132" s="133"/>
      <c r="L132" s="133"/>
      <c r="M132" s="133"/>
      <c r="P132" s="133"/>
      <c r="Q132" s="133"/>
      <c r="R132" s="133"/>
      <c r="S132" s="134"/>
      <c r="T132" s="134"/>
    </row>
    <row r="133" spans="1:21" ht="14.4">
      <c r="A133" s="135" t="s">
        <v>141</v>
      </c>
      <c r="B133" s="136"/>
      <c r="C133" s="137"/>
      <c r="D133" s="137"/>
      <c r="E133" s="137">
        <v>102543</v>
      </c>
      <c r="F133" s="137">
        <v>147139</v>
      </c>
      <c r="G133" s="137">
        <v>120928</v>
      </c>
      <c r="H133" s="137">
        <v>120928</v>
      </c>
      <c r="I133" s="137">
        <f>+H133</f>
        <v>120928</v>
      </c>
      <c r="J133" s="137"/>
      <c r="K133" s="137">
        <v>209369</v>
      </c>
      <c r="L133" s="137">
        <f>+K133+H133</f>
        <v>330297</v>
      </c>
      <c r="M133" s="137">
        <f>187725+108191</f>
        <v>295916</v>
      </c>
      <c r="P133" s="137"/>
      <c r="Q133" s="137"/>
      <c r="R133" s="137">
        <f>SUM(P133:Q133)</f>
        <v>0</v>
      </c>
      <c r="S133" s="134"/>
      <c r="T133" s="134"/>
    </row>
    <row r="134" spans="1:21">
      <c r="A134" s="141" t="s">
        <v>130</v>
      </c>
      <c r="B134" s="131">
        <f t="shared" ref="B134:K134" si="35">SUM(B133:B133)</f>
        <v>0</v>
      </c>
      <c r="C134" s="131">
        <f t="shared" si="35"/>
        <v>0</v>
      </c>
      <c r="D134" s="131">
        <f t="shared" si="35"/>
        <v>0</v>
      </c>
      <c r="E134" s="131">
        <f t="shared" si="35"/>
        <v>102543</v>
      </c>
      <c r="F134" s="131">
        <f t="shared" si="35"/>
        <v>147139</v>
      </c>
      <c r="G134" s="131">
        <f t="shared" si="35"/>
        <v>120928</v>
      </c>
      <c r="H134" s="131">
        <f>SUM(H132:H133)</f>
        <v>0</v>
      </c>
      <c r="I134" s="131">
        <f>SUM(I132:I133)</f>
        <v>0</v>
      </c>
      <c r="J134" s="131">
        <v>0</v>
      </c>
      <c r="K134" s="131">
        <f t="shared" si="35"/>
        <v>209369</v>
      </c>
      <c r="L134" s="131">
        <f>SUM(L132:L133)</f>
        <v>330297</v>
      </c>
      <c r="M134" s="131">
        <f>SUM(M132:M133)</f>
        <v>295916</v>
      </c>
      <c r="P134" s="131">
        <f>SUM(P132:P133)</f>
        <v>0</v>
      </c>
      <c r="Q134" s="131">
        <f>SUM(Q132:Q133)</f>
        <v>0</v>
      </c>
      <c r="R134" s="131">
        <f>SUM(R132:R133)</f>
        <v>0</v>
      </c>
      <c r="S134" s="142"/>
      <c r="T134" s="142"/>
    </row>
    <row r="135" spans="1:21">
      <c r="A135" s="141"/>
      <c r="B135" s="144"/>
      <c r="C135" s="144"/>
      <c r="D135" s="144"/>
      <c r="E135" s="144"/>
      <c r="F135" s="144"/>
      <c r="G135" s="144"/>
      <c r="H135" s="144"/>
      <c r="I135" s="144"/>
      <c r="J135" s="144"/>
      <c r="K135" s="144"/>
      <c r="L135" s="144"/>
      <c r="M135" s="144"/>
      <c r="P135" s="144"/>
      <c r="Q135" s="144"/>
      <c r="R135" s="144"/>
      <c r="S135" s="142"/>
      <c r="T135" s="142"/>
    </row>
    <row r="136" spans="1:21" ht="27" hidden="1" customHeight="1">
      <c r="A136" s="130" t="s">
        <v>155</v>
      </c>
      <c r="B136" s="144"/>
      <c r="C136" s="145"/>
      <c r="D136" s="145"/>
      <c r="E136" s="145"/>
      <c r="F136" s="145"/>
      <c r="G136" s="145"/>
      <c r="H136" s="145"/>
      <c r="I136" s="145"/>
      <c r="J136" s="145"/>
      <c r="K136" s="145"/>
      <c r="L136" s="145"/>
      <c r="M136" s="145"/>
      <c r="P136" s="145"/>
      <c r="Q136" s="145"/>
      <c r="R136" s="145"/>
      <c r="S136" s="143"/>
      <c r="T136" s="143"/>
    </row>
    <row r="137" spans="1:21" ht="14.4" hidden="1" customHeight="1">
      <c r="A137" s="135" t="s">
        <v>138</v>
      </c>
      <c r="B137" s="136">
        <v>47196</v>
      </c>
      <c r="C137" s="137"/>
      <c r="D137" s="137"/>
      <c r="E137" s="137"/>
      <c r="F137" s="137"/>
      <c r="G137" s="137"/>
      <c r="H137" s="137"/>
      <c r="I137" s="137"/>
      <c r="J137" s="137"/>
      <c r="K137" s="137"/>
      <c r="L137" s="137"/>
      <c r="M137" s="137"/>
      <c r="P137" s="137"/>
      <c r="Q137" s="137"/>
      <c r="R137" s="137"/>
      <c r="S137" s="134"/>
      <c r="T137" s="134"/>
    </row>
    <row r="138" spans="1:21" ht="13.2" hidden="1" customHeight="1">
      <c r="A138" s="141" t="s">
        <v>130</v>
      </c>
      <c r="B138" s="131">
        <f t="shared" ref="B138:L138" si="36">SUM(B137:B137)</f>
        <v>47196</v>
      </c>
      <c r="C138" s="131">
        <f t="shared" si="36"/>
        <v>0</v>
      </c>
      <c r="D138" s="131">
        <f t="shared" si="36"/>
        <v>0</v>
      </c>
      <c r="E138" s="131">
        <f t="shared" si="36"/>
        <v>0</v>
      </c>
      <c r="F138" s="131">
        <f t="shared" si="36"/>
        <v>0</v>
      </c>
      <c r="G138" s="131">
        <f t="shared" si="36"/>
        <v>0</v>
      </c>
      <c r="H138" s="131">
        <f>SUM(H137:H137)</f>
        <v>0</v>
      </c>
      <c r="I138" s="131"/>
      <c r="J138" s="131"/>
      <c r="K138" s="131">
        <f t="shared" si="36"/>
        <v>0</v>
      </c>
      <c r="L138" s="131">
        <f t="shared" si="36"/>
        <v>0</v>
      </c>
      <c r="M138" s="131"/>
      <c r="P138" s="131">
        <f t="shared" ref="P138:R138" si="37">SUM(P137:P137)</f>
        <v>0</v>
      </c>
      <c r="Q138" s="131">
        <f t="shared" si="37"/>
        <v>0</v>
      </c>
      <c r="R138" s="131">
        <f t="shared" si="37"/>
        <v>0</v>
      </c>
      <c r="S138" s="142"/>
      <c r="T138" s="142"/>
    </row>
    <row r="139" spans="1:21" ht="13.2" hidden="1" customHeight="1">
      <c r="A139" s="141"/>
      <c r="B139" s="144"/>
      <c r="C139" s="144"/>
      <c r="D139" s="144"/>
      <c r="E139" s="144"/>
      <c r="F139" s="144"/>
      <c r="G139" s="144"/>
      <c r="H139" s="144"/>
      <c r="I139" s="144"/>
      <c r="J139" s="144"/>
      <c r="K139" s="144"/>
      <c r="L139" s="144"/>
      <c r="M139" s="144"/>
      <c r="P139" s="144"/>
      <c r="Q139" s="144"/>
      <c r="R139" s="144"/>
      <c r="S139" s="142"/>
      <c r="T139" s="142"/>
    </row>
    <row r="140" spans="1:21" ht="27" hidden="1" customHeight="1">
      <c r="A140" s="130" t="s">
        <v>156</v>
      </c>
      <c r="B140" s="144"/>
      <c r="C140" s="145"/>
      <c r="D140" s="145"/>
      <c r="E140" s="145"/>
      <c r="F140" s="145"/>
      <c r="G140" s="145"/>
      <c r="H140" s="145"/>
      <c r="I140" s="145"/>
      <c r="J140" s="145"/>
      <c r="K140" s="145"/>
      <c r="L140" s="145"/>
      <c r="M140" s="145"/>
      <c r="P140" s="145"/>
      <c r="Q140" s="145"/>
      <c r="R140" s="145"/>
      <c r="S140" s="143"/>
      <c r="T140" s="143"/>
    </row>
    <row r="141" spans="1:21" ht="14.4" hidden="1" customHeight="1">
      <c r="A141" s="135" t="s">
        <v>138</v>
      </c>
      <c r="B141" s="136"/>
      <c r="C141" s="137">
        <v>64433</v>
      </c>
      <c r="D141" s="137"/>
      <c r="E141" s="137"/>
      <c r="F141" s="137"/>
      <c r="G141" s="137"/>
      <c r="H141" s="137"/>
      <c r="I141" s="137"/>
      <c r="J141" s="137"/>
      <c r="K141" s="137"/>
      <c r="L141" s="137"/>
      <c r="M141" s="137"/>
      <c r="P141" s="137"/>
      <c r="Q141" s="137"/>
      <c r="R141" s="137"/>
      <c r="S141" s="134"/>
      <c r="T141" s="134"/>
    </row>
    <row r="142" spans="1:21" ht="13.2" hidden="1" customHeight="1">
      <c r="A142" s="141" t="s">
        <v>130</v>
      </c>
      <c r="B142" s="131">
        <f t="shared" ref="B142:L142" si="38">SUM(B141:B141)</f>
        <v>0</v>
      </c>
      <c r="C142" s="131">
        <f t="shared" si="38"/>
        <v>64433</v>
      </c>
      <c r="D142" s="131">
        <f t="shared" si="38"/>
        <v>0</v>
      </c>
      <c r="E142" s="131">
        <f t="shared" si="38"/>
        <v>0</v>
      </c>
      <c r="F142" s="131">
        <f t="shared" si="38"/>
        <v>0</v>
      </c>
      <c r="G142" s="131">
        <f t="shared" si="38"/>
        <v>0</v>
      </c>
      <c r="H142" s="131">
        <f>SUM(H141:H141)</f>
        <v>0</v>
      </c>
      <c r="I142" s="131"/>
      <c r="J142" s="131"/>
      <c r="K142" s="131">
        <f t="shared" si="38"/>
        <v>0</v>
      </c>
      <c r="L142" s="131">
        <f t="shared" si="38"/>
        <v>0</v>
      </c>
      <c r="M142" s="131"/>
      <c r="P142" s="131">
        <f t="shared" ref="P142:R142" si="39">SUM(P141:P141)</f>
        <v>0</v>
      </c>
      <c r="Q142" s="131">
        <f t="shared" si="39"/>
        <v>0</v>
      </c>
      <c r="R142" s="131">
        <f t="shared" si="39"/>
        <v>0</v>
      </c>
      <c r="S142" s="142"/>
      <c r="T142" s="142"/>
    </row>
    <row r="143" spans="1:21" ht="13.2" hidden="1" customHeight="1">
      <c r="A143" s="141"/>
      <c r="B143" s="144"/>
      <c r="C143" s="144"/>
      <c r="D143" s="144"/>
      <c r="E143" s="144"/>
      <c r="F143" s="144"/>
      <c r="G143" s="144"/>
      <c r="H143" s="144"/>
      <c r="I143" s="144"/>
      <c r="J143" s="144"/>
      <c r="K143" s="144"/>
      <c r="L143" s="144"/>
      <c r="M143" s="144"/>
      <c r="P143" s="144"/>
      <c r="Q143" s="144"/>
      <c r="R143" s="144"/>
      <c r="S143" s="142"/>
      <c r="T143" s="142"/>
    </row>
    <row r="144" spans="1:21" ht="14.4">
      <c r="A144" s="130" t="s">
        <v>157</v>
      </c>
      <c r="B144" s="144"/>
      <c r="C144" s="145"/>
      <c r="D144" s="145"/>
      <c r="E144" s="145"/>
      <c r="F144" s="145"/>
      <c r="G144" s="145"/>
      <c r="H144" s="145"/>
      <c r="I144" s="145"/>
      <c r="J144" s="145"/>
      <c r="K144" s="145"/>
      <c r="L144" s="145"/>
      <c r="M144" s="145"/>
      <c r="P144" s="145"/>
      <c r="Q144" s="145"/>
      <c r="R144" s="145"/>
      <c r="S144" s="143"/>
      <c r="T144" s="143"/>
      <c r="U144" s="2" t="s">
        <v>149</v>
      </c>
    </row>
    <row r="145" spans="1:20" ht="14.4">
      <c r="A145" s="130" t="s">
        <v>150</v>
      </c>
      <c r="B145" s="147"/>
      <c r="C145" s="148"/>
      <c r="D145" s="148"/>
      <c r="E145" s="148"/>
      <c r="F145" s="148"/>
      <c r="G145" s="133"/>
      <c r="H145" s="133">
        <v>-143891</v>
      </c>
      <c r="I145" s="133">
        <f>+H145</f>
        <v>-143891</v>
      </c>
      <c r="J145" s="133"/>
      <c r="K145" s="133"/>
      <c r="L145" s="133"/>
      <c r="M145" s="133"/>
      <c r="P145" s="133"/>
      <c r="Q145" s="133"/>
      <c r="R145" s="133"/>
      <c r="S145" s="134"/>
      <c r="T145" s="134"/>
    </row>
    <row r="146" spans="1:20" ht="14.4">
      <c r="A146" s="135" t="s">
        <v>158</v>
      </c>
      <c r="B146" s="136"/>
      <c r="C146" s="137"/>
      <c r="D146" s="137"/>
      <c r="E146" s="137"/>
      <c r="F146" s="137"/>
      <c r="G146" s="137">
        <v>143891</v>
      </c>
      <c r="H146" s="137">
        <v>143891</v>
      </c>
      <c r="I146" s="137">
        <f>+H146</f>
        <v>143891</v>
      </c>
      <c r="J146" s="137"/>
      <c r="K146" s="137"/>
      <c r="L146" s="137">
        <f>+H146</f>
        <v>143891</v>
      </c>
      <c r="M146" s="137">
        <v>132069</v>
      </c>
      <c r="P146" s="137"/>
      <c r="Q146" s="137"/>
      <c r="R146" s="137">
        <f>SUM(P146:Q146)</f>
        <v>0</v>
      </c>
      <c r="S146" s="134"/>
      <c r="T146" s="134"/>
    </row>
    <row r="147" spans="1:20">
      <c r="A147" s="141" t="s">
        <v>130</v>
      </c>
      <c r="B147" s="131">
        <f t="shared" ref="B147:K147" si="40">SUM(B146:B146)</f>
        <v>0</v>
      </c>
      <c r="C147" s="131">
        <f t="shared" si="40"/>
        <v>0</v>
      </c>
      <c r="D147" s="131">
        <f t="shared" si="40"/>
        <v>0</v>
      </c>
      <c r="E147" s="131">
        <f t="shared" si="40"/>
        <v>0</v>
      </c>
      <c r="F147" s="131">
        <f t="shared" si="40"/>
        <v>0</v>
      </c>
      <c r="G147" s="131">
        <f t="shared" si="40"/>
        <v>143891</v>
      </c>
      <c r="H147" s="131">
        <f>SUM(H145:H146)</f>
        <v>0</v>
      </c>
      <c r="I147" s="131">
        <f>SUM(I145:I146)</f>
        <v>0</v>
      </c>
      <c r="J147" s="131">
        <v>0</v>
      </c>
      <c r="K147" s="131">
        <f t="shared" si="40"/>
        <v>0</v>
      </c>
      <c r="L147" s="131">
        <f>SUM(L145:L146)</f>
        <v>143891</v>
      </c>
      <c r="M147" s="131">
        <f>SUM(M145:M146)</f>
        <v>132069</v>
      </c>
      <c r="P147" s="131">
        <f>SUM(P145:P146)</f>
        <v>0</v>
      </c>
      <c r="Q147" s="131">
        <f>SUM(Q145:Q146)</f>
        <v>0</v>
      </c>
      <c r="R147" s="131">
        <f>SUM(R145:R146)</f>
        <v>0</v>
      </c>
      <c r="S147" s="142"/>
      <c r="T147" s="142"/>
    </row>
    <row r="148" spans="1:20">
      <c r="A148" s="141"/>
      <c r="B148" s="144"/>
      <c r="C148" s="144"/>
      <c r="D148" s="144"/>
      <c r="E148" s="144"/>
      <c r="F148" s="144"/>
      <c r="G148" s="144"/>
      <c r="H148" s="144"/>
      <c r="I148" s="144"/>
      <c r="J148" s="144"/>
      <c r="K148" s="144"/>
      <c r="L148" s="144"/>
      <c r="M148" s="144"/>
      <c r="P148" s="144"/>
      <c r="Q148" s="144"/>
      <c r="R148" s="144"/>
      <c r="S148" s="142"/>
      <c r="T148" s="142"/>
    </row>
    <row r="149" spans="1:20" ht="27" hidden="1" customHeight="1">
      <c r="A149" s="130" t="s">
        <v>159</v>
      </c>
      <c r="B149" s="144"/>
      <c r="C149" s="145"/>
      <c r="D149" s="145"/>
      <c r="E149" s="145"/>
      <c r="F149" s="145"/>
      <c r="G149" s="145"/>
      <c r="H149" s="145"/>
      <c r="I149" s="145"/>
      <c r="J149" s="145"/>
      <c r="K149" s="145"/>
      <c r="L149" s="145"/>
      <c r="M149" s="145"/>
      <c r="P149" s="145"/>
      <c r="Q149" s="145"/>
      <c r="R149" s="145"/>
      <c r="S149" s="143"/>
      <c r="T149" s="143"/>
    </row>
    <row r="150" spans="1:20" ht="14.4" hidden="1" customHeight="1">
      <c r="A150" s="135" t="s">
        <v>138</v>
      </c>
      <c r="B150" s="136"/>
      <c r="C150" s="137">
        <v>175176</v>
      </c>
      <c r="D150" s="137"/>
      <c r="E150" s="137"/>
      <c r="F150" s="137"/>
      <c r="G150" s="137"/>
      <c r="H150" s="137"/>
      <c r="I150" s="137"/>
      <c r="J150" s="137"/>
      <c r="K150" s="137"/>
      <c r="L150" s="137"/>
      <c r="M150" s="137"/>
      <c r="P150" s="137"/>
      <c r="Q150" s="137"/>
      <c r="R150" s="137"/>
      <c r="S150" s="134"/>
      <c r="T150" s="134"/>
    </row>
    <row r="151" spans="1:20" ht="13.2" hidden="1" customHeight="1">
      <c r="A151" s="141" t="s">
        <v>130</v>
      </c>
      <c r="B151" s="131">
        <f t="shared" ref="B151:L151" si="41">SUM(B150:B150)</f>
        <v>0</v>
      </c>
      <c r="C151" s="131">
        <f t="shared" si="41"/>
        <v>175176</v>
      </c>
      <c r="D151" s="131">
        <f t="shared" si="41"/>
        <v>0</v>
      </c>
      <c r="E151" s="131">
        <f t="shared" si="41"/>
        <v>0</v>
      </c>
      <c r="F151" s="131">
        <f t="shared" si="41"/>
        <v>0</v>
      </c>
      <c r="G151" s="131">
        <f t="shared" si="41"/>
        <v>0</v>
      </c>
      <c r="H151" s="131">
        <f>SUM(H150:H150)</f>
        <v>0</v>
      </c>
      <c r="I151" s="131"/>
      <c r="J151" s="131"/>
      <c r="K151" s="131">
        <f t="shared" si="41"/>
        <v>0</v>
      </c>
      <c r="L151" s="131">
        <f t="shared" si="41"/>
        <v>0</v>
      </c>
      <c r="M151" s="131"/>
      <c r="P151" s="131">
        <f t="shared" ref="P151:R151" si="42">SUM(P150:P150)</f>
        <v>0</v>
      </c>
      <c r="Q151" s="131">
        <f t="shared" si="42"/>
        <v>0</v>
      </c>
      <c r="R151" s="131">
        <f t="shared" si="42"/>
        <v>0</v>
      </c>
      <c r="S151" s="142"/>
      <c r="T151" s="142"/>
    </row>
    <row r="152" spans="1:20" ht="13.2" hidden="1" customHeight="1">
      <c r="A152" s="141"/>
      <c r="B152" s="144"/>
      <c r="C152" s="144"/>
      <c r="D152" s="144"/>
      <c r="E152" s="144"/>
      <c r="F152" s="144"/>
      <c r="G152" s="144"/>
      <c r="H152" s="144"/>
      <c r="I152" s="144"/>
      <c r="J152" s="144"/>
      <c r="K152" s="144"/>
      <c r="L152" s="144"/>
      <c r="M152" s="144"/>
      <c r="P152" s="144"/>
      <c r="Q152" s="144"/>
      <c r="R152" s="144"/>
      <c r="S152" s="142"/>
      <c r="T152" s="142"/>
    </row>
    <row r="153" spans="1:20" ht="14.4" hidden="1" customHeight="1">
      <c r="A153" s="130" t="s">
        <v>160</v>
      </c>
      <c r="B153" s="144"/>
      <c r="C153" s="145"/>
      <c r="D153" s="145"/>
      <c r="E153" s="145"/>
      <c r="F153" s="145"/>
      <c r="G153" s="145"/>
      <c r="H153" s="145"/>
      <c r="I153" s="145"/>
      <c r="J153" s="145"/>
      <c r="K153" s="145"/>
      <c r="L153" s="145"/>
      <c r="M153" s="145"/>
      <c r="P153" s="145"/>
      <c r="Q153" s="145"/>
      <c r="R153" s="145"/>
      <c r="S153" s="143"/>
      <c r="T153" s="143"/>
    </row>
    <row r="154" spans="1:20" ht="14.4" hidden="1" customHeight="1">
      <c r="A154" s="135" t="s">
        <v>138</v>
      </c>
      <c r="B154" s="136"/>
      <c r="C154" s="137">
        <v>21299</v>
      </c>
      <c r="D154" s="137"/>
      <c r="E154" s="137"/>
      <c r="F154" s="137"/>
      <c r="G154" s="137"/>
      <c r="H154" s="137"/>
      <c r="I154" s="137"/>
      <c r="J154" s="137"/>
      <c r="K154" s="137"/>
      <c r="L154" s="137"/>
      <c r="M154" s="137"/>
      <c r="P154" s="137"/>
      <c r="Q154" s="137"/>
      <c r="R154" s="137"/>
      <c r="S154" s="134"/>
      <c r="T154" s="134"/>
    </row>
    <row r="155" spans="1:20" ht="13.2" hidden="1" customHeight="1">
      <c r="A155" s="141" t="s">
        <v>130</v>
      </c>
      <c r="B155" s="131">
        <f t="shared" ref="B155:L155" si="43">SUM(B154:B154)</f>
        <v>0</v>
      </c>
      <c r="C155" s="131">
        <f t="shared" si="43"/>
        <v>21299</v>
      </c>
      <c r="D155" s="131">
        <f t="shared" si="43"/>
        <v>0</v>
      </c>
      <c r="E155" s="131">
        <f t="shared" si="43"/>
        <v>0</v>
      </c>
      <c r="F155" s="131">
        <f t="shared" si="43"/>
        <v>0</v>
      </c>
      <c r="G155" s="131">
        <f t="shared" si="43"/>
        <v>0</v>
      </c>
      <c r="H155" s="131">
        <f>SUM(H154:H154)</f>
        <v>0</v>
      </c>
      <c r="I155" s="131"/>
      <c r="J155" s="131"/>
      <c r="K155" s="131">
        <f t="shared" si="43"/>
        <v>0</v>
      </c>
      <c r="L155" s="131">
        <f t="shared" si="43"/>
        <v>0</v>
      </c>
      <c r="M155" s="131"/>
      <c r="P155" s="131">
        <f t="shared" ref="P155:R155" si="44">SUM(P154:P154)</f>
        <v>0</v>
      </c>
      <c r="Q155" s="131">
        <f t="shared" si="44"/>
        <v>0</v>
      </c>
      <c r="R155" s="131">
        <f t="shared" si="44"/>
        <v>0</v>
      </c>
      <c r="S155" s="142"/>
      <c r="T155" s="142"/>
    </row>
    <row r="156" spans="1:20" ht="13.2" hidden="1" customHeight="1">
      <c r="A156" s="141"/>
      <c r="B156" s="144"/>
      <c r="C156" s="144"/>
      <c r="D156" s="144"/>
      <c r="E156" s="144"/>
      <c r="F156" s="144"/>
      <c r="G156" s="144"/>
      <c r="H156" s="144"/>
      <c r="I156" s="144"/>
      <c r="J156" s="144"/>
      <c r="K156" s="144"/>
      <c r="L156" s="144"/>
      <c r="M156" s="144"/>
      <c r="P156" s="144"/>
      <c r="Q156" s="144"/>
      <c r="R156" s="144"/>
      <c r="S156" s="142"/>
      <c r="T156" s="142"/>
    </row>
    <row r="157" spans="1:20" ht="14.4" hidden="1" customHeight="1">
      <c r="A157" s="130" t="s">
        <v>161</v>
      </c>
      <c r="B157" s="144"/>
      <c r="C157" s="145"/>
      <c r="D157" s="145"/>
      <c r="E157" s="145"/>
      <c r="F157" s="145"/>
      <c r="G157" s="145"/>
      <c r="H157" s="145"/>
      <c r="I157" s="145"/>
      <c r="J157" s="145"/>
      <c r="K157" s="145"/>
      <c r="L157" s="145"/>
      <c r="M157" s="145"/>
      <c r="P157" s="145"/>
      <c r="Q157" s="145"/>
      <c r="R157" s="145"/>
      <c r="S157" s="143"/>
      <c r="T157" s="143"/>
    </row>
    <row r="158" spans="1:20" ht="14.4" hidden="1" customHeight="1">
      <c r="A158" s="135" t="s">
        <v>138</v>
      </c>
      <c r="B158" s="136"/>
      <c r="C158" s="137">
        <v>3897</v>
      </c>
      <c r="D158" s="137"/>
      <c r="E158" s="137"/>
      <c r="F158" s="137"/>
      <c r="G158" s="137"/>
      <c r="H158" s="137"/>
      <c r="I158" s="137"/>
      <c r="J158" s="137"/>
      <c r="K158" s="137"/>
      <c r="L158" s="137"/>
      <c r="M158" s="137"/>
      <c r="P158" s="137"/>
      <c r="Q158" s="137"/>
      <c r="R158" s="137"/>
      <c r="S158" s="134"/>
      <c r="T158" s="134"/>
    </row>
    <row r="159" spans="1:20" ht="13.2" hidden="1" customHeight="1">
      <c r="A159" s="141" t="s">
        <v>130</v>
      </c>
      <c r="B159" s="131">
        <f t="shared" ref="B159:L159" si="45">SUM(B158:B158)</f>
        <v>0</v>
      </c>
      <c r="C159" s="131">
        <f t="shared" si="45"/>
        <v>3897</v>
      </c>
      <c r="D159" s="131">
        <f t="shared" si="45"/>
        <v>0</v>
      </c>
      <c r="E159" s="131">
        <f t="shared" si="45"/>
        <v>0</v>
      </c>
      <c r="F159" s="131">
        <f t="shared" si="45"/>
        <v>0</v>
      </c>
      <c r="G159" s="131">
        <f t="shared" si="45"/>
        <v>0</v>
      </c>
      <c r="H159" s="131">
        <f>SUM(H158:H158)</f>
        <v>0</v>
      </c>
      <c r="I159" s="131"/>
      <c r="J159" s="131"/>
      <c r="K159" s="131">
        <f t="shared" si="45"/>
        <v>0</v>
      </c>
      <c r="L159" s="131">
        <f t="shared" si="45"/>
        <v>0</v>
      </c>
      <c r="M159" s="131"/>
      <c r="P159" s="131">
        <f t="shared" ref="P159:R159" si="46">SUM(P158:P158)</f>
        <v>0</v>
      </c>
      <c r="Q159" s="131">
        <f t="shared" si="46"/>
        <v>0</v>
      </c>
      <c r="R159" s="131">
        <f t="shared" si="46"/>
        <v>0</v>
      </c>
      <c r="S159" s="142"/>
      <c r="T159" s="142"/>
    </row>
    <row r="160" spans="1:20" ht="13.2" hidden="1" customHeight="1">
      <c r="A160" s="141"/>
      <c r="B160" s="144"/>
      <c r="C160" s="144"/>
      <c r="D160" s="144"/>
      <c r="E160" s="144"/>
      <c r="F160" s="144"/>
      <c r="G160" s="144"/>
      <c r="H160" s="144"/>
      <c r="I160" s="144"/>
      <c r="J160" s="144"/>
      <c r="K160" s="144"/>
      <c r="L160" s="144"/>
      <c r="M160" s="144"/>
      <c r="P160" s="144"/>
      <c r="Q160" s="144"/>
      <c r="R160" s="144"/>
      <c r="S160" s="142"/>
      <c r="T160" s="142"/>
    </row>
    <row r="161" spans="1:21" ht="27">
      <c r="A161" s="130" t="s">
        <v>162</v>
      </c>
      <c r="B161" s="144"/>
      <c r="C161" s="145"/>
      <c r="D161" s="145"/>
      <c r="E161" s="145"/>
      <c r="F161" s="145"/>
      <c r="G161" s="145"/>
      <c r="H161" s="145"/>
      <c r="I161" s="145"/>
      <c r="J161" s="145"/>
      <c r="K161" s="145"/>
      <c r="L161" s="145"/>
      <c r="M161" s="145"/>
      <c r="P161" s="145"/>
      <c r="Q161" s="145"/>
      <c r="R161" s="145"/>
      <c r="S161" s="143"/>
      <c r="T161" s="143"/>
      <c r="U161" s="2" t="s">
        <v>163</v>
      </c>
    </row>
    <row r="162" spans="1:21" ht="14.4" hidden="1">
      <c r="A162" s="130" t="s">
        <v>138</v>
      </c>
      <c r="B162" s="147"/>
      <c r="C162" s="148"/>
      <c r="D162" s="148"/>
      <c r="E162" s="148"/>
      <c r="F162" s="148"/>
      <c r="G162" s="133"/>
      <c r="H162" s="133"/>
      <c r="I162" s="133"/>
      <c r="J162" s="133"/>
      <c r="K162" s="133"/>
      <c r="L162" s="133"/>
      <c r="M162" s="133"/>
      <c r="P162" s="133">
        <v>458163</v>
      </c>
      <c r="Q162" s="133">
        <f>490065-458163</f>
        <v>31902</v>
      </c>
      <c r="R162" s="133">
        <f>SUM(P162:Q162)</f>
        <v>490065</v>
      </c>
      <c r="S162" s="134"/>
      <c r="T162" s="134"/>
    </row>
    <row r="163" spans="1:21" ht="14.4">
      <c r="A163" s="135" t="s">
        <v>26</v>
      </c>
      <c r="B163" s="136"/>
      <c r="C163" s="137"/>
      <c r="D163" s="137"/>
      <c r="E163" s="137">
        <v>5708</v>
      </c>
      <c r="F163" s="137">
        <v>12234</v>
      </c>
      <c r="G163" s="137">
        <v>24503</v>
      </c>
      <c r="H163" s="137">
        <v>24503</v>
      </c>
      <c r="I163" s="137">
        <f t="shared" ref="I163:I168" si="47">+H163</f>
        <v>24503</v>
      </c>
      <c r="J163" s="137">
        <v>20038</v>
      </c>
      <c r="K163" s="137">
        <v>37068</v>
      </c>
      <c r="L163" s="137">
        <v>37068</v>
      </c>
      <c r="M163" s="137">
        <v>30617</v>
      </c>
      <c r="P163" s="137"/>
      <c r="Q163" s="137"/>
      <c r="R163" s="137"/>
      <c r="S163" s="134"/>
      <c r="T163" s="134"/>
    </row>
    <row r="164" spans="1:21" ht="14.4">
      <c r="A164" s="135" t="s">
        <v>27</v>
      </c>
      <c r="B164" s="138"/>
      <c r="C164" s="133"/>
      <c r="D164" s="133"/>
      <c r="E164" s="133">
        <v>14637</v>
      </c>
      <c r="F164" s="133">
        <v>18862</v>
      </c>
      <c r="G164" s="133">
        <v>24503</v>
      </c>
      <c r="H164" s="133">
        <v>24503</v>
      </c>
      <c r="I164" s="133">
        <f t="shared" si="47"/>
        <v>24503</v>
      </c>
      <c r="J164" s="133">
        <v>20038</v>
      </c>
      <c r="K164" s="133">
        <v>37068</v>
      </c>
      <c r="L164" s="133">
        <v>37068</v>
      </c>
      <c r="M164" s="133">
        <v>30617</v>
      </c>
      <c r="P164" s="133"/>
      <c r="Q164" s="133"/>
      <c r="R164" s="133"/>
      <c r="S164" s="134"/>
      <c r="T164" s="134"/>
    </row>
    <row r="165" spans="1:21" ht="14.4">
      <c r="A165" s="135" t="s">
        <v>28</v>
      </c>
      <c r="B165" s="139"/>
      <c r="C165" s="140"/>
      <c r="D165" s="140"/>
      <c r="E165" s="140">
        <v>1454</v>
      </c>
      <c r="F165" s="140">
        <v>259280</v>
      </c>
      <c r="G165" s="140">
        <v>220529</v>
      </c>
      <c r="H165" s="140">
        <v>220529</v>
      </c>
      <c r="I165" s="140">
        <f t="shared" si="47"/>
        <v>220529</v>
      </c>
      <c r="J165" s="140">
        <v>180346</v>
      </c>
      <c r="K165" s="140">
        <v>333610</v>
      </c>
      <c r="L165" s="140">
        <v>333610</v>
      </c>
      <c r="M165" s="140">
        <v>275555</v>
      </c>
      <c r="P165" s="140"/>
      <c r="Q165" s="140"/>
      <c r="R165" s="140"/>
      <c r="S165" s="134"/>
      <c r="T165" s="134"/>
    </row>
    <row r="166" spans="1:21" ht="14.4">
      <c r="A166" s="135" t="s">
        <v>29</v>
      </c>
      <c r="B166" s="139"/>
      <c r="C166" s="140"/>
      <c r="D166" s="140"/>
      <c r="E166" s="140">
        <v>194247</v>
      </c>
      <c r="F166" s="140">
        <v>113176</v>
      </c>
      <c r="G166" s="140">
        <v>122516</v>
      </c>
      <c r="H166" s="140">
        <v>122516</v>
      </c>
      <c r="I166" s="140">
        <f t="shared" si="47"/>
        <v>122516</v>
      </c>
      <c r="J166" s="140">
        <v>100192</v>
      </c>
      <c r="K166" s="140">
        <v>185339</v>
      </c>
      <c r="L166" s="140">
        <v>185339</v>
      </c>
      <c r="M166" s="140">
        <v>153086</v>
      </c>
      <c r="P166" s="140"/>
      <c r="Q166" s="140"/>
      <c r="R166" s="140"/>
      <c r="S166" s="134"/>
      <c r="T166" s="134"/>
    </row>
    <row r="167" spans="1:21" ht="14.4">
      <c r="A167" s="135" t="s">
        <v>30</v>
      </c>
      <c r="B167" s="139"/>
      <c r="C167" s="140"/>
      <c r="D167" s="140"/>
      <c r="E167" s="140">
        <v>37217</v>
      </c>
      <c r="F167" s="140">
        <v>34568</v>
      </c>
      <c r="G167" s="140">
        <v>49007</v>
      </c>
      <c r="H167" s="140">
        <v>49007</v>
      </c>
      <c r="I167" s="140">
        <f t="shared" si="47"/>
        <v>49007</v>
      </c>
      <c r="J167" s="140">
        <v>40077</v>
      </c>
      <c r="K167" s="140">
        <v>74135</v>
      </c>
      <c r="L167" s="140">
        <v>74135</v>
      </c>
      <c r="M167" s="140">
        <v>61235</v>
      </c>
      <c r="P167" s="140"/>
      <c r="Q167" s="140"/>
      <c r="R167" s="140"/>
      <c r="S167" s="134"/>
      <c r="T167" s="134"/>
    </row>
    <row r="168" spans="1:21" ht="14.4">
      <c r="A168" s="135" t="s">
        <v>129</v>
      </c>
      <c r="B168" s="139"/>
      <c r="C168" s="140"/>
      <c r="D168" s="140"/>
      <c r="E168" s="140">
        <v>6086</v>
      </c>
      <c r="F168" s="140">
        <v>12463</v>
      </c>
      <c r="G168" s="140">
        <v>49007</v>
      </c>
      <c r="H168" s="140">
        <v>49007</v>
      </c>
      <c r="I168" s="140">
        <f t="shared" si="47"/>
        <v>49007</v>
      </c>
      <c r="J168" s="140">
        <v>40077</v>
      </c>
      <c r="K168" s="140">
        <v>74135</v>
      </c>
      <c r="L168" s="140">
        <v>74135</v>
      </c>
      <c r="M168" s="140">
        <v>61235</v>
      </c>
      <c r="P168" s="140"/>
      <c r="Q168" s="140"/>
      <c r="R168" s="140"/>
      <c r="S168" s="134"/>
      <c r="T168" s="134"/>
    </row>
    <row r="169" spans="1:21" ht="14.4">
      <c r="A169" s="135" t="s">
        <v>32</v>
      </c>
      <c r="B169" s="139"/>
      <c r="C169" s="140"/>
      <c r="D169" s="140"/>
      <c r="E169" s="140"/>
      <c r="F169" s="140"/>
      <c r="G169" s="140"/>
      <c r="H169" s="140"/>
      <c r="I169" s="140"/>
      <c r="J169" s="140"/>
      <c r="K169" s="140"/>
      <c r="L169" s="140"/>
      <c r="M169" s="140"/>
      <c r="P169" s="140"/>
      <c r="Q169" s="140"/>
      <c r="R169" s="140"/>
      <c r="S169" s="134"/>
      <c r="T169" s="134"/>
    </row>
    <row r="170" spans="1:21">
      <c r="A170" s="141" t="s">
        <v>130</v>
      </c>
      <c r="B170" s="131">
        <f t="shared" ref="B170:G170" si="48">SUM(B163:B169)</f>
        <v>0</v>
      </c>
      <c r="C170" s="131">
        <f t="shared" si="48"/>
        <v>0</v>
      </c>
      <c r="D170" s="131">
        <f t="shared" si="48"/>
        <v>0</v>
      </c>
      <c r="E170" s="131">
        <f t="shared" si="48"/>
        <v>259349</v>
      </c>
      <c r="F170" s="131">
        <f t="shared" si="48"/>
        <v>450583</v>
      </c>
      <c r="G170" s="131">
        <f t="shared" si="48"/>
        <v>490065</v>
      </c>
      <c r="H170" s="131">
        <f>SUM(H162:H169)</f>
        <v>490065</v>
      </c>
      <c r="I170" s="131">
        <f>SUM(I163:I169)</f>
        <v>490065</v>
      </c>
      <c r="J170" s="131">
        <f>SUM(J163:J169)</f>
        <v>400768</v>
      </c>
      <c r="K170" s="131">
        <f>SUM(K162:K169)</f>
        <v>741355</v>
      </c>
      <c r="L170" s="131">
        <f>SUM(L162:L169)</f>
        <v>741355</v>
      </c>
      <c r="M170" s="131">
        <f>SUM(M162:M169)</f>
        <v>612345</v>
      </c>
      <c r="P170" s="131">
        <f>SUM(P162:P169)</f>
        <v>458163</v>
      </c>
      <c r="Q170" s="131">
        <f>SUM(Q162:Q169)</f>
        <v>31902</v>
      </c>
      <c r="R170" s="131">
        <f>SUM(R162:R169)</f>
        <v>490065</v>
      </c>
      <c r="S170" s="142"/>
      <c r="T170" s="142"/>
    </row>
    <row r="171" spans="1:21">
      <c r="A171" s="141"/>
      <c r="B171" s="144"/>
      <c r="C171" s="144"/>
      <c r="D171" s="144"/>
      <c r="E171" s="144"/>
      <c r="F171" s="144"/>
      <c r="G171" s="144"/>
      <c r="H171" s="144"/>
      <c r="I171" s="144"/>
      <c r="J171" s="144"/>
      <c r="K171" s="144"/>
      <c r="L171" s="144"/>
      <c r="M171" s="144"/>
      <c r="P171" s="144"/>
      <c r="Q171" s="144"/>
      <c r="R171" s="144"/>
      <c r="S171" s="142"/>
      <c r="T171" s="142"/>
    </row>
    <row r="172" spans="1:21" ht="27" hidden="1" customHeight="1">
      <c r="A172" s="130" t="s">
        <v>164</v>
      </c>
      <c r="B172" s="144"/>
      <c r="C172" s="145"/>
      <c r="D172" s="145"/>
      <c r="E172" s="145"/>
      <c r="F172" s="145"/>
      <c r="G172" s="145"/>
      <c r="H172" s="145"/>
      <c r="I172" s="145"/>
      <c r="J172" s="145"/>
      <c r="K172" s="145"/>
      <c r="L172" s="145"/>
      <c r="M172" s="145"/>
      <c r="P172" s="145"/>
      <c r="Q172" s="145"/>
      <c r="R172" s="145"/>
      <c r="S172" s="143"/>
      <c r="T172" s="143"/>
    </row>
    <row r="173" spans="1:21" ht="14.4" hidden="1" customHeight="1">
      <c r="A173" s="135" t="s">
        <v>138</v>
      </c>
      <c r="B173" s="136">
        <v>344866</v>
      </c>
      <c r="C173" s="137">
        <v>411744</v>
      </c>
      <c r="D173" s="137"/>
      <c r="E173" s="137"/>
      <c r="F173" s="137"/>
      <c r="G173" s="137"/>
      <c r="H173" s="137"/>
      <c r="I173" s="137"/>
      <c r="J173" s="137"/>
      <c r="K173" s="137"/>
      <c r="L173" s="137"/>
      <c r="M173" s="137"/>
      <c r="P173" s="137"/>
      <c r="Q173" s="137"/>
      <c r="R173" s="137"/>
      <c r="S173" s="134"/>
      <c r="T173" s="134"/>
    </row>
    <row r="174" spans="1:21" ht="13.2" hidden="1" customHeight="1">
      <c r="A174" s="141" t="s">
        <v>130</v>
      </c>
      <c r="B174" s="131">
        <f t="shared" ref="B174:L174" si="49">SUM(B173:B173)</f>
        <v>344866</v>
      </c>
      <c r="C174" s="131">
        <f t="shared" si="49"/>
        <v>411744</v>
      </c>
      <c r="D174" s="131">
        <f t="shared" si="49"/>
        <v>0</v>
      </c>
      <c r="E174" s="131">
        <f t="shared" si="49"/>
        <v>0</v>
      </c>
      <c r="F174" s="131">
        <f t="shared" si="49"/>
        <v>0</v>
      </c>
      <c r="G174" s="131">
        <f t="shared" si="49"/>
        <v>0</v>
      </c>
      <c r="H174" s="131">
        <f>SUM(H173:H173)</f>
        <v>0</v>
      </c>
      <c r="I174" s="131"/>
      <c r="J174" s="131"/>
      <c r="K174" s="131">
        <f t="shared" si="49"/>
        <v>0</v>
      </c>
      <c r="L174" s="131">
        <f t="shared" si="49"/>
        <v>0</v>
      </c>
      <c r="M174" s="131"/>
      <c r="P174" s="131">
        <f t="shared" ref="P174:R174" si="50">SUM(P173:P173)</f>
        <v>0</v>
      </c>
      <c r="Q174" s="131">
        <f t="shared" si="50"/>
        <v>0</v>
      </c>
      <c r="R174" s="131">
        <f t="shared" si="50"/>
        <v>0</v>
      </c>
      <c r="S174" s="142"/>
      <c r="T174" s="142"/>
    </row>
    <row r="175" spans="1:21" ht="13.2" hidden="1" customHeight="1">
      <c r="A175" s="141"/>
      <c r="B175" s="144"/>
      <c r="C175" s="144"/>
      <c r="D175" s="144"/>
      <c r="E175" s="144"/>
      <c r="F175" s="144"/>
      <c r="G175" s="144"/>
      <c r="H175" s="144"/>
      <c r="I175" s="144"/>
      <c r="J175" s="144"/>
      <c r="K175" s="144"/>
      <c r="L175" s="144"/>
      <c r="M175" s="144"/>
      <c r="P175" s="144"/>
      <c r="Q175" s="144"/>
      <c r="R175" s="144"/>
      <c r="S175" s="142"/>
      <c r="T175" s="142"/>
    </row>
    <row r="176" spans="1:21" ht="14.4" hidden="1" customHeight="1">
      <c r="A176" s="130" t="s">
        <v>165</v>
      </c>
      <c r="B176" s="144"/>
      <c r="C176" s="145"/>
      <c r="D176" s="145"/>
      <c r="E176" s="145"/>
      <c r="F176" s="145"/>
      <c r="G176" s="145"/>
      <c r="H176" s="145"/>
      <c r="I176" s="145"/>
      <c r="J176" s="145"/>
      <c r="K176" s="145"/>
      <c r="L176" s="145"/>
      <c r="M176" s="145"/>
      <c r="P176" s="145"/>
      <c r="Q176" s="145"/>
      <c r="R176" s="145"/>
      <c r="S176" s="143"/>
      <c r="T176" s="143"/>
    </row>
    <row r="177" spans="1:20" ht="14.4" hidden="1" customHeight="1">
      <c r="A177" s="135" t="s">
        <v>138</v>
      </c>
      <c r="B177" s="136">
        <v>49798</v>
      </c>
      <c r="C177" s="137"/>
      <c r="D177" s="137"/>
      <c r="E177" s="137"/>
      <c r="F177" s="137"/>
      <c r="G177" s="137"/>
      <c r="H177" s="137"/>
      <c r="I177" s="137"/>
      <c r="J177" s="137"/>
      <c r="K177" s="137"/>
      <c r="L177" s="137"/>
      <c r="M177" s="137"/>
      <c r="P177" s="137"/>
      <c r="Q177" s="137"/>
      <c r="R177" s="137"/>
      <c r="S177" s="134"/>
      <c r="T177" s="134"/>
    </row>
    <row r="178" spans="1:20" ht="13.2" hidden="1" customHeight="1">
      <c r="A178" s="141" t="s">
        <v>130</v>
      </c>
      <c r="B178" s="131">
        <f t="shared" ref="B178:L178" si="51">SUM(B177:B177)</f>
        <v>49798</v>
      </c>
      <c r="C178" s="131">
        <f t="shared" si="51"/>
        <v>0</v>
      </c>
      <c r="D178" s="131">
        <f t="shared" si="51"/>
        <v>0</v>
      </c>
      <c r="E178" s="131">
        <f t="shared" si="51"/>
        <v>0</v>
      </c>
      <c r="F178" s="131">
        <f t="shared" si="51"/>
        <v>0</v>
      </c>
      <c r="G178" s="131">
        <f t="shared" si="51"/>
        <v>0</v>
      </c>
      <c r="H178" s="131">
        <f>SUM(H177:H177)</f>
        <v>0</v>
      </c>
      <c r="I178" s="131"/>
      <c r="J178" s="131"/>
      <c r="K178" s="131">
        <f t="shared" si="51"/>
        <v>0</v>
      </c>
      <c r="L178" s="131">
        <f t="shared" si="51"/>
        <v>0</v>
      </c>
      <c r="M178" s="131"/>
      <c r="P178" s="131">
        <f t="shared" ref="P178:R178" si="52">SUM(P177:P177)</f>
        <v>0</v>
      </c>
      <c r="Q178" s="131">
        <f t="shared" si="52"/>
        <v>0</v>
      </c>
      <c r="R178" s="131">
        <f t="shared" si="52"/>
        <v>0</v>
      </c>
      <c r="S178" s="142"/>
      <c r="T178" s="142"/>
    </row>
    <row r="179" spans="1:20" ht="13.2" hidden="1" customHeight="1">
      <c r="A179" s="141"/>
      <c r="B179" s="144"/>
      <c r="C179" s="144"/>
      <c r="D179" s="144"/>
      <c r="E179" s="144"/>
      <c r="F179" s="144"/>
      <c r="G179" s="144"/>
      <c r="H179" s="144"/>
      <c r="I179" s="144"/>
      <c r="J179" s="144"/>
      <c r="K179" s="144"/>
      <c r="L179" s="144"/>
      <c r="M179" s="144"/>
      <c r="P179" s="144"/>
      <c r="Q179" s="144"/>
      <c r="R179" s="144"/>
      <c r="S179" s="142"/>
      <c r="T179" s="142"/>
    </row>
    <row r="180" spans="1:20" ht="40.200000000000003" hidden="1" customHeight="1">
      <c r="A180" s="130" t="s">
        <v>166</v>
      </c>
      <c r="B180" s="144"/>
      <c r="C180" s="145"/>
      <c r="D180" s="145"/>
      <c r="E180" s="145"/>
      <c r="F180" s="145"/>
      <c r="G180" s="145"/>
      <c r="H180" s="145"/>
      <c r="I180" s="145"/>
      <c r="J180" s="145"/>
      <c r="K180" s="145"/>
      <c r="L180" s="145"/>
      <c r="M180" s="145"/>
      <c r="P180" s="145"/>
      <c r="Q180" s="145"/>
      <c r="R180" s="145"/>
      <c r="S180" s="143"/>
      <c r="T180" s="143"/>
    </row>
    <row r="181" spans="1:20" ht="14.4" hidden="1" customHeight="1">
      <c r="A181" s="135" t="s">
        <v>138</v>
      </c>
      <c r="B181" s="136"/>
      <c r="C181" s="137">
        <v>54334</v>
      </c>
      <c r="D181" s="137"/>
      <c r="E181" s="137"/>
      <c r="F181" s="137"/>
      <c r="G181" s="137"/>
      <c r="H181" s="137"/>
      <c r="I181" s="137"/>
      <c r="J181" s="137"/>
      <c r="K181" s="137"/>
      <c r="L181" s="137"/>
      <c r="M181" s="137"/>
      <c r="P181" s="137"/>
      <c r="Q181" s="137"/>
      <c r="R181" s="137"/>
      <c r="S181" s="134"/>
      <c r="T181" s="134"/>
    </row>
    <row r="182" spans="1:20" ht="13.2" hidden="1" customHeight="1">
      <c r="A182" s="141" t="s">
        <v>130</v>
      </c>
      <c r="B182" s="131">
        <f t="shared" ref="B182:L182" si="53">SUM(B181:B181)</f>
        <v>0</v>
      </c>
      <c r="C182" s="131">
        <f t="shared" si="53"/>
        <v>54334</v>
      </c>
      <c r="D182" s="131">
        <f t="shared" si="53"/>
        <v>0</v>
      </c>
      <c r="E182" s="131">
        <f t="shared" si="53"/>
        <v>0</v>
      </c>
      <c r="F182" s="131">
        <f t="shared" si="53"/>
        <v>0</v>
      </c>
      <c r="G182" s="131">
        <f t="shared" si="53"/>
        <v>0</v>
      </c>
      <c r="H182" s="131">
        <f>SUM(H181:H181)</f>
        <v>0</v>
      </c>
      <c r="I182" s="131"/>
      <c r="J182" s="131"/>
      <c r="K182" s="131">
        <f t="shared" si="53"/>
        <v>0</v>
      </c>
      <c r="L182" s="131">
        <f t="shared" si="53"/>
        <v>0</v>
      </c>
      <c r="M182" s="131"/>
      <c r="P182" s="131">
        <f t="shared" ref="P182:R182" si="54">SUM(P181:P181)</f>
        <v>0</v>
      </c>
      <c r="Q182" s="131">
        <f t="shared" si="54"/>
        <v>0</v>
      </c>
      <c r="R182" s="131">
        <f t="shared" si="54"/>
        <v>0</v>
      </c>
      <c r="S182" s="142"/>
      <c r="T182" s="142"/>
    </row>
    <row r="183" spans="1:20" ht="13.2" hidden="1" customHeight="1">
      <c r="A183" s="141"/>
      <c r="B183" s="131"/>
      <c r="C183" s="131"/>
      <c r="D183" s="131"/>
      <c r="E183" s="131"/>
      <c r="F183" s="131"/>
      <c r="G183" s="131"/>
      <c r="H183" s="131"/>
      <c r="I183" s="131"/>
      <c r="J183" s="131"/>
      <c r="K183" s="131"/>
      <c r="L183" s="131"/>
      <c r="M183" s="131"/>
      <c r="P183" s="131"/>
      <c r="Q183" s="131"/>
      <c r="R183" s="131"/>
      <c r="S183" s="142"/>
      <c r="T183" s="142"/>
    </row>
    <row r="184" spans="1:20" ht="27" hidden="1" customHeight="1">
      <c r="A184" s="130" t="s">
        <v>167</v>
      </c>
      <c r="B184" s="131"/>
      <c r="C184" s="132"/>
      <c r="D184" s="132"/>
      <c r="E184" s="132"/>
      <c r="F184" s="132"/>
      <c r="G184" s="132"/>
      <c r="H184" s="132"/>
      <c r="I184" s="132"/>
      <c r="J184" s="132"/>
      <c r="K184" s="132"/>
      <c r="L184" s="132"/>
      <c r="M184" s="132"/>
      <c r="P184" s="132"/>
      <c r="Q184" s="132"/>
      <c r="R184" s="132"/>
      <c r="S184" s="143"/>
      <c r="T184" s="143"/>
    </row>
    <row r="185" spans="1:20" ht="27" hidden="1" customHeight="1">
      <c r="A185" s="135" t="s">
        <v>141</v>
      </c>
      <c r="B185" s="138"/>
      <c r="C185" s="133"/>
      <c r="D185" s="133"/>
      <c r="E185" s="133"/>
      <c r="F185" s="137">
        <v>2176</v>
      </c>
      <c r="G185" s="133"/>
      <c r="H185" s="133"/>
      <c r="I185" s="133"/>
      <c r="J185" s="133"/>
      <c r="K185" s="133"/>
      <c r="L185" s="133"/>
      <c r="M185" s="133"/>
      <c r="P185" s="133"/>
      <c r="Q185" s="133"/>
      <c r="R185" s="133"/>
      <c r="S185" s="134"/>
      <c r="T185" s="134"/>
    </row>
    <row r="186" spans="1:20" ht="14.4" hidden="1" customHeight="1">
      <c r="A186" s="135" t="s">
        <v>26</v>
      </c>
      <c r="B186" s="136"/>
      <c r="C186" s="137"/>
      <c r="D186" s="137"/>
      <c r="E186" s="137">
        <v>467</v>
      </c>
      <c r="F186" s="133">
        <v>1798</v>
      </c>
      <c r="G186" s="137"/>
      <c r="H186" s="137"/>
      <c r="I186" s="137"/>
      <c r="J186" s="137"/>
      <c r="K186" s="137"/>
      <c r="L186" s="137"/>
      <c r="M186" s="137"/>
      <c r="P186" s="137"/>
      <c r="Q186" s="137"/>
      <c r="R186" s="137"/>
      <c r="S186" s="134"/>
      <c r="T186" s="134"/>
    </row>
    <row r="187" spans="1:20" ht="27" hidden="1" customHeight="1">
      <c r="A187" s="135" t="s">
        <v>27</v>
      </c>
      <c r="B187" s="138"/>
      <c r="C187" s="133"/>
      <c r="D187" s="133">
        <v>2398</v>
      </c>
      <c r="E187" s="133"/>
      <c r="F187" s="140">
        <v>3555</v>
      </c>
      <c r="G187" s="133"/>
      <c r="H187" s="133"/>
      <c r="I187" s="133"/>
      <c r="J187" s="133"/>
      <c r="K187" s="133"/>
      <c r="L187" s="133"/>
      <c r="M187" s="133"/>
      <c r="P187" s="133"/>
      <c r="Q187" s="133"/>
      <c r="R187" s="133"/>
      <c r="S187" s="134"/>
      <c r="T187" s="134"/>
    </row>
    <row r="188" spans="1:20" ht="14.4" hidden="1" customHeight="1">
      <c r="A188" s="135" t="s">
        <v>28</v>
      </c>
      <c r="B188" s="139"/>
      <c r="C188" s="140"/>
      <c r="D188" s="140">
        <v>525</v>
      </c>
      <c r="E188" s="140"/>
      <c r="F188" s="140">
        <v>468</v>
      </c>
      <c r="G188" s="140"/>
      <c r="H188" s="140"/>
      <c r="I188" s="140"/>
      <c r="J188" s="140"/>
      <c r="K188" s="140"/>
      <c r="L188" s="140"/>
      <c r="M188" s="140"/>
      <c r="P188" s="140"/>
      <c r="Q188" s="140"/>
      <c r="R188" s="140"/>
      <c r="S188" s="134"/>
      <c r="T188" s="134"/>
    </row>
    <row r="189" spans="1:20" ht="27" hidden="1" customHeight="1">
      <c r="A189" s="135" t="s">
        <v>29</v>
      </c>
      <c r="B189" s="139"/>
      <c r="C189" s="140"/>
      <c r="D189" s="140">
        <v>17427</v>
      </c>
      <c r="E189" s="140">
        <v>678</v>
      </c>
      <c r="F189" s="140">
        <v>7593</v>
      </c>
      <c r="G189" s="140"/>
      <c r="H189" s="140"/>
      <c r="I189" s="140"/>
      <c r="J189" s="140"/>
      <c r="K189" s="140"/>
      <c r="L189" s="140"/>
      <c r="M189" s="140"/>
      <c r="P189" s="140"/>
      <c r="Q189" s="140"/>
      <c r="R189" s="140"/>
      <c r="S189" s="134"/>
      <c r="T189" s="134"/>
    </row>
    <row r="190" spans="1:20" ht="14.4" hidden="1" customHeight="1">
      <c r="A190" s="135" t="s">
        <v>30</v>
      </c>
      <c r="B190" s="139"/>
      <c r="C190" s="140"/>
      <c r="D190" s="140">
        <v>16434</v>
      </c>
      <c r="E190" s="140">
        <v>1427</v>
      </c>
      <c r="F190" s="140">
        <v>38492</v>
      </c>
      <c r="G190" s="140"/>
      <c r="H190" s="140"/>
      <c r="I190" s="140"/>
      <c r="J190" s="140"/>
      <c r="K190" s="140"/>
      <c r="L190" s="140"/>
      <c r="M190" s="140"/>
      <c r="P190" s="140"/>
      <c r="Q190" s="140"/>
      <c r="R190" s="140"/>
      <c r="S190" s="134"/>
      <c r="T190" s="134"/>
    </row>
    <row r="191" spans="1:20" ht="14.4" hidden="1" customHeight="1">
      <c r="A191" s="135" t="s">
        <v>129</v>
      </c>
      <c r="B191" s="139"/>
      <c r="C191" s="140"/>
      <c r="D191" s="140"/>
      <c r="E191" s="140">
        <v>2205</v>
      </c>
      <c r="F191" s="140">
        <v>5658</v>
      </c>
      <c r="G191" s="140"/>
      <c r="H191" s="140"/>
      <c r="I191" s="140"/>
      <c r="J191" s="140"/>
      <c r="K191" s="140"/>
      <c r="L191" s="140"/>
      <c r="M191" s="140"/>
      <c r="P191" s="140"/>
      <c r="Q191" s="140"/>
      <c r="R191" s="140"/>
      <c r="S191" s="134"/>
      <c r="T191" s="134"/>
    </row>
    <row r="192" spans="1:20" ht="14.4" hidden="1" customHeight="1">
      <c r="A192" s="135" t="s">
        <v>32</v>
      </c>
      <c r="B192" s="139"/>
      <c r="C192" s="140"/>
      <c r="D192" s="140"/>
      <c r="E192" s="140"/>
      <c r="F192" s="140">
        <v>2523</v>
      </c>
      <c r="G192" s="140"/>
      <c r="H192" s="140"/>
      <c r="I192" s="140"/>
      <c r="J192" s="140"/>
      <c r="K192" s="140"/>
      <c r="L192" s="140"/>
      <c r="M192" s="140"/>
      <c r="P192" s="140"/>
      <c r="Q192" s="140"/>
      <c r="R192" s="140"/>
      <c r="S192" s="134"/>
      <c r="T192" s="134"/>
    </row>
    <row r="193" spans="1:21" ht="13.2" hidden="1" customHeight="1">
      <c r="A193" s="141" t="s">
        <v>130</v>
      </c>
      <c r="B193" s="131">
        <f t="shared" ref="B193:L193" si="55">SUM(B186:B192)</f>
        <v>0</v>
      </c>
      <c r="C193" s="131">
        <f t="shared" si="55"/>
        <v>0</v>
      </c>
      <c r="D193" s="131">
        <f t="shared" si="55"/>
        <v>36784</v>
      </c>
      <c r="E193" s="131">
        <f t="shared" si="55"/>
        <v>4777</v>
      </c>
      <c r="F193" s="131">
        <f>SUM(F185:F192)</f>
        <v>62263</v>
      </c>
      <c r="G193" s="131">
        <f t="shared" si="55"/>
        <v>0</v>
      </c>
      <c r="H193" s="131">
        <f>SUM(H186:H192)</f>
        <v>0</v>
      </c>
      <c r="I193" s="131"/>
      <c r="J193" s="131"/>
      <c r="K193" s="131">
        <f t="shared" si="55"/>
        <v>0</v>
      </c>
      <c r="L193" s="131">
        <f t="shared" si="55"/>
        <v>0</v>
      </c>
      <c r="M193" s="131"/>
      <c r="P193" s="131">
        <f t="shared" ref="P193:R193" si="56">SUM(P186:P192)</f>
        <v>0</v>
      </c>
      <c r="Q193" s="131">
        <f t="shared" si="56"/>
        <v>0</v>
      </c>
      <c r="R193" s="131">
        <f t="shared" si="56"/>
        <v>0</v>
      </c>
      <c r="S193" s="142"/>
      <c r="T193" s="142"/>
    </row>
    <row r="194" spans="1:21" ht="13.2" hidden="1" customHeight="1">
      <c r="A194" s="141"/>
      <c r="B194" s="144"/>
      <c r="C194" s="144"/>
      <c r="D194" s="144"/>
      <c r="E194" s="144"/>
      <c r="F194" s="144"/>
      <c r="G194" s="144"/>
      <c r="H194" s="144"/>
      <c r="I194" s="144"/>
      <c r="J194" s="144"/>
      <c r="K194" s="144"/>
      <c r="L194" s="144"/>
      <c r="M194" s="144"/>
      <c r="P194" s="144"/>
      <c r="Q194" s="144"/>
      <c r="R194" s="144"/>
      <c r="S194" s="142"/>
      <c r="T194" s="142"/>
    </row>
    <row r="195" spans="1:21" ht="14.4">
      <c r="A195" s="130" t="s">
        <v>168</v>
      </c>
      <c r="B195" s="131"/>
      <c r="C195" s="132"/>
      <c r="D195" s="132"/>
      <c r="E195" s="132"/>
      <c r="F195" s="132"/>
      <c r="G195" s="132"/>
      <c r="H195" s="132"/>
      <c r="I195" s="132"/>
      <c r="J195" s="132"/>
      <c r="K195" s="132"/>
      <c r="L195" s="132"/>
      <c r="M195" s="132"/>
      <c r="P195" s="133">
        <v>180337</v>
      </c>
      <c r="Q195" s="133">
        <f>+(320091*0.78)-P195</f>
        <v>69333.98000000001</v>
      </c>
      <c r="R195" s="133">
        <f>SUM(P195:Q195)</f>
        <v>249670.98</v>
      </c>
      <c r="S195" s="143">
        <v>-70420</v>
      </c>
      <c r="T195" s="143"/>
      <c r="U195" s="2" t="s">
        <v>169</v>
      </c>
    </row>
    <row r="196" spans="1:21" ht="14.4">
      <c r="A196" s="135" t="s">
        <v>26</v>
      </c>
      <c r="B196" s="136"/>
      <c r="C196" s="137"/>
      <c r="D196" s="137">
        <v>3265</v>
      </c>
      <c r="E196" s="137">
        <v>14108</v>
      </c>
      <c r="F196" s="137">
        <v>18287</v>
      </c>
      <c r="G196" s="137">
        <v>32009</v>
      </c>
      <c r="H196" s="137">
        <f t="shared" ref="H196:H202" si="57">+G196+S196</f>
        <v>24967.021999993751</v>
      </c>
      <c r="I196" s="137">
        <f t="shared" ref="I196:I202" si="58">+H196</f>
        <v>24967.021999993751</v>
      </c>
      <c r="J196" s="137">
        <f>25306*0.78</f>
        <v>19738.68</v>
      </c>
      <c r="K196" s="137">
        <v>30389</v>
      </c>
      <c r="L196" s="137">
        <v>30389</v>
      </c>
      <c r="M196" s="137">
        <v>22997</v>
      </c>
      <c r="P196" s="137"/>
      <c r="Q196" s="137"/>
      <c r="R196" s="137"/>
      <c r="S196" s="134">
        <f t="shared" ref="S196:S202" si="59">+G196/$G$203*$S$195</f>
        <v>-7041.9780000062483</v>
      </c>
      <c r="T196" s="134"/>
    </row>
    <row r="197" spans="1:21" ht="14.4">
      <c r="A197" s="135" t="s">
        <v>27</v>
      </c>
      <c r="B197" s="138"/>
      <c r="C197" s="133"/>
      <c r="D197" s="133">
        <v>9506</v>
      </c>
      <c r="E197" s="133">
        <v>19505</v>
      </c>
      <c r="F197" s="133">
        <v>18824</v>
      </c>
      <c r="G197" s="133">
        <v>32009</v>
      </c>
      <c r="H197" s="133">
        <f t="shared" si="57"/>
        <v>24967.021999993751</v>
      </c>
      <c r="I197" s="133">
        <f t="shared" si="58"/>
        <v>24967.021999993751</v>
      </c>
      <c r="J197" s="133">
        <f>25306*0.78</f>
        <v>19738.68</v>
      </c>
      <c r="K197" s="133">
        <v>30389</v>
      </c>
      <c r="L197" s="133">
        <v>30389</v>
      </c>
      <c r="M197" s="133">
        <v>22997</v>
      </c>
      <c r="P197" s="133"/>
      <c r="Q197" s="133"/>
      <c r="R197" s="133"/>
      <c r="S197" s="134">
        <f t="shared" si="59"/>
        <v>-7041.9780000062483</v>
      </c>
      <c r="T197" s="134"/>
    </row>
    <row r="198" spans="1:21" ht="14.4">
      <c r="A198" s="135" t="s">
        <v>28</v>
      </c>
      <c r="B198" s="139"/>
      <c r="C198" s="140"/>
      <c r="D198" s="140">
        <v>707</v>
      </c>
      <c r="E198" s="140">
        <v>2142</v>
      </c>
      <c r="F198" s="140">
        <v>216</v>
      </c>
      <c r="G198" s="140">
        <v>8002</v>
      </c>
      <c r="H198" s="140">
        <f t="shared" si="57"/>
        <v>6241.5604999828174</v>
      </c>
      <c r="I198" s="140">
        <f t="shared" si="58"/>
        <v>6241.5604999828174</v>
      </c>
      <c r="J198" s="140">
        <f>6327*0.78</f>
        <v>4935.0600000000004</v>
      </c>
      <c r="K198" s="140">
        <v>7597</v>
      </c>
      <c r="L198" s="140">
        <v>7597</v>
      </c>
      <c r="M198" s="140">
        <v>5749</v>
      </c>
      <c r="P198" s="140"/>
      <c r="Q198" s="140"/>
      <c r="R198" s="140"/>
      <c r="S198" s="134">
        <f t="shared" si="59"/>
        <v>-1760.4395000171826</v>
      </c>
      <c r="T198" s="134"/>
    </row>
    <row r="199" spans="1:21" ht="14.4">
      <c r="A199" s="135" t="s">
        <v>29</v>
      </c>
      <c r="B199" s="139"/>
      <c r="C199" s="140"/>
      <c r="D199" s="140">
        <v>7595</v>
      </c>
      <c r="E199" s="140">
        <v>20760</v>
      </c>
      <c r="F199" s="140">
        <v>30342</v>
      </c>
      <c r="G199" s="140">
        <v>48014</v>
      </c>
      <c r="H199" s="140">
        <f t="shared" si="57"/>
        <v>37450.923000021867</v>
      </c>
      <c r="I199" s="140">
        <f t="shared" si="58"/>
        <v>37450.923000021867</v>
      </c>
      <c r="J199" s="140">
        <f>37959*0.78</f>
        <v>29608.02</v>
      </c>
      <c r="K199" s="140">
        <v>45584</v>
      </c>
      <c r="L199" s="140">
        <v>45584</v>
      </c>
      <c r="M199" s="140">
        <v>34495</v>
      </c>
      <c r="P199" s="140"/>
      <c r="Q199" s="140"/>
      <c r="R199" s="140"/>
      <c r="S199" s="134">
        <f t="shared" si="59"/>
        <v>-10563.076999978131</v>
      </c>
      <c r="T199" s="134"/>
    </row>
    <row r="200" spans="1:21" ht="14.4">
      <c r="A200" s="135" t="s">
        <v>30</v>
      </c>
      <c r="B200" s="139"/>
      <c r="C200" s="140"/>
      <c r="D200" s="140">
        <v>114813</v>
      </c>
      <c r="E200" s="140">
        <v>79551</v>
      </c>
      <c r="F200" s="140">
        <v>94318</v>
      </c>
      <c r="G200" s="140">
        <v>160046</v>
      </c>
      <c r="H200" s="140">
        <f t="shared" si="57"/>
        <v>124835.89000003124</v>
      </c>
      <c r="I200" s="140">
        <f t="shared" si="58"/>
        <v>124835.89000003124</v>
      </c>
      <c r="J200" s="140">
        <f>126531*0.78</f>
        <v>98694.180000000008</v>
      </c>
      <c r="K200" s="140">
        <v>151946</v>
      </c>
      <c r="L200" s="140">
        <v>151946</v>
      </c>
      <c r="M200" s="140">
        <v>114985</v>
      </c>
      <c r="P200" s="140"/>
      <c r="Q200" s="140"/>
      <c r="R200" s="140"/>
      <c r="S200" s="134">
        <f t="shared" si="59"/>
        <v>-35210.109999968758</v>
      </c>
      <c r="T200" s="134"/>
    </row>
    <row r="201" spans="1:21" ht="14.4">
      <c r="A201" s="135" t="s">
        <v>129</v>
      </c>
      <c r="B201" s="139"/>
      <c r="C201" s="140"/>
      <c r="D201" s="140">
        <v>2302</v>
      </c>
      <c r="E201" s="140">
        <v>7825</v>
      </c>
      <c r="F201" s="140">
        <v>9620</v>
      </c>
      <c r="G201" s="140">
        <v>16005</v>
      </c>
      <c r="H201" s="140">
        <f t="shared" si="57"/>
        <v>12483.901000028118</v>
      </c>
      <c r="I201" s="140">
        <f t="shared" si="58"/>
        <v>12483.901000028118</v>
      </c>
      <c r="J201" s="140">
        <f>12653*0.78</f>
        <v>9869.34</v>
      </c>
      <c r="K201" s="140">
        <v>15195</v>
      </c>
      <c r="L201" s="140">
        <v>15195</v>
      </c>
      <c r="M201" s="140">
        <v>11499</v>
      </c>
      <c r="P201" s="140"/>
      <c r="Q201" s="140"/>
      <c r="R201" s="140"/>
      <c r="S201" s="134">
        <f t="shared" si="59"/>
        <v>-3521.0989999718827</v>
      </c>
      <c r="T201" s="134"/>
    </row>
    <row r="202" spans="1:21" ht="14.4">
      <c r="A202" s="135" t="s">
        <v>32</v>
      </c>
      <c r="B202" s="139"/>
      <c r="C202" s="140"/>
      <c r="D202" s="140">
        <v>7426</v>
      </c>
      <c r="E202" s="140">
        <v>11236</v>
      </c>
      <c r="F202" s="140">
        <f>5567+1945</f>
        <v>7512</v>
      </c>
      <c r="G202" s="140">
        <v>24006</v>
      </c>
      <c r="H202" s="140">
        <f t="shared" si="57"/>
        <v>18724.681499948452</v>
      </c>
      <c r="I202" s="140">
        <f t="shared" si="58"/>
        <v>18724.681499948452</v>
      </c>
      <c r="J202" s="140">
        <f>18980*0.78</f>
        <v>14804.4</v>
      </c>
      <c r="K202" s="140">
        <v>22793</v>
      </c>
      <c r="L202" s="140">
        <v>22793</v>
      </c>
      <c r="M202" s="140">
        <v>17248</v>
      </c>
      <c r="P202" s="140"/>
      <c r="Q202" s="140"/>
      <c r="R202" s="140"/>
      <c r="S202" s="134">
        <f t="shared" si="59"/>
        <v>-5281.3185000515477</v>
      </c>
      <c r="T202" s="134"/>
    </row>
    <row r="203" spans="1:21">
      <c r="A203" s="141" t="s">
        <v>130</v>
      </c>
      <c r="B203" s="131">
        <f>SUM(B196:B202)</f>
        <v>0</v>
      </c>
      <c r="C203" s="131">
        <f>SUM(C196:C202)</f>
        <v>0</v>
      </c>
      <c r="D203" s="131">
        <f t="shared" ref="D203:K203" si="60">SUM(D196:D202)</f>
        <v>145614</v>
      </c>
      <c r="E203" s="131">
        <f t="shared" si="60"/>
        <v>155127</v>
      </c>
      <c r="F203" s="131">
        <f t="shared" si="60"/>
        <v>179119</v>
      </c>
      <c r="G203" s="131">
        <f t="shared" si="60"/>
        <v>320091</v>
      </c>
      <c r="H203" s="131">
        <f>SUM(H196:H202)</f>
        <v>249671.00000000003</v>
      </c>
      <c r="I203" s="131">
        <f>SUM(I196:I202)</f>
        <v>249671.00000000003</v>
      </c>
      <c r="J203" s="131">
        <f>SUM(J196:J202)</f>
        <v>197388.36</v>
      </c>
      <c r="K203" s="131">
        <f t="shared" si="60"/>
        <v>303893</v>
      </c>
      <c r="L203" s="131">
        <f>SUM(L196:L202)</f>
        <v>303893</v>
      </c>
      <c r="M203" s="131">
        <f>SUM(M196:M202)</f>
        <v>229970</v>
      </c>
      <c r="P203" s="131">
        <f>SUM(P195:P202)</f>
        <v>180337</v>
      </c>
      <c r="Q203" s="131">
        <f t="shared" ref="Q203:R203" si="61">SUM(Q195:Q202)</f>
        <v>69333.98000000001</v>
      </c>
      <c r="R203" s="131">
        <f t="shared" si="61"/>
        <v>249670.98</v>
      </c>
      <c r="S203" s="142"/>
      <c r="T203" s="142"/>
    </row>
    <row r="204" spans="1:21">
      <c r="A204" s="141"/>
      <c r="B204" s="144"/>
      <c r="C204" s="144"/>
      <c r="D204" s="144"/>
      <c r="E204" s="144"/>
      <c r="F204" s="144"/>
      <c r="G204" s="144"/>
      <c r="H204" s="144"/>
      <c r="I204" s="144"/>
      <c r="J204" s="144"/>
      <c r="K204" s="144"/>
      <c r="L204" s="144"/>
      <c r="M204" s="144"/>
      <c r="P204" s="144"/>
      <c r="Q204" s="144"/>
      <c r="R204" s="144"/>
      <c r="S204" s="142"/>
      <c r="T204" s="142"/>
    </row>
    <row r="205" spans="1:21" ht="14.4">
      <c r="A205" s="130" t="s">
        <v>170</v>
      </c>
      <c r="B205" s="144"/>
      <c r="C205" s="145"/>
      <c r="D205" s="145"/>
      <c r="E205" s="145"/>
      <c r="F205" s="145"/>
      <c r="G205" s="145"/>
      <c r="H205" s="145"/>
      <c r="I205" s="145"/>
      <c r="J205" s="145"/>
      <c r="K205" s="145"/>
      <c r="L205" s="145"/>
      <c r="M205" s="145"/>
      <c r="P205" s="133">
        <v>138603</v>
      </c>
      <c r="Q205" s="133">
        <f>+P205/11*2</f>
        <v>25200.545454545456</v>
      </c>
      <c r="R205" s="133">
        <f>SUM(P205:Q205)</f>
        <v>163803.54545454547</v>
      </c>
      <c r="S205" s="143">
        <v>-129130</v>
      </c>
      <c r="T205" s="143"/>
    </row>
    <row r="206" spans="1:21" ht="14.4">
      <c r="A206" s="135" t="s">
        <v>26</v>
      </c>
      <c r="B206" s="136"/>
      <c r="C206" s="137"/>
      <c r="D206" s="137">
        <v>7074</v>
      </c>
      <c r="E206" s="137">
        <v>396</v>
      </c>
      <c r="F206" s="137">
        <v>2723</v>
      </c>
      <c r="G206" s="137">
        <v>7323</v>
      </c>
      <c r="H206" s="137">
        <f t="shared" ref="H206:H212" si="62">+G206+S206</f>
        <v>4094.9042856069968</v>
      </c>
      <c r="I206" s="137">
        <f t="shared" ref="I206:I212" si="63">+H206</f>
        <v>4094.9042856069968</v>
      </c>
      <c r="J206" s="137">
        <f>5379*I206/G206</f>
        <v>3007.8506284692116</v>
      </c>
      <c r="K206" s="137">
        <v>6496</v>
      </c>
      <c r="L206" s="137">
        <v>6496</v>
      </c>
      <c r="M206" s="137">
        <v>4229</v>
      </c>
      <c r="P206" s="137"/>
      <c r="Q206" s="137"/>
      <c r="R206" s="137"/>
      <c r="S206" s="134">
        <f t="shared" ref="S206:S212" si="64">+G206/$G$213*$S$205</f>
        <v>-3228.0957143930032</v>
      </c>
      <c r="T206" s="134"/>
      <c r="U206" s="2" t="s">
        <v>171</v>
      </c>
    </row>
    <row r="207" spans="1:21" ht="14.4">
      <c r="A207" s="135" t="s">
        <v>27</v>
      </c>
      <c r="B207" s="138"/>
      <c r="C207" s="133"/>
      <c r="D207" s="133">
        <v>2261</v>
      </c>
      <c r="E207" s="133">
        <v>9278</v>
      </c>
      <c r="F207" s="133">
        <v>3358</v>
      </c>
      <c r="G207" s="133">
        <v>7323</v>
      </c>
      <c r="H207" s="133">
        <f t="shared" si="62"/>
        <v>4094.9042856069968</v>
      </c>
      <c r="I207" s="133">
        <f t="shared" si="63"/>
        <v>4094.9042856069968</v>
      </c>
      <c r="J207" s="133">
        <f>5379*I207/G207</f>
        <v>3007.8506284692116</v>
      </c>
      <c r="K207" s="133">
        <v>6496</v>
      </c>
      <c r="L207" s="133">
        <v>6496</v>
      </c>
      <c r="M207" s="133">
        <v>4229</v>
      </c>
      <c r="P207" s="133"/>
      <c r="Q207" s="133"/>
      <c r="R207" s="133"/>
      <c r="S207" s="134">
        <f t="shared" si="64"/>
        <v>-3228.0957143930032</v>
      </c>
      <c r="T207" s="134"/>
    </row>
    <row r="208" spans="1:21" ht="14.4">
      <c r="A208" s="135" t="s">
        <v>28</v>
      </c>
      <c r="B208" s="139"/>
      <c r="C208" s="140"/>
      <c r="D208" s="140">
        <v>442</v>
      </c>
      <c r="E208" s="140">
        <v>3763</v>
      </c>
      <c r="F208" s="140">
        <v>566</v>
      </c>
      <c r="G208" s="140">
        <v>7323</v>
      </c>
      <c r="H208" s="140">
        <f t="shared" si="62"/>
        <v>4094.9042856069968</v>
      </c>
      <c r="I208" s="140">
        <f t="shared" si="63"/>
        <v>4094.9042856069968</v>
      </c>
      <c r="J208" s="140">
        <f>5379*I208/G208</f>
        <v>3007.8506284692116</v>
      </c>
      <c r="K208" s="140">
        <v>6496</v>
      </c>
      <c r="L208" s="140">
        <v>6496</v>
      </c>
      <c r="M208" s="140"/>
      <c r="P208" s="140"/>
      <c r="Q208" s="140"/>
      <c r="R208" s="140"/>
      <c r="S208" s="134">
        <f t="shared" si="64"/>
        <v>-3228.0957143930032</v>
      </c>
      <c r="T208" s="134"/>
    </row>
    <row r="209" spans="1:21" ht="14.4">
      <c r="A209" s="135" t="s">
        <v>29</v>
      </c>
      <c r="B209" s="139"/>
      <c r="C209" s="140"/>
      <c r="D209" s="140">
        <v>27053</v>
      </c>
      <c r="E209" s="140">
        <v>19508</v>
      </c>
      <c r="F209" s="140">
        <v>29192</v>
      </c>
      <c r="G209" s="140">
        <v>29293</v>
      </c>
      <c r="H209" s="140">
        <f t="shared" si="62"/>
        <v>16380.176326407996</v>
      </c>
      <c r="I209" s="140">
        <f t="shared" si="63"/>
        <v>16380.176326407996</v>
      </c>
      <c r="J209" s="140">
        <f>21516*I209/G209</f>
        <v>12031.402513876847</v>
      </c>
      <c r="K209" s="140">
        <v>25983</v>
      </c>
      <c r="L209" s="140">
        <v>25983</v>
      </c>
      <c r="M209" s="140">
        <v>16914</v>
      </c>
      <c r="P209" s="140"/>
      <c r="Q209" s="140"/>
      <c r="R209" s="140"/>
      <c r="S209" s="134">
        <f t="shared" si="64"/>
        <v>-12912.823673592004</v>
      </c>
      <c r="T209" s="134"/>
    </row>
    <row r="210" spans="1:21" ht="14.4">
      <c r="A210" s="135" t="s">
        <v>30</v>
      </c>
      <c r="B210" s="139"/>
      <c r="C210" s="140"/>
      <c r="D210" s="140">
        <v>77586</v>
      </c>
      <c r="E210" s="140">
        <v>9793</v>
      </c>
      <c r="F210" s="140">
        <v>831</v>
      </c>
      <c r="G210" s="140">
        <v>7323</v>
      </c>
      <c r="H210" s="140">
        <f t="shared" si="62"/>
        <v>4094.9042856069968</v>
      </c>
      <c r="I210" s="140">
        <f t="shared" si="63"/>
        <v>4094.9042856069968</v>
      </c>
      <c r="J210" s="140">
        <f>5379*I210/G210</f>
        <v>3007.8506284692116</v>
      </c>
      <c r="K210" s="140">
        <v>6496</v>
      </c>
      <c r="L210" s="140">
        <v>6496</v>
      </c>
      <c r="M210" s="140">
        <v>4229</v>
      </c>
      <c r="P210" s="140"/>
      <c r="Q210" s="140"/>
      <c r="R210" s="140"/>
      <c r="S210" s="134">
        <f t="shared" si="64"/>
        <v>-3228.0957143930032</v>
      </c>
      <c r="T210" s="134"/>
    </row>
    <row r="211" spans="1:21" ht="14.4">
      <c r="A211" s="135" t="s">
        <v>129</v>
      </c>
      <c r="B211" s="139"/>
      <c r="C211" s="140"/>
      <c r="D211" s="140">
        <v>264</v>
      </c>
      <c r="E211" s="140">
        <v>101079</v>
      </c>
      <c r="F211" s="140">
        <v>122044</v>
      </c>
      <c r="G211" s="140">
        <v>219703</v>
      </c>
      <c r="H211" s="140">
        <f t="shared" si="62"/>
        <v>122854.39795995002</v>
      </c>
      <c r="I211" s="140">
        <f t="shared" si="63"/>
        <v>122854.39795995002</v>
      </c>
      <c r="J211" s="140">
        <f>161367*I211/G211</f>
        <v>90233.841302136309</v>
      </c>
      <c r="K211" s="140">
        <v>194874</v>
      </c>
      <c r="L211" s="140">
        <v>194874</v>
      </c>
      <c r="M211" s="140">
        <v>126856</v>
      </c>
      <c r="P211" s="140"/>
      <c r="Q211" s="140"/>
      <c r="R211" s="140"/>
      <c r="S211" s="134">
        <f t="shared" si="64"/>
        <v>-96848.602040049984</v>
      </c>
      <c r="T211" s="134"/>
    </row>
    <row r="212" spans="1:21" ht="14.4">
      <c r="A212" s="135" t="s">
        <v>32</v>
      </c>
      <c r="B212" s="139"/>
      <c r="C212" s="140"/>
      <c r="D212" s="140"/>
      <c r="E212" s="140">
        <v>2858</v>
      </c>
      <c r="F212" s="140">
        <f>5191+1542</f>
        <v>6733</v>
      </c>
      <c r="G212" s="140">
        <v>14646</v>
      </c>
      <c r="H212" s="140">
        <f t="shared" si="62"/>
        <v>8189.8085712139937</v>
      </c>
      <c r="I212" s="140">
        <f t="shared" si="63"/>
        <v>8189.8085712139937</v>
      </c>
      <c r="J212" s="140">
        <f>10757*I212/G212</f>
        <v>6015.1420729584133</v>
      </c>
      <c r="K212" s="140">
        <v>12991</v>
      </c>
      <c r="L212" s="140">
        <v>12991</v>
      </c>
      <c r="M212" s="140">
        <v>12684</v>
      </c>
      <c r="P212" s="140"/>
      <c r="Q212" s="140"/>
      <c r="R212" s="140"/>
      <c r="S212" s="134">
        <f t="shared" si="64"/>
        <v>-6456.1914287860063</v>
      </c>
      <c r="T212" s="134"/>
    </row>
    <row r="213" spans="1:21">
      <c r="A213" s="141" t="s">
        <v>130</v>
      </c>
      <c r="B213" s="131">
        <f>SUM(B206:B212)</f>
        <v>0</v>
      </c>
      <c r="C213" s="131">
        <f>SUM(C206:C212)</f>
        <v>0</v>
      </c>
      <c r="D213" s="131">
        <f t="shared" ref="D213:K213" si="65">SUM(D206:D212)</f>
        <v>114680</v>
      </c>
      <c r="E213" s="131">
        <f t="shared" si="65"/>
        <v>146675</v>
      </c>
      <c r="F213" s="131">
        <f t="shared" si="65"/>
        <v>165447</v>
      </c>
      <c r="G213" s="131">
        <f t="shared" si="65"/>
        <v>292934</v>
      </c>
      <c r="H213" s="131">
        <f>SUM(H206:H212)</f>
        <v>163804</v>
      </c>
      <c r="I213" s="131">
        <f>SUM(I206:I212)</f>
        <v>163804</v>
      </c>
      <c r="J213" s="131">
        <f>SUM(J206:J212)</f>
        <v>120311.78840284841</v>
      </c>
      <c r="K213" s="131">
        <f t="shared" si="65"/>
        <v>259832</v>
      </c>
      <c r="L213" s="131">
        <f>SUM(L206:L212)</f>
        <v>259832</v>
      </c>
      <c r="M213" s="131">
        <f>SUM(M206:M212)</f>
        <v>169141</v>
      </c>
      <c r="P213" s="131">
        <f>SUM(P205:P212)</f>
        <v>138603</v>
      </c>
      <c r="Q213" s="131">
        <f>SUM(Q205:Q212)</f>
        <v>25200.545454545456</v>
      </c>
      <c r="R213" s="131">
        <f>SUM(R205:R212)</f>
        <v>163803.54545454547</v>
      </c>
      <c r="S213" s="142"/>
      <c r="T213" s="142"/>
    </row>
    <row r="214" spans="1:21">
      <c r="A214" s="141"/>
      <c r="B214" s="144"/>
      <c r="C214" s="144"/>
      <c r="D214" s="144"/>
      <c r="E214" s="144"/>
      <c r="F214" s="144"/>
      <c r="G214" s="144"/>
      <c r="H214" s="144"/>
      <c r="I214" s="144"/>
      <c r="J214" s="144"/>
      <c r="K214" s="144"/>
      <c r="L214" s="144"/>
      <c r="M214" s="144"/>
      <c r="P214" s="144"/>
      <c r="Q214" s="144"/>
      <c r="R214" s="144"/>
      <c r="S214" s="142"/>
      <c r="T214" s="142"/>
    </row>
    <row r="215" spans="1:21" ht="14.4">
      <c r="A215" s="130" t="s">
        <v>172</v>
      </c>
      <c r="B215" s="144"/>
      <c r="C215" s="145"/>
      <c r="D215" s="145"/>
      <c r="E215" s="145"/>
      <c r="F215" s="145"/>
      <c r="G215" s="145"/>
      <c r="H215" s="145"/>
      <c r="I215" s="145"/>
      <c r="J215" s="145"/>
      <c r="K215" s="145"/>
      <c r="L215" s="145"/>
      <c r="M215" s="145"/>
      <c r="P215" s="133">
        <v>1508</v>
      </c>
      <c r="Q215" s="133">
        <v>5000</v>
      </c>
      <c r="R215" s="133">
        <f>SUM(P215:Q215)</f>
        <v>6508</v>
      </c>
      <c r="S215" s="143">
        <v>-25208</v>
      </c>
      <c r="T215" s="143"/>
    </row>
    <row r="216" spans="1:21" ht="14.4">
      <c r="A216" s="135" t="s">
        <v>26</v>
      </c>
      <c r="B216" s="136"/>
      <c r="C216" s="137"/>
      <c r="D216" s="137"/>
      <c r="E216" s="137">
        <v>33863</v>
      </c>
      <c r="F216" s="137">
        <v>2922</v>
      </c>
      <c r="G216" s="137">
        <v>4757</v>
      </c>
      <c r="H216" s="137">
        <f>+G216+S216</f>
        <v>976.11792155378998</v>
      </c>
      <c r="I216" s="137">
        <f>+H216</f>
        <v>976.11792155378998</v>
      </c>
      <c r="J216" s="137">
        <f>4500*I216/G216</f>
        <v>923.38251986379123</v>
      </c>
      <c r="K216" s="137">
        <v>6300</v>
      </c>
      <c r="L216" s="137">
        <v>6300</v>
      </c>
      <c r="M216" s="137">
        <v>6000</v>
      </c>
      <c r="P216" s="137"/>
      <c r="Q216" s="137"/>
      <c r="R216" s="137"/>
      <c r="S216" s="134">
        <f>+G216/$G$223*$S$215</f>
        <v>-3780.88207844621</v>
      </c>
      <c r="T216" s="134"/>
      <c r="U216" s="2" t="s">
        <v>173</v>
      </c>
    </row>
    <row r="217" spans="1:21" ht="14.4">
      <c r="A217" s="135" t="s">
        <v>27</v>
      </c>
      <c r="B217" s="138"/>
      <c r="C217" s="133"/>
      <c r="D217" s="133"/>
      <c r="E217" s="133"/>
      <c r="F217" s="133"/>
      <c r="G217" s="133"/>
      <c r="H217" s="133"/>
      <c r="I217" s="133"/>
      <c r="J217" s="133"/>
      <c r="K217" s="133"/>
      <c r="L217" s="133"/>
      <c r="M217" s="133"/>
      <c r="P217" s="133"/>
      <c r="Q217" s="133"/>
      <c r="R217" s="133"/>
      <c r="S217" s="134">
        <f>+G217/$G$223*$S$215</f>
        <v>0</v>
      </c>
      <c r="T217" s="134"/>
    </row>
    <row r="218" spans="1:21" ht="14.4">
      <c r="A218" s="135" t="s">
        <v>28</v>
      </c>
      <c r="B218" s="139"/>
      <c r="C218" s="140"/>
      <c r="D218" s="140">
        <v>10849</v>
      </c>
      <c r="E218" s="140">
        <v>2310</v>
      </c>
      <c r="F218" s="140">
        <v>18556</v>
      </c>
      <c r="G218" s="140">
        <v>26959</v>
      </c>
      <c r="H218" s="137">
        <f>+G218+S218</f>
        <v>5531.8820784462114</v>
      </c>
      <c r="I218" s="137">
        <f>+H218</f>
        <v>5531.8820784462114</v>
      </c>
      <c r="J218" s="137">
        <f>25500*I218/G218</f>
        <v>5232.500945894818</v>
      </c>
      <c r="K218" s="140">
        <v>35700</v>
      </c>
      <c r="L218" s="140">
        <v>35700</v>
      </c>
      <c r="M218" s="137">
        <v>34000</v>
      </c>
      <c r="P218" s="140"/>
      <c r="Q218" s="140"/>
      <c r="R218" s="140"/>
      <c r="S218" s="134">
        <f>+G218/$G$223*$S$215</f>
        <v>-21427.117921553789</v>
      </c>
      <c r="T218" s="134"/>
    </row>
    <row r="219" spans="1:21" ht="14.4">
      <c r="A219" s="135" t="s">
        <v>29</v>
      </c>
      <c r="B219" s="139"/>
      <c r="C219" s="140"/>
      <c r="D219" s="140"/>
      <c r="E219" s="140"/>
      <c r="F219" s="140"/>
      <c r="G219" s="140"/>
      <c r="H219" s="140"/>
      <c r="I219" s="140"/>
      <c r="J219" s="140"/>
      <c r="K219" s="140"/>
      <c r="L219" s="140"/>
      <c r="M219" s="140"/>
      <c r="P219" s="140"/>
      <c r="Q219" s="140"/>
      <c r="R219" s="140"/>
      <c r="S219" s="134"/>
      <c r="T219" s="134"/>
    </row>
    <row r="220" spans="1:21" ht="14.4">
      <c r="A220" s="135" t="s">
        <v>30</v>
      </c>
      <c r="B220" s="139"/>
      <c r="C220" s="140"/>
      <c r="D220" s="140"/>
      <c r="E220" s="140"/>
      <c r="F220" s="140"/>
      <c r="G220" s="140"/>
      <c r="H220" s="140"/>
      <c r="I220" s="140"/>
      <c r="J220" s="140"/>
      <c r="K220" s="140"/>
      <c r="L220" s="140"/>
      <c r="M220" s="140"/>
      <c r="P220" s="140"/>
      <c r="Q220" s="140"/>
      <c r="R220" s="140"/>
      <c r="S220" s="134"/>
      <c r="T220" s="134"/>
    </row>
    <row r="221" spans="1:21" ht="14.4">
      <c r="A221" s="135" t="s">
        <v>129</v>
      </c>
      <c r="B221" s="139"/>
      <c r="C221" s="140"/>
      <c r="D221" s="140"/>
      <c r="E221" s="140"/>
      <c r="F221" s="140"/>
      <c r="G221" s="140"/>
      <c r="H221" s="140"/>
      <c r="I221" s="140"/>
      <c r="J221" s="140"/>
      <c r="K221" s="140"/>
      <c r="L221" s="140"/>
      <c r="M221" s="140"/>
      <c r="P221" s="140"/>
      <c r="Q221" s="140"/>
      <c r="R221" s="140"/>
      <c r="S221" s="134"/>
      <c r="T221" s="134"/>
    </row>
    <row r="222" spans="1:21" ht="14.4">
      <c r="A222" s="135" t="s">
        <v>32</v>
      </c>
      <c r="B222" s="139"/>
      <c r="C222" s="140"/>
      <c r="D222" s="140"/>
      <c r="E222" s="140"/>
      <c r="F222" s="140"/>
      <c r="G222" s="140"/>
      <c r="H222" s="140"/>
      <c r="I222" s="140"/>
      <c r="J222" s="140"/>
      <c r="K222" s="140"/>
      <c r="L222" s="140"/>
      <c r="M222" s="140"/>
      <c r="P222" s="140"/>
      <c r="Q222" s="140"/>
      <c r="R222" s="140"/>
      <c r="S222" s="134"/>
      <c r="T222" s="134"/>
    </row>
    <row r="223" spans="1:21">
      <c r="A223" s="141" t="s">
        <v>130</v>
      </c>
      <c r="B223" s="131">
        <f>SUM(B216:B222)</f>
        <v>0</v>
      </c>
      <c r="C223" s="131">
        <f t="shared" ref="C223:K223" si="66">SUM(C216:C222)</f>
        <v>0</v>
      </c>
      <c r="D223" s="131">
        <f t="shared" si="66"/>
        <v>10849</v>
      </c>
      <c r="E223" s="131">
        <f t="shared" si="66"/>
        <v>36173</v>
      </c>
      <c r="F223" s="131">
        <f t="shared" si="66"/>
        <v>21478</v>
      </c>
      <c r="G223" s="131">
        <f t="shared" si="66"/>
        <v>31716</v>
      </c>
      <c r="H223" s="131">
        <f>SUM(H216:H222)</f>
        <v>6508.0000000000018</v>
      </c>
      <c r="I223" s="131">
        <f>SUM(I216:I222)</f>
        <v>6508.0000000000018</v>
      </c>
      <c r="J223" s="131">
        <f>SUM(J216:J222)</f>
        <v>6155.8834657586094</v>
      </c>
      <c r="K223" s="131">
        <f t="shared" si="66"/>
        <v>42000</v>
      </c>
      <c r="L223" s="131">
        <f>SUM(L216:L222)</f>
        <v>42000</v>
      </c>
      <c r="M223" s="131">
        <f>SUM(M216:M222)</f>
        <v>40000</v>
      </c>
      <c r="P223" s="131">
        <f>SUM(P215:P222)</f>
        <v>1508</v>
      </c>
      <c r="Q223" s="131">
        <f>SUM(Q215:Q222)</f>
        <v>5000</v>
      </c>
      <c r="R223" s="131">
        <f>SUM(R215:R222)</f>
        <v>6508</v>
      </c>
      <c r="S223" s="142"/>
      <c r="T223" s="142"/>
    </row>
    <row r="224" spans="1:21">
      <c r="A224" s="141"/>
      <c r="B224" s="144"/>
      <c r="C224" s="144"/>
      <c r="D224" s="144"/>
      <c r="E224" s="144"/>
      <c r="F224" s="144"/>
      <c r="G224" s="144"/>
      <c r="H224" s="144"/>
      <c r="I224" s="144"/>
      <c r="J224" s="144"/>
      <c r="K224" s="144"/>
      <c r="L224" s="144"/>
      <c r="M224" s="144"/>
      <c r="P224" s="144"/>
      <c r="Q224" s="144"/>
      <c r="R224" s="144"/>
      <c r="S224" s="142"/>
      <c r="T224" s="142"/>
    </row>
    <row r="225" spans="1:21" ht="14.4">
      <c r="A225" s="130" t="s">
        <v>174</v>
      </c>
      <c r="B225" s="144"/>
      <c r="C225" s="145"/>
      <c r="D225" s="145"/>
      <c r="E225" s="145"/>
      <c r="F225" s="145"/>
      <c r="G225" s="145"/>
      <c r="H225" s="145"/>
      <c r="I225" s="145"/>
      <c r="J225" s="145"/>
      <c r="K225" s="145"/>
      <c r="L225" s="145"/>
      <c r="M225" s="145"/>
      <c r="P225" s="133">
        <v>376534</v>
      </c>
      <c r="Q225" s="133"/>
      <c r="R225" s="133">
        <f>SUM(P225:Q225)</f>
        <v>376534</v>
      </c>
      <c r="S225" s="143">
        <v>105901</v>
      </c>
      <c r="T225" s="143"/>
    </row>
    <row r="226" spans="1:21" ht="14.4">
      <c r="A226" s="135" t="s">
        <v>26</v>
      </c>
      <c r="B226" s="136"/>
      <c r="C226" s="137"/>
      <c r="D226" s="137">
        <v>226</v>
      </c>
      <c r="E226" s="137">
        <v>973</v>
      </c>
      <c r="F226" s="137">
        <v>29337</v>
      </c>
      <c r="G226" s="137">
        <v>13532</v>
      </c>
      <c r="H226" s="137">
        <f t="shared" ref="H226:H231" si="67">+G226+S226</f>
        <v>18827.186957983689</v>
      </c>
      <c r="I226" s="137">
        <f t="shared" ref="I226:I231" si="68">+H226</f>
        <v>18827.186957983689</v>
      </c>
      <c r="J226" s="137">
        <f>10697*I226/G226</f>
        <v>14882.827290093965</v>
      </c>
      <c r="K226" s="137">
        <v>12407</v>
      </c>
      <c r="L226" s="137">
        <v>12407</v>
      </c>
      <c r="M226" s="137">
        <v>9357</v>
      </c>
      <c r="P226" s="137"/>
      <c r="Q226" s="137"/>
      <c r="R226" s="137"/>
      <c r="S226" s="134">
        <f t="shared" ref="S226:S231" si="69">+G226/$G$233*$S$225</f>
        <v>5295.1869579836903</v>
      </c>
      <c r="T226" s="134"/>
      <c r="U226" s="2" t="s">
        <v>175</v>
      </c>
    </row>
    <row r="227" spans="1:21" ht="14.4">
      <c r="A227" s="135" t="s">
        <v>27</v>
      </c>
      <c r="B227" s="138"/>
      <c r="C227" s="133"/>
      <c r="D227" s="133">
        <v>15955</v>
      </c>
      <c r="E227" s="133">
        <v>5586</v>
      </c>
      <c r="F227" s="133">
        <v>42783</v>
      </c>
      <c r="G227" s="133">
        <v>40595</v>
      </c>
      <c r="H227" s="133">
        <f t="shared" si="67"/>
        <v>56480.169565426244</v>
      </c>
      <c r="I227" s="133">
        <f t="shared" si="68"/>
        <v>56480.169565426244</v>
      </c>
      <c r="J227" s="133">
        <f>32090*I227/G227</f>
        <v>44647.090561757068</v>
      </c>
      <c r="K227" s="133">
        <v>37221</v>
      </c>
      <c r="L227" s="133">
        <v>37221</v>
      </c>
      <c r="M227" s="133">
        <v>28073</v>
      </c>
      <c r="P227" s="133"/>
      <c r="Q227" s="133"/>
      <c r="R227" s="133"/>
      <c r="S227" s="134">
        <f t="shared" si="69"/>
        <v>15885.16956542624</v>
      </c>
      <c r="T227" s="134"/>
    </row>
    <row r="228" spans="1:21" ht="14.4">
      <c r="A228" s="135" t="s">
        <v>28</v>
      </c>
      <c r="B228" s="139"/>
      <c r="C228" s="140"/>
      <c r="D228" s="140">
        <v>4575</v>
      </c>
      <c r="E228" s="140">
        <v>973</v>
      </c>
      <c r="F228" s="140">
        <v>2559</v>
      </c>
      <c r="G228" s="140">
        <v>13532</v>
      </c>
      <c r="H228" s="140">
        <f t="shared" si="67"/>
        <v>18827.186957983689</v>
      </c>
      <c r="I228" s="140">
        <f t="shared" si="68"/>
        <v>18827.186957983689</v>
      </c>
      <c r="J228" s="140">
        <f>10697*I228/G228</f>
        <v>14882.827290093965</v>
      </c>
      <c r="K228" s="140">
        <v>12407</v>
      </c>
      <c r="L228" s="140">
        <v>12407</v>
      </c>
      <c r="M228" s="140">
        <v>9358</v>
      </c>
      <c r="P228" s="140"/>
      <c r="Q228" s="140"/>
      <c r="R228" s="140"/>
      <c r="S228" s="134">
        <f t="shared" si="69"/>
        <v>5295.1869579836903</v>
      </c>
      <c r="T228" s="134"/>
    </row>
    <row r="229" spans="1:21" ht="14.4">
      <c r="A229" s="135" t="s">
        <v>29</v>
      </c>
      <c r="B229" s="139"/>
      <c r="C229" s="140"/>
      <c r="D229" s="140">
        <v>106235</v>
      </c>
      <c r="E229" s="140">
        <v>42688</v>
      </c>
      <c r="F229" s="140">
        <v>154318</v>
      </c>
      <c r="G229" s="140">
        <v>135315</v>
      </c>
      <c r="H229" s="140">
        <f t="shared" si="67"/>
        <v>188264.91303721274</v>
      </c>
      <c r="I229" s="140">
        <f t="shared" si="68"/>
        <v>188264.91303721274</v>
      </c>
      <c r="J229" s="140">
        <f>106967*I229/G229</f>
        <v>148824.09897536517</v>
      </c>
      <c r="K229" s="140">
        <v>124071</v>
      </c>
      <c r="L229" s="140">
        <v>124071</v>
      </c>
      <c r="M229" s="140">
        <v>93575</v>
      </c>
      <c r="P229" s="140"/>
      <c r="Q229" s="140"/>
      <c r="R229" s="140"/>
      <c r="S229" s="134">
        <f t="shared" si="69"/>
        <v>52949.913037212755</v>
      </c>
      <c r="T229" s="134"/>
    </row>
    <row r="230" spans="1:21" ht="14.4">
      <c r="A230" s="135" t="s">
        <v>30</v>
      </c>
      <c r="B230" s="139"/>
      <c r="C230" s="140"/>
      <c r="D230" s="140">
        <v>194308</v>
      </c>
      <c r="E230" s="140">
        <v>9887</v>
      </c>
      <c r="F230" s="140">
        <v>63511</v>
      </c>
      <c r="G230" s="140">
        <v>54127</v>
      </c>
      <c r="H230" s="140">
        <f t="shared" si="67"/>
        <v>75307.356523409937</v>
      </c>
      <c r="I230" s="140">
        <f t="shared" si="68"/>
        <v>75307.356523409937</v>
      </c>
      <c r="J230" s="140">
        <f>42787*I230/G230</f>
        <v>59529.917851851038</v>
      </c>
      <c r="K230" s="140">
        <v>49629</v>
      </c>
      <c r="L230" s="140">
        <v>49629</v>
      </c>
      <c r="M230" s="140">
        <v>37430</v>
      </c>
      <c r="P230" s="140"/>
      <c r="Q230" s="140"/>
      <c r="R230" s="140"/>
      <c r="S230" s="134">
        <f t="shared" si="69"/>
        <v>21180.356523409933</v>
      </c>
      <c r="T230" s="134"/>
    </row>
    <row r="231" spans="1:21" ht="14.4">
      <c r="A231" s="135" t="s">
        <v>129</v>
      </c>
      <c r="B231" s="139"/>
      <c r="C231" s="140"/>
      <c r="D231" s="140">
        <v>3239</v>
      </c>
      <c r="E231" s="140">
        <v>486</v>
      </c>
      <c r="F231" s="140">
        <v>10219</v>
      </c>
      <c r="G231" s="140">
        <v>13532</v>
      </c>
      <c r="H231" s="140">
        <f t="shared" si="67"/>
        <v>18827.186957983689</v>
      </c>
      <c r="I231" s="140">
        <f t="shared" si="68"/>
        <v>18827.186957983689</v>
      </c>
      <c r="J231" s="140">
        <f>10697*I231/G231</f>
        <v>14882.827290093965</v>
      </c>
      <c r="K231" s="140">
        <v>12407</v>
      </c>
      <c r="L231" s="140">
        <v>12407</v>
      </c>
      <c r="M231" s="140">
        <v>9357</v>
      </c>
      <c r="P231" s="140"/>
      <c r="Q231" s="140"/>
      <c r="R231" s="140"/>
      <c r="S231" s="134">
        <f t="shared" si="69"/>
        <v>5295.1869579836903</v>
      </c>
      <c r="T231" s="134"/>
    </row>
    <row r="232" spans="1:21" ht="14.4">
      <c r="A232" s="135" t="s">
        <v>32</v>
      </c>
      <c r="B232" s="139"/>
      <c r="C232" s="140"/>
      <c r="D232" s="140"/>
      <c r="E232" s="140"/>
      <c r="F232" s="140"/>
      <c r="G232" s="140"/>
      <c r="H232" s="140"/>
      <c r="I232" s="140"/>
      <c r="J232" s="140"/>
      <c r="K232" s="140"/>
      <c r="L232" s="140"/>
      <c r="M232" s="140"/>
      <c r="P232" s="140"/>
      <c r="Q232" s="140"/>
      <c r="R232" s="140"/>
      <c r="S232" s="134"/>
      <c r="T232" s="134"/>
    </row>
    <row r="233" spans="1:21">
      <c r="A233" s="141" t="s">
        <v>130</v>
      </c>
      <c r="B233" s="131">
        <f>SUM(B226:B232)</f>
        <v>0</v>
      </c>
      <c r="C233" s="131">
        <f>SUM(C226:C232)</f>
        <v>0</v>
      </c>
      <c r="D233" s="131">
        <f t="shared" ref="D233:M233" si="70">SUM(D226:D232)</f>
        <v>324538</v>
      </c>
      <c r="E233" s="131">
        <f t="shared" si="70"/>
        <v>60593</v>
      </c>
      <c r="F233" s="131">
        <f t="shared" si="70"/>
        <v>302727</v>
      </c>
      <c r="G233" s="131">
        <f t="shared" si="70"/>
        <v>270633</v>
      </c>
      <c r="H233" s="131">
        <f>SUM(H226:H232)</f>
        <v>376534.00000000006</v>
      </c>
      <c r="I233" s="131">
        <f>SUM(I226:I232)</f>
        <v>376534.00000000006</v>
      </c>
      <c r="J233" s="131">
        <f>SUM(J226:J232)</f>
        <v>297649.58925925521</v>
      </c>
      <c r="K233" s="131">
        <f t="shared" si="70"/>
        <v>248142</v>
      </c>
      <c r="L233" s="131">
        <f t="shared" si="70"/>
        <v>248142</v>
      </c>
      <c r="M233" s="131">
        <f t="shared" si="70"/>
        <v>187150</v>
      </c>
      <c r="P233" s="131">
        <f>SUM(P225:P232)</f>
        <v>376534</v>
      </c>
      <c r="Q233" s="131">
        <f>SUM(Q225:Q232)</f>
        <v>0</v>
      </c>
      <c r="R233" s="131">
        <f>SUM(R225:R232)</f>
        <v>376534</v>
      </c>
      <c r="S233" s="142"/>
      <c r="T233" s="142"/>
    </row>
    <row r="234" spans="1:21">
      <c r="A234" s="141"/>
      <c r="B234" s="131"/>
      <c r="C234" s="131"/>
      <c r="D234" s="131"/>
      <c r="E234" s="131"/>
      <c r="F234" s="131"/>
      <c r="G234" s="131"/>
      <c r="H234" s="131"/>
      <c r="I234" s="131"/>
      <c r="J234" s="131"/>
      <c r="K234" s="131"/>
      <c r="L234" s="131"/>
      <c r="M234" s="131"/>
      <c r="P234" s="131"/>
      <c r="Q234" s="131"/>
      <c r="R234" s="131"/>
      <c r="S234" s="142"/>
      <c r="T234" s="142"/>
    </row>
    <row r="235" spans="1:21" ht="27" hidden="1" customHeight="1">
      <c r="A235" s="130" t="s">
        <v>176</v>
      </c>
      <c r="B235" s="144"/>
      <c r="C235" s="145"/>
      <c r="D235" s="145"/>
      <c r="E235" s="145"/>
      <c r="F235" s="145"/>
      <c r="G235" s="145"/>
      <c r="H235" s="145"/>
      <c r="I235" s="145"/>
      <c r="J235" s="145"/>
      <c r="K235" s="145"/>
      <c r="L235" s="145"/>
      <c r="M235" s="145"/>
      <c r="P235" s="145"/>
      <c r="Q235" s="145"/>
      <c r="R235" s="145"/>
      <c r="S235" s="143"/>
      <c r="T235" s="143"/>
    </row>
    <row r="236" spans="1:21" ht="14.4" hidden="1" customHeight="1">
      <c r="A236" s="135" t="s">
        <v>26</v>
      </c>
      <c r="B236" s="136"/>
      <c r="C236" s="137"/>
      <c r="D236" s="137"/>
      <c r="E236" s="137"/>
      <c r="F236" s="137"/>
      <c r="G236" s="137"/>
      <c r="H236" s="137"/>
      <c r="I236" s="137"/>
      <c r="J236" s="137"/>
      <c r="K236" s="137"/>
      <c r="L236" s="137"/>
      <c r="M236" s="137"/>
      <c r="P236" s="137"/>
      <c r="Q236" s="137"/>
      <c r="R236" s="137"/>
      <c r="S236" s="134"/>
      <c r="T236" s="134"/>
    </row>
    <row r="237" spans="1:21" ht="27" hidden="1" customHeight="1">
      <c r="A237" s="135" t="s">
        <v>27</v>
      </c>
      <c r="B237" s="138"/>
      <c r="C237" s="133"/>
      <c r="D237" s="133"/>
      <c r="E237" s="133"/>
      <c r="F237" s="133"/>
      <c r="G237" s="133"/>
      <c r="H237" s="133"/>
      <c r="I237" s="133"/>
      <c r="J237" s="133"/>
      <c r="K237" s="133"/>
      <c r="L237" s="133"/>
      <c r="M237" s="133"/>
      <c r="P237" s="133"/>
      <c r="Q237" s="133"/>
      <c r="R237" s="133"/>
      <c r="S237" s="134"/>
      <c r="T237" s="134"/>
    </row>
    <row r="238" spans="1:21" ht="14.4" hidden="1" customHeight="1">
      <c r="A238" s="135" t="s">
        <v>28</v>
      </c>
      <c r="B238" s="139"/>
      <c r="C238" s="140"/>
      <c r="D238" s="140"/>
      <c r="E238" s="140"/>
      <c r="F238" s="140"/>
      <c r="G238" s="140"/>
      <c r="H238" s="140"/>
      <c r="I238" s="140"/>
      <c r="J238" s="140"/>
      <c r="K238" s="140"/>
      <c r="L238" s="140"/>
      <c r="M238" s="140"/>
      <c r="P238" s="140"/>
      <c r="Q238" s="140"/>
      <c r="R238" s="140"/>
      <c r="S238" s="134"/>
      <c r="T238" s="134"/>
    </row>
    <row r="239" spans="1:21" ht="27" hidden="1" customHeight="1">
      <c r="A239" s="135" t="s">
        <v>29</v>
      </c>
      <c r="B239" s="139"/>
      <c r="C239" s="140"/>
      <c r="D239" s="140"/>
      <c r="E239" s="140"/>
      <c r="F239" s="140"/>
      <c r="G239" s="140"/>
      <c r="H239" s="140"/>
      <c r="I239" s="140"/>
      <c r="J239" s="140"/>
      <c r="K239" s="140"/>
      <c r="L239" s="140"/>
      <c r="M239" s="140"/>
      <c r="P239" s="140"/>
      <c r="Q239" s="140"/>
      <c r="R239" s="140"/>
      <c r="S239" s="134"/>
      <c r="T239" s="134"/>
    </row>
    <row r="240" spans="1:21" ht="14.4" hidden="1" customHeight="1">
      <c r="A240" s="135" t="s">
        <v>30</v>
      </c>
      <c r="B240" s="139"/>
      <c r="C240" s="140"/>
      <c r="D240" s="140"/>
      <c r="E240" s="140"/>
      <c r="F240" s="140"/>
      <c r="G240" s="140"/>
      <c r="H240" s="140"/>
      <c r="I240" s="140"/>
      <c r="J240" s="140"/>
      <c r="K240" s="140"/>
      <c r="L240" s="140"/>
      <c r="M240" s="140"/>
      <c r="P240" s="140"/>
      <c r="Q240" s="140"/>
      <c r="R240" s="140"/>
      <c r="S240" s="134"/>
      <c r="T240" s="134"/>
    </row>
    <row r="241" spans="1:20" ht="14.4" hidden="1" customHeight="1">
      <c r="A241" s="135" t="s">
        <v>129</v>
      </c>
      <c r="B241" s="139"/>
      <c r="C241" s="140"/>
      <c r="D241" s="140"/>
      <c r="E241" s="140"/>
      <c r="F241" s="140"/>
      <c r="G241" s="140"/>
      <c r="H241" s="140"/>
      <c r="I241" s="140"/>
      <c r="J241" s="140"/>
      <c r="K241" s="140"/>
      <c r="L241" s="140"/>
      <c r="M241" s="140"/>
      <c r="P241" s="140"/>
      <c r="Q241" s="140"/>
      <c r="R241" s="140"/>
      <c r="S241" s="134"/>
      <c r="T241" s="134"/>
    </row>
    <row r="242" spans="1:20" ht="14.4" hidden="1" customHeight="1">
      <c r="A242" s="135" t="s">
        <v>32</v>
      </c>
      <c r="B242" s="139"/>
      <c r="C242" s="140"/>
      <c r="D242" s="140"/>
      <c r="E242" s="140">
        <v>13885</v>
      </c>
      <c r="F242" s="140"/>
      <c r="G242" s="140"/>
      <c r="H242" s="140"/>
      <c r="I242" s="140"/>
      <c r="J242" s="140"/>
      <c r="K242" s="140"/>
      <c r="L242" s="140"/>
      <c r="M242" s="140"/>
      <c r="P242" s="140"/>
      <c r="Q242" s="140"/>
      <c r="R242" s="140"/>
      <c r="S242" s="134"/>
      <c r="T242" s="134"/>
    </row>
    <row r="243" spans="1:20" ht="13.2" hidden="1" customHeight="1">
      <c r="A243" s="141" t="s">
        <v>130</v>
      </c>
      <c r="B243" s="131">
        <f t="shared" ref="B243:L243" si="71">SUM(B236:B242)</f>
        <v>0</v>
      </c>
      <c r="C243" s="131">
        <f t="shared" si="71"/>
        <v>0</v>
      </c>
      <c r="D243" s="131">
        <f t="shared" si="71"/>
        <v>0</v>
      </c>
      <c r="E243" s="131">
        <f t="shared" si="71"/>
        <v>13885</v>
      </c>
      <c r="F243" s="131">
        <f t="shared" si="71"/>
        <v>0</v>
      </c>
      <c r="G243" s="131">
        <f t="shared" si="71"/>
        <v>0</v>
      </c>
      <c r="H243" s="131">
        <f>SUM(H236:H242)</f>
        <v>0</v>
      </c>
      <c r="I243" s="131"/>
      <c r="J243" s="131"/>
      <c r="K243" s="131">
        <f t="shared" si="71"/>
        <v>0</v>
      </c>
      <c r="L243" s="131">
        <f t="shared" si="71"/>
        <v>0</v>
      </c>
      <c r="M243" s="131"/>
      <c r="P243" s="131">
        <f t="shared" ref="P243:R243" si="72">SUM(P236:P242)</f>
        <v>0</v>
      </c>
      <c r="Q243" s="131">
        <f t="shared" si="72"/>
        <v>0</v>
      </c>
      <c r="R243" s="131">
        <f t="shared" si="72"/>
        <v>0</v>
      </c>
      <c r="S243" s="142"/>
      <c r="T243" s="142"/>
    </row>
    <row r="244" spans="1:20" ht="13.2" hidden="1" customHeight="1">
      <c r="A244" s="141"/>
      <c r="B244" s="144"/>
      <c r="C244" s="144"/>
      <c r="D244" s="144"/>
      <c r="E244" s="144"/>
      <c r="F244" s="144"/>
      <c r="G244" s="144"/>
      <c r="H244" s="144"/>
      <c r="I244" s="144"/>
      <c r="J244" s="144"/>
      <c r="K244" s="144"/>
      <c r="L244" s="144"/>
      <c r="M244" s="144"/>
      <c r="P244" s="144"/>
      <c r="Q244" s="144"/>
      <c r="R244" s="144"/>
      <c r="S244" s="142"/>
      <c r="T244" s="142"/>
    </row>
    <row r="245" spans="1:20" ht="27" hidden="1" customHeight="1">
      <c r="A245" s="130" t="s">
        <v>177</v>
      </c>
      <c r="B245" s="131"/>
      <c r="C245" s="132"/>
      <c r="D245" s="132"/>
      <c r="E245" s="132"/>
      <c r="F245" s="132"/>
      <c r="G245" s="132"/>
      <c r="H245" s="132"/>
      <c r="I245" s="132"/>
      <c r="J245" s="132"/>
      <c r="K245" s="132"/>
      <c r="L245" s="132"/>
      <c r="M245" s="132"/>
      <c r="P245" s="132"/>
      <c r="Q245" s="132"/>
      <c r="R245" s="132"/>
      <c r="S245" s="143"/>
      <c r="T245" s="143"/>
    </row>
    <row r="246" spans="1:20" ht="14.4" hidden="1" customHeight="1">
      <c r="A246" s="135" t="s">
        <v>26</v>
      </c>
      <c r="B246" s="136"/>
      <c r="C246" s="137"/>
      <c r="D246" s="137">
        <v>3270</v>
      </c>
      <c r="E246" s="137"/>
      <c r="F246" s="137"/>
      <c r="G246" s="137"/>
      <c r="H246" s="137"/>
      <c r="I246" s="137"/>
      <c r="J246" s="137"/>
      <c r="K246" s="137"/>
      <c r="L246" s="137"/>
      <c r="M246" s="137"/>
      <c r="P246" s="137"/>
      <c r="Q246" s="137"/>
      <c r="R246" s="137"/>
      <c r="S246" s="134"/>
      <c r="T246" s="134"/>
    </row>
    <row r="247" spans="1:20" ht="27" hidden="1" customHeight="1">
      <c r="A247" s="135" t="s">
        <v>27</v>
      </c>
      <c r="B247" s="138"/>
      <c r="C247" s="133"/>
      <c r="D247" s="133">
        <v>8038</v>
      </c>
      <c r="E247" s="133"/>
      <c r="F247" s="133"/>
      <c r="G247" s="133"/>
      <c r="H247" s="133"/>
      <c r="I247" s="133"/>
      <c r="J247" s="133"/>
      <c r="K247" s="133"/>
      <c r="L247" s="133"/>
      <c r="M247" s="133"/>
      <c r="P247" s="133"/>
      <c r="Q247" s="133"/>
      <c r="R247" s="133"/>
      <c r="S247" s="134"/>
      <c r="T247" s="134"/>
    </row>
    <row r="248" spans="1:20" ht="14.4" hidden="1" customHeight="1">
      <c r="A248" s="135" t="s">
        <v>28</v>
      </c>
      <c r="B248" s="139"/>
      <c r="C248" s="140"/>
      <c r="D248" s="140"/>
      <c r="E248" s="140"/>
      <c r="F248" s="140"/>
      <c r="G248" s="140"/>
      <c r="H248" s="140"/>
      <c r="I248" s="140"/>
      <c r="J248" s="140"/>
      <c r="K248" s="140"/>
      <c r="L248" s="140"/>
      <c r="M248" s="140"/>
      <c r="P248" s="140"/>
      <c r="Q248" s="140"/>
      <c r="R248" s="140"/>
      <c r="S248" s="134"/>
      <c r="T248" s="134"/>
    </row>
    <row r="249" spans="1:20" ht="27" hidden="1" customHeight="1">
      <c r="A249" s="135" t="s">
        <v>29</v>
      </c>
      <c r="B249" s="139"/>
      <c r="C249" s="140"/>
      <c r="D249" s="140">
        <v>3270</v>
      </c>
      <c r="E249" s="140"/>
      <c r="F249" s="140"/>
      <c r="G249" s="140"/>
      <c r="H249" s="140"/>
      <c r="I249" s="140"/>
      <c r="J249" s="140"/>
      <c r="K249" s="140"/>
      <c r="L249" s="140"/>
      <c r="M249" s="140"/>
      <c r="P249" s="140"/>
      <c r="Q249" s="140"/>
      <c r="R249" s="140"/>
      <c r="S249" s="134"/>
      <c r="T249" s="134"/>
    </row>
    <row r="250" spans="1:20" ht="14.4" hidden="1" customHeight="1">
      <c r="A250" s="135" t="s">
        <v>30</v>
      </c>
      <c r="B250" s="139"/>
      <c r="C250" s="140"/>
      <c r="D250" s="140">
        <v>1327</v>
      </c>
      <c r="E250" s="140"/>
      <c r="F250" s="140"/>
      <c r="G250" s="140"/>
      <c r="H250" s="140"/>
      <c r="I250" s="140"/>
      <c r="J250" s="140"/>
      <c r="K250" s="140"/>
      <c r="L250" s="140"/>
      <c r="M250" s="140"/>
      <c r="P250" s="140"/>
      <c r="Q250" s="140"/>
      <c r="R250" s="140"/>
      <c r="S250" s="134"/>
      <c r="T250" s="134"/>
    </row>
    <row r="251" spans="1:20" ht="14.4" hidden="1" customHeight="1">
      <c r="A251" s="135" t="s">
        <v>129</v>
      </c>
      <c r="B251" s="139"/>
      <c r="C251" s="140"/>
      <c r="D251" s="140"/>
      <c r="E251" s="140"/>
      <c r="F251" s="140"/>
      <c r="G251" s="140"/>
      <c r="H251" s="140"/>
      <c r="I251" s="140"/>
      <c r="J251" s="140"/>
      <c r="K251" s="140"/>
      <c r="L251" s="140"/>
      <c r="M251" s="140"/>
      <c r="P251" s="140"/>
      <c r="Q251" s="140"/>
      <c r="R251" s="140"/>
      <c r="S251" s="134"/>
      <c r="T251" s="134"/>
    </row>
    <row r="252" spans="1:20" ht="14.4" hidden="1" customHeight="1">
      <c r="A252" s="135" t="s">
        <v>32</v>
      </c>
      <c r="B252" s="139"/>
      <c r="C252" s="140"/>
      <c r="D252" s="140"/>
      <c r="E252" s="140"/>
      <c r="F252" s="140"/>
      <c r="G252" s="140"/>
      <c r="H252" s="140"/>
      <c r="I252" s="140"/>
      <c r="J252" s="140"/>
      <c r="K252" s="140"/>
      <c r="L252" s="140"/>
      <c r="M252" s="140"/>
      <c r="P252" s="140"/>
      <c r="Q252" s="140"/>
      <c r="R252" s="140"/>
      <c r="S252" s="134"/>
      <c r="T252" s="134"/>
    </row>
    <row r="253" spans="1:20" ht="13.2" hidden="1" customHeight="1">
      <c r="A253" s="141" t="s">
        <v>130</v>
      </c>
      <c r="B253" s="131">
        <f>SUM(B246:B252)</f>
        <v>0</v>
      </c>
      <c r="C253" s="131">
        <f t="shared" ref="C253:L253" si="73">SUM(C246:C252)</f>
        <v>0</v>
      </c>
      <c r="D253" s="131">
        <f t="shared" si="73"/>
        <v>15905</v>
      </c>
      <c r="E253" s="131">
        <f t="shared" si="73"/>
        <v>0</v>
      </c>
      <c r="F253" s="131">
        <f t="shared" si="73"/>
        <v>0</v>
      </c>
      <c r="G253" s="131">
        <f t="shared" si="73"/>
        <v>0</v>
      </c>
      <c r="H253" s="131">
        <f>SUM(H246:H252)</f>
        <v>0</v>
      </c>
      <c r="I253" s="131"/>
      <c r="J253" s="131"/>
      <c r="K253" s="131">
        <f t="shared" si="73"/>
        <v>0</v>
      </c>
      <c r="L253" s="131">
        <f t="shared" si="73"/>
        <v>0</v>
      </c>
      <c r="M253" s="131"/>
      <c r="P253" s="131">
        <f t="shared" ref="P253:R253" si="74">SUM(P246:P252)</f>
        <v>0</v>
      </c>
      <c r="Q253" s="131">
        <f t="shared" si="74"/>
        <v>0</v>
      </c>
      <c r="R253" s="131">
        <f t="shared" si="74"/>
        <v>0</v>
      </c>
      <c r="S253" s="142"/>
      <c r="T253" s="142"/>
    </row>
    <row r="254" spans="1:20" ht="13.2" hidden="1" customHeight="1">
      <c r="A254" s="141"/>
      <c r="B254" s="131"/>
      <c r="C254" s="131"/>
      <c r="D254" s="131"/>
      <c r="E254" s="131"/>
      <c r="F254" s="131"/>
      <c r="G254" s="131"/>
      <c r="H254" s="131"/>
      <c r="I254" s="131"/>
      <c r="J254" s="131"/>
      <c r="K254" s="131"/>
      <c r="L254" s="131"/>
      <c r="M254" s="131"/>
      <c r="P254" s="131"/>
      <c r="Q254" s="131"/>
      <c r="R254" s="131"/>
      <c r="S254" s="142"/>
      <c r="T254" s="142"/>
    </row>
    <row r="255" spans="1:20" ht="27" hidden="1" customHeight="1">
      <c r="A255" s="130" t="s">
        <v>178</v>
      </c>
      <c r="B255" s="131"/>
      <c r="C255" s="132"/>
      <c r="D255" s="132"/>
      <c r="E255" s="132"/>
      <c r="F255" s="132"/>
      <c r="G255" s="132"/>
      <c r="H255" s="132"/>
      <c r="I255" s="132"/>
      <c r="J255" s="132"/>
      <c r="K255" s="132"/>
      <c r="L255" s="132"/>
      <c r="M255" s="132"/>
      <c r="P255" s="132"/>
      <c r="Q255" s="132"/>
      <c r="R255" s="132"/>
      <c r="S255" s="143"/>
      <c r="T255" s="143"/>
    </row>
    <row r="256" spans="1:20" ht="14.4" hidden="1" customHeight="1">
      <c r="A256" s="135" t="s">
        <v>26</v>
      </c>
      <c r="B256" s="136"/>
      <c r="C256" s="137"/>
      <c r="D256" s="137">
        <v>1041</v>
      </c>
      <c r="E256" s="137"/>
      <c r="F256" s="137"/>
      <c r="G256" s="137"/>
      <c r="H256" s="137"/>
      <c r="I256" s="137"/>
      <c r="J256" s="137"/>
      <c r="K256" s="137"/>
      <c r="L256" s="137"/>
      <c r="M256" s="137"/>
      <c r="P256" s="137"/>
      <c r="Q256" s="137"/>
      <c r="R256" s="137"/>
      <c r="S256" s="134"/>
      <c r="T256" s="134"/>
    </row>
    <row r="257" spans="1:20" ht="27" hidden="1" customHeight="1">
      <c r="A257" s="135" t="s">
        <v>27</v>
      </c>
      <c r="B257" s="138"/>
      <c r="C257" s="133"/>
      <c r="D257" s="133">
        <v>3237</v>
      </c>
      <c r="E257" s="133"/>
      <c r="F257" s="133"/>
      <c r="G257" s="133"/>
      <c r="H257" s="133"/>
      <c r="I257" s="133"/>
      <c r="J257" s="133"/>
      <c r="K257" s="133"/>
      <c r="L257" s="133"/>
      <c r="M257" s="133"/>
      <c r="P257" s="133"/>
      <c r="Q257" s="133"/>
      <c r="R257" s="133"/>
      <c r="S257" s="134"/>
      <c r="T257" s="134"/>
    </row>
    <row r="258" spans="1:20" ht="14.4" hidden="1" customHeight="1">
      <c r="A258" s="135" t="s">
        <v>28</v>
      </c>
      <c r="B258" s="139"/>
      <c r="C258" s="140"/>
      <c r="D258" s="140">
        <v>397</v>
      </c>
      <c r="E258" s="140"/>
      <c r="F258" s="140"/>
      <c r="G258" s="140"/>
      <c r="H258" s="140"/>
      <c r="I258" s="140"/>
      <c r="J258" s="140"/>
      <c r="K258" s="140"/>
      <c r="L258" s="140"/>
      <c r="M258" s="140"/>
      <c r="P258" s="140"/>
      <c r="Q258" s="140"/>
      <c r="R258" s="140"/>
      <c r="S258" s="134"/>
      <c r="T258" s="134"/>
    </row>
    <row r="259" spans="1:20" ht="27" hidden="1" customHeight="1">
      <c r="A259" s="135" t="s">
        <v>29</v>
      </c>
      <c r="B259" s="139"/>
      <c r="C259" s="140"/>
      <c r="D259" s="140">
        <v>27261</v>
      </c>
      <c r="E259" s="140"/>
      <c r="F259" s="140"/>
      <c r="G259" s="140"/>
      <c r="H259" s="140"/>
      <c r="I259" s="140"/>
      <c r="J259" s="140"/>
      <c r="K259" s="140"/>
      <c r="L259" s="140"/>
      <c r="M259" s="140"/>
      <c r="P259" s="140"/>
      <c r="Q259" s="140"/>
      <c r="R259" s="140"/>
      <c r="S259" s="134"/>
      <c r="T259" s="134"/>
    </row>
    <row r="260" spans="1:20" ht="14.4" hidden="1" customHeight="1">
      <c r="A260" s="135" t="s">
        <v>30</v>
      </c>
      <c r="B260" s="139"/>
      <c r="C260" s="140"/>
      <c r="D260" s="140">
        <v>11593</v>
      </c>
      <c r="E260" s="140"/>
      <c r="F260" s="140"/>
      <c r="G260" s="140"/>
      <c r="H260" s="140"/>
      <c r="I260" s="140"/>
      <c r="J260" s="140"/>
      <c r="K260" s="140"/>
      <c r="L260" s="140"/>
      <c r="M260" s="140"/>
      <c r="P260" s="140"/>
      <c r="Q260" s="140"/>
      <c r="R260" s="140"/>
      <c r="S260" s="134"/>
      <c r="T260" s="134"/>
    </row>
    <row r="261" spans="1:20" ht="14.4" hidden="1" customHeight="1">
      <c r="A261" s="135" t="s">
        <v>129</v>
      </c>
      <c r="B261" s="139"/>
      <c r="C261" s="140"/>
      <c r="D261" s="140">
        <v>26048</v>
      </c>
      <c r="E261" s="140"/>
      <c r="F261" s="140"/>
      <c r="G261" s="140"/>
      <c r="H261" s="140"/>
      <c r="I261" s="140"/>
      <c r="J261" s="140"/>
      <c r="K261" s="140"/>
      <c r="L261" s="140"/>
      <c r="M261" s="140"/>
      <c r="P261" s="140"/>
      <c r="Q261" s="140"/>
      <c r="R261" s="140"/>
      <c r="S261" s="134"/>
      <c r="T261" s="134"/>
    </row>
    <row r="262" spans="1:20" ht="14.4" hidden="1" customHeight="1">
      <c r="A262" s="135" t="s">
        <v>32</v>
      </c>
      <c r="B262" s="139"/>
      <c r="C262" s="140"/>
      <c r="D262" s="140"/>
      <c r="E262" s="140"/>
      <c r="F262" s="140"/>
      <c r="G262" s="140"/>
      <c r="H262" s="140"/>
      <c r="I262" s="140"/>
      <c r="J262" s="140"/>
      <c r="K262" s="140"/>
      <c r="L262" s="140"/>
      <c r="M262" s="140"/>
      <c r="P262" s="140"/>
      <c r="Q262" s="140"/>
      <c r="R262" s="140"/>
      <c r="S262" s="134"/>
      <c r="T262" s="134"/>
    </row>
    <row r="263" spans="1:20" ht="13.2" hidden="1" customHeight="1">
      <c r="A263" s="141" t="s">
        <v>130</v>
      </c>
      <c r="B263" s="131">
        <f t="shared" ref="B263:L263" si="75">SUM(B256:B262)</f>
        <v>0</v>
      </c>
      <c r="C263" s="131">
        <f t="shared" si="75"/>
        <v>0</v>
      </c>
      <c r="D263" s="131">
        <f t="shared" si="75"/>
        <v>69577</v>
      </c>
      <c r="E263" s="131">
        <f t="shared" si="75"/>
        <v>0</v>
      </c>
      <c r="F263" s="131">
        <f t="shared" si="75"/>
        <v>0</v>
      </c>
      <c r="G263" s="131">
        <f t="shared" si="75"/>
        <v>0</v>
      </c>
      <c r="H263" s="131">
        <f>SUM(H256:H262)</f>
        <v>0</v>
      </c>
      <c r="I263" s="131"/>
      <c r="J263" s="131"/>
      <c r="K263" s="131">
        <f t="shared" si="75"/>
        <v>0</v>
      </c>
      <c r="L263" s="131">
        <f t="shared" si="75"/>
        <v>0</v>
      </c>
      <c r="M263" s="131"/>
      <c r="P263" s="131">
        <f t="shared" ref="P263:R263" si="76">SUM(P256:P262)</f>
        <v>0</v>
      </c>
      <c r="Q263" s="131">
        <f t="shared" si="76"/>
        <v>0</v>
      </c>
      <c r="R263" s="131">
        <f t="shared" si="76"/>
        <v>0</v>
      </c>
      <c r="S263" s="142"/>
      <c r="T263" s="142"/>
    </row>
    <row r="264" spans="1:20" ht="13.2" hidden="1" customHeight="1">
      <c r="A264" s="141"/>
      <c r="B264" s="131"/>
      <c r="C264" s="131"/>
      <c r="D264" s="131"/>
      <c r="E264" s="131"/>
      <c r="F264" s="131"/>
      <c r="G264" s="131"/>
      <c r="H264" s="131"/>
      <c r="I264" s="131"/>
      <c r="J264" s="131"/>
      <c r="K264" s="131"/>
      <c r="L264" s="131"/>
      <c r="M264" s="131"/>
      <c r="P264" s="131"/>
      <c r="Q264" s="131"/>
      <c r="R264" s="131"/>
      <c r="S264" s="142"/>
      <c r="T264" s="142"/>
    </row>
    <row r="265" spans="1:20" ht="14.4" hidden="1" customHeight="1">
      <c r="A265" s="130" t="s">
        <v>179</v>
      </c>
      <c r="B265" s="131"/>
      <c r="C265" s="132"/>
      <c r="D265" s="132"/>
      <c r="E265" s="132"/>
      <c r="F265" s="132"/>
      <c r="G265" s="132"/>
      <c r="H265" s="132"/>
      <c r="I265" s="132"/>
      <c r="J265" s="132"/>
      <c r="K265" s="132"/>
      <c r="L265" s="132"/>
      <c r="M265" s="132"/>
      <c r="P265" s="132"/>
      <c r="Q265" s="132"/>
      <c r="R265" s="132"/>
      <c r="S265" s="143"/>
      <c r="T265" s="143"/>
    </row>
    <row r="266" spans="1:20" ht="14.4" hidden="1" customHeight="1">
      <c r="A266" s="135" t="s">
        <v>26</v>
      </c>
      <c r="B266" s="136"/>
      <c r="C266" s="137"/>
      <c r="D266" s="137">
        <v>16246</v>
      </c>
      <c r="E266" s="137"/>
      <c r="F266" s="137"/>
      <c r="G266" s="137"/>
      <c r="H266" s="137"/>
      <c r="I266" s="137"/>
      <c r="J266" s="137"/>
      <c r="K266" s="137"/>
      <c r="L266" s="137"/>
      <c r="M266" s="137"/>
      <c r="P266" s="137"/>
      <c r="Q266" s="137"/>
      <c r="R266" s="137"/>
      <c r="S266" s="134"/>
      <c r="T266" s="134"/>
    </row>
    <row r="267" spans="1:20" ht="27" hidden="1" customHeight="1">
      <c r="A267" s="135" t="s">
        <v>27</v>
      </c>
      <c r="B267" s="138"/>
      <c r="C267" s="133"/>
      <c r="D267" s="133">
        <v>16545</v>
      </c>
      <c r="E267" s="133"/>
      <c r="F267" s="133"/>
      <c r="G267" s="133"/>
      <c r="H267" s="133"/>
      <c r="I267" s="133"/>
      <c r="J267" s="133"/>
      <c r="K267" s="133"/>
      <c r="L267" s="133"/>
      <c r="M267" s="133"/>
      <c r="P267" s="133"/>
      <c r="Q267" s="133"/>
      <c r="R267" s="133"/>
      <c r="S267" s="134"/>
      <c r="T267" s="134"/>
    </row>
    <row r="268" spans="1:20" ht="14.4" hidden="1" customHeight="1">
      <c r="A268" s="135" t="s">
        <v>28</v>
      </c>
      <c r="B268" s="139"/>
      <c r="C268" s="140"/>
      <c r="D268" s="140">
        <v>1223</v>
      </c>
      <c r="E268" s="140"/>
      <c r="F268" s="140"/>
      <c r="G268" s="140"/>
      <c r="H268" s="140"/>
      <c r="I268" s="140"/>
      <c r="J268" s="140"/>
      <c r="K268" s="140"/>
      <c r="L268" s="140"/>
      <c r="M268" s="140"/>
      <c r="P268" s="140"/>
      <c r="Q268" s="140"/>
      <c r="R268" s="140"/>
      <c r="S268" s="134"/>
      <c r="T268" s="134"/>
    </row>
    <row r="269" spans="1:20" ht="27" hidden="1" customHeight="1">
      <c r="A269" s="135" t="s">
        <v>29</v>
      </c>
      <c r="B269" s="139"/>
      <c r="C269" s="140"/>
      <c r="D269" s="140">
        <v>41528</v>
      </c>
      <c r="E269" s="140"/>
      <c r="F269" s="140"/>
      <c r="G269" s="140"/>
      <c r="H269" s="140"/>
      <c r="I269" s="140"/>
      <c r="J269" s="140"/>
      <c r="K269" s="140"/>
      <c r="L269" s="140"/>
      <c r="M269" s="140"/>
      <c r="P269" s="140"/>
      <c r="Q269" s="140"/>
      <c r="R269" s="140"/>
      <c r="S269" s="134"/>
      <c r="T269" s="134"/>
    </row>
    <row r="270" spans="1:20" ht="14.4" hidden="1" customHeight="1">
      <c r="A270" s="135" t="s">
        <v>30</v>
      </c>
      <c r="B270" s="139"/>
      <c r="C270" s="140"/>
      <c r="D270" s="140">
        <v>4017</v>
      </c>
      <c r="E270" s="140"/>
      <c r="F270" s="140"/>
      <c r="G270" s="140"/>
      <c r="H270" s="140"/>
      <c r="I270" s="140"/>
      <c r="J270" s="140"/>
      <c r="K270" s="140"/>
      <c r="L270" s="140"/>
      <c r="M270" s="140"/>
      <c r="P270" s="140"/>
      <c r="Q270" s="140"/>
      <c r="R270" s="140"/>
      <c r="S270" s="134"/>
      <c r="T270" s="134"/>
    </row>
    <row r="271" spans="1:20" ht="14.4" hidden="1" customHeight="1">
      <c r="A271" s="135" t="s">
        <v>129</v>
      </c>
      <c r="B271" s="139"/>
      <c r="C271" s="140"/>
      <c r="D271" s="140">
        <v>787</v>
      </c>
      <c r="E271" s="140"/>
      <c r="F271" s="140"/>
      <c r="G271" s="140"/>
      <c r="H271" s="140"/>
      <c r="I271" s="140"/>
      <c r="J271" s="140"/>
      <c r="K271" s="140"/>
      <c r="L271" s="140"/>
      <c r="M271" s="140"/>
      <c r="P271" s="140"/>
      <c r="Q271" s="140"/>
      <c r="R271" s="140"/>
      <c r="S271" s="134"/>
      <c r="T271" s="134"/>
    </row>
    <row r="272" spans="1:20" ht="14.4" hidden="1" customHeight="1">
      <c r="A272" s="135" t="s">
        <v>32</v>
      </c>
      <c r="B272" s="139"/>
      <c r="C272" s="140"/>
      <c r="D272" s="140"/>
      <c r="E272" s="140"/>
      <c r="F272" s="140"/>
      <c r="G272" s="140"/>
      <c r="H272" s="140"/>
      <c r="I272" s="140"/>
      <c r="J272" s="140"/>
      <c r="K272" s="140"/>
      <c r="L272" s="140"/>
      <c r="M272" s="140"/>
      <c r="P272" s="140"/>
      <c r="Q272" s="140"/>
      <c r="R272" s="140"/>
      <c r="S272" s="134"/>
      <c r="T272" s="134"/>
    </row>
    <row r="273" spans="1:20" ht="13.2" hidden="1" customHeight="1">
      <c r="A273" s="141" t="s">
        <v>130</v>
      </c>
      <c r="B273" s="131">
        <f t="shared" ref="B273:L273" si="77">SUM(B266:B272)</f>
        <v>0</v>
      </c>
      <c r="C273" s="131">
        <f t="shared" si="77"/>
        <v>0</v>
      </c>
      <c r="D273" s="131">
        <f t="shared" si="77"/>
        <v>80346</v>
      </c>
      <c r="E273" s="131">
        <f t="shared" si="77"/>
        <v>0</v>
      </c>
      <c r="F273" s="131">
        <f t="shared" si="77"/>
        <v>0</v>
      </c>
      <c r="G273" s="131">
        <f t="shared" si="77"/>
        <v>0</v>
      </c>
      <c r="H273" s="131">
        <f>SUM(H266:H272)</f>
        <v>0</v>
      </c>
      <c r="I273" s="131"/>
      <c r="J273" s="131"/>
      <c r="K273" s="131">
        <f t="shared" si="77"/>
        <v>0</v>
      </c>
      <c r="L273" s="131">
        <f t="shared" si="77"/>
        <v>0</v>
      </c>
      <c r="M273" s="131"/>
      <c r="P273" s="131">
        <f t="shared" ref="P273:R273" si="78">SUM(P266:P272)</f>
        <v>0</v>
      </c>
      <c r="Q273" s="131">
        <f t="shared" si="78"/>
        <v>0</v>
      </c>
      <c r="R273" s="131">
        <f t="shared" si="78"/>
        <v>0</v>
      </c>
      <c r="S273" s="142"/>
      <c r="T273" s="142"/>
    </row>
    <row r="274" spans="1:20" ht="13.2" hidden="1" customHeight="1">
      <c r="A274" s="141"/>
      <c r="B274" s="144"/>
      <c r="C274" s="144"/>
      <c r="D274" s="144"/>
      <c r="E274" s="144"/>
      <c r="F274" s="144"/>
      <c r="G274" s="144"/>
      <c r="H274" s="144"/>
      <c r="I274" s="144"/>
      <c r="J274" s="144"/>
      <c r="K274" s="144"/>
      <c r="L274" s="144"/>
      <c r="M274" s="144"/>
      <c r="P274" s="144"/>
      <c r="Q274" s="144"/>
      <c r="R274" s="144"/>
      <c r="S274" s="142"/>
      <c r="T274" s="142"/>
    </row>
    <row r="275" spans="1:20" ht="27" hidden="1" customHeight="1">
      <c r="A275" s="130" t="s">
        <v>180</v>
      </c>
      <c r="B275" s="144"/>
      <c r="C275" s="145"/>
      <c r="D275" s="145"/>
      <c r="E275" s="145"/>
      <c r="F275" s="145"/>
      <c r="G275" s="145"/>
      <c r="H275" s="145"/>
      <c r="I275" s="145"/>
      <c r="J275" s="145"/>
      <c r="K275" s="145"/>
      <c r="L275" s="145"/>
      <c r="M275" s="145"/>
      <c r="P275" s="145"/>
      <c r="Q275" s="145"/>
      <c r="R275" s="145"/>
      <c r="S275" s="143"/>
      <c r="T275" s="143"/>
    </row>
    <row r="276" spans="1:20" ht="14.4" hidden="1" customHeight="1">
      <c r="A276" s="135" t="s">
        <v>26</v>
      </c>
      <c r="B276" s="136"/>
      <c r="C276" s="137"/>
      <c r="D276" s="137"/>
      <c r="E276" s="137"/>
      <c r="F276" s="137"/>
      <c r="G276" s="137"/>
      <c r="H276" s="137"/>
      <c r="I276" s="137"/>
      <c r="J276" s="137"/>
      <c r="K276" s="137"/>
      <c r="L276" s="137"/>
      <c r="M276" s="137"/>
      <c r="P276" s="137"/>
      <c r="Q276" s="137"/>
      <c r="R276" s="137"/>
      <c r="S276" s="134"/>
      <c r="T276" s="134"/>
    </row>
    <row r="277" spans="1:20" ht="27" hidden="1" customHeight="1">
      <c r="A277" s="135" t="s">
        <v>27</v>
      </c>
      <c r="B277" s="138"/>
      <c r="C277" s="133"/>
      <c r="D277" s="133">
        <v>5838</v>
      </c>
      <c r="E277" s="133"/>
      <c r="F277" s="133"/>
      <c r="G277" s="133"/>
      <c r="H277" s="133"/>
      <c r="I277" s="133"/>
      <c r="J277" s="133"/>
      <c r="K277" s="133"/>
      <c r="L277" s="133"/>
      <c r="M277" s="133"/>
      <c r="P277" s="133"/>
      <c r="Q277" s="133"/>
      <c r="R277" s="133"/>
      <c r="S277" s="134"/>
      <c r="T277" s="134"/>
    </row>
    <row r="278" spans="1:20" ht="14.4" hidden="1" customHeight="1">
      <c r="A278" s="135" t="s">
        <v>28</v>
      </c>
      <c r="B278" s="139"/>
      <c r="C278" s="140"/>
      <c r="D278" s="140">
        <v>154</v>
      </c>
      <c r="E278" s="140"/>
      <c r="F278" s="140"/>
      <c r="G278" s="140"/>
      <c r="H278" s="140"/>
      <c r="I278" s="140"/>
      <c r="J278" s="140"/>
      <c r="K278" s="140"/>
      <c r="L278" s="140"/>
      <c r="M278" s="140"/>
      <c r="P278" s="140"/>
      <c r="Q278" s="140"/>
      <c r="R278" s="140"/>
      <c r="S278" s="134"/>
      <c r="T278" s="134"/>
    </row>
    <row r="279" spans="1:20" ht="27" hidden="1" customHeight="1">
      <c r="A279" s="135" t="s">
        <v>29</v>
      </c>
      <c r="B279" s="139"/>
      <c r="C279" s="140"/>
      <c r="D279" s="140">
        <v>26227</v>
      </c>
      <c r="E279" s="140"/>
      <c r="F279" s="140"/>
      <c r="G279" s="140"/>
      <c r="H279" s="140"/>
      <c r="I279" s="140"/>
      <c r="J279" s="140"/>
      <c r="K279" s="140"/>
      <c r="L279" s="140"/>
      <c r="M279" s="140"/>
      <c r="P279" s="140"/>
      <c r="Q279" s="140"/>
      <c r="R279" s="140"/>
      <c r="S279" s="134"/>
      <c r="T279" s="134"/>
    </row>
    <row r="280" spans="1:20" ht="14.4" hidden="1" customHeight="1">
      <c r="A280" s="135" t="s">
        <v>30</v>
      </c>
      <c r="B280" s="139"/>
      <c r="C280" s="140"/>
      <c r="D280" s="140">
        <v>20874</v>
      </c>
      <c r="E280" s="140"/>
      <c r="F280" s="140"/>
      <c r="G280" s="140"/>
      <c r="H280" s="140"/>
      <c r="I280" s="140"/>
      <c r="J280" s="140"/>
      <c r="K280" s="140"/>
      <c r="L280" s="140"/>
      <c r="M280" s="140"/>
      <c r="P280" s="140"/>
      <c r="Q280" s="140"/>
      <c r="R280" s="140"/>
      <c r="S280" s="134"/>
      <c r="T280" s="134"/>
    </row>
    <row r="281" spans="1:20" ht="14.4" hidden="1" customHeight="1">
      <c r="A281" s="135" t="s">
        <v>129</v>
      </c>
      <c r="B281" s="139"/>
      <c r="C281" s="140"/>
      <c r="D281" s="140"/>
      <c r="E281" s="140"/>
      <c r="F281" s="140"/>
      <c r="G281" s="140"/>
      <c r="H281" s="140"/>
      <c r="I281" s="140"/>
      <c r="J281" s="140"/>
      <c r="K281" s="140"/>
      <c r="L281" s="140"/>
      <c r="M281" s="140"/>
      <c r="P281" s="140"/>
      <c r="Q281" s="140"/>
      <c r="R281" s="140"/>
      <c r="S281" s="134"/>
      <c r="T281" s="134"/>
    </row>
    <row r="282" spans="1:20" ht="14.4" hidden="1" customHeight="1">
      <c r="A282" s="135" t="s">
        <v>32</v>
      </c>
      <c r="B282" s="139"/>
      <c r="C282" s="140"/>
      <c r="D282" s="140">
        <v>7746</v>
      </c>
      <c r="E282" s="140">
        <v>16471</v>
      </c>
      <c r="F282" s="140"/>
      <c r="G282" s="140"/>
      <c r="H282" s="140"/>
      <c r="I282" s="140"/>
      <c r="J282" s="140"/>
      <c r="K282" s="140"/>
      <c r="L282" s="140"/>
      <c r="M282" s="140"/>
      <c r="P282" s="140"/>
      <c r="Q282" s="140"/>
      <c r="R282" s="140"/>
      <c r="S282" s="134"/>
      <c r="T282" s="134"/>
    </row>
    <row r="283" spans="1:20" ht="13.2" hidden="1" customHeight="1">
      <c r="A283" s="141" t="s">
        <v>130</v>
      </c>
      <c r="B283" s="131">
        <f t="shared" ref="B283:L283" si="79">SUM(B276:B282)</f>
        <v>0</v>
      </c>
      <c r="C283" s="131">
        <f t="shared" si="79"/>
        <v>0</v>
      </c>
      <c r="D283" s="131">
        <f t="shared" si="79"/>
        <v>60839</v>
      </c>
      <c r="E283" s="131">
        <f t="shared" si="79"/>
        <v>16471</v>
      </c>
      <c r="F283" s="131">
        <f t="shared" si="79"/>
        <v>0</v>
      </c>
      <c r="G283" s="131">
        <f t="shared" si="79"/>
        <v>0</v>
      </c>
      <c r="H283" s="131">
        <f>SUM(H276:H282)</f>
        <v>0</v>
      </c>
      <c r="I283" s="131"/>
      <c r="J283" s="131"/>
      <c r="K283" s="131">
        <f t="shared" si="79"/>
        <v>0</v>
      </c>
      <c r="L283" s="131">
        <f t="shared" si="79"/>
        <v>0</v>
      </c>
      <c r="M283" s="131"/>
      <c r="P283" s="131">
        <f t="shared" ref="P283:R283" si="80">SUM(P276:P282)</f>
        <v>0</v>
      </c>
      <c r="Q283" s="131">
        <f t="shared" si="80"/>
        <v>0</v>
      </c>
      <c r="R283" s="131">
        <f t="shared" si="80"/>
        <v>0</v>
      </c>
      <c r="S283" s="142"/>
      <c r="T283" s="142"/>
    </row>
    <row r="284" spans="1:20" ht="13.2" hidden="1" customHeight="1">
      <c r="A284" s="141"/>
      <c r="B284" s="144"/>
      <c r="C284" s="144"/>
      <c r="D284" s="144"/>
      <c r="E284" s="144"/>
      <c r="F284" s="144"/>
      <c r="G284" s="144"/>
      <c r="H284" s="144"/>
      <c r="I284" s="144"/>
      <c r="J284" s="144"/>
      <c r="K284" s="144"/>
      <c r="L284" s="144"/>
      <c r="M284" s="144"/>
      <c r="P284" s="144"/>
      <c r="Q284" s="144"/>
      <c r="R284" s="144"/>
      <c r="S284" s="142"/>
      <c r="T284" s="142"/>
    </row>
    <row r="285" spans="1:20" ht="27" hidden="1" customHeight="1">
      <c r="A285" s="130" t="s">
        <v>181</v>
      </c>
      <c r="B285" s="144"/>
      <c r="C285" s="145"/>
      <c r="D285" s="145"/>
      <c r="E285" s="145"/>
      <c r="F285" s="145"/>
      <c r="G285" s="145"/>
      <c r="H285" s="145"/>
      <c r="I285" s="145"/>
      <c r="J285" s="145"/>
      <c r="K285" s="145"/>
      <c r="L285" s="145"/>
      <c r="M285" s="145"/>
      <c r="P285" s="145"/>
      <c r="Q285" s="145"/>
      <c r="R285" s="145"/>
      <c r="S285" s="143"/>
      <c r="T285" s="143"/>
    </row>
    <row r="286" spans="1:20" ht="27" hidden="1" customHeight="1">
      <c r="A286" s="135" t="s">
        <v>141</v>
      </c>
      <c r="B286" s="138"/>
      <c r="C286" s="133"/>
      <c r="D286" s="133">
        <v>6001</v>
      </c>
      <c r="E286" s="133"/>
      <c r="F286" s="133"/>
      <c r="G286" s="133"/>
      <c r="H286" s="133"/>
      <c r="I286" s="133"/>
      <c r="J286" s="133"/>
      <c r="K286" s="133"/>
      <c r="L286" s="133"/>
      <c r="M286" s="133"/>
      <c r="P286" s="133"/>
      <c r="Q286" s="133"/>
      <c r="R286" s="133"/>
      <c r="S286" s="134"/>
      <c r="T286" s="134"/>
    </row>
    <row r="287" spans="1:20" ht="14.4" hidden="1" customHeight="1">
      <c r="A287" s="135" t="s">
        <v>26</v>
      </c>
      <c r="B287" s="136"/>
      <c r="C287" s="137"/>
      <c r="D287" s="137"/>
      <c r="E287" s="137"/>
      <c r="F287" s="137"/>
      <c r="G287" s="137"/>
      <c r="H287" s="137"/>
      <c r="I287" s="137"/>
      <c r="J287" s="137"/>
      <c r="K287" s="137"/>
      <c r="L287" s="137"/>
      <c r="M287" s="137"/>
      <c r="P287" s="137"/>
      <c r="Q287" s="137"/>
      <c r="R287" s="137"/>
      <c r="S287" s="134"/>
      <c r="T287" s="134"/>
    </row>
    <row r="288" spans="1:20" ht="27" hidden="1" customHeight="1">
      <c r="A288" s="135" t="s">
        <v>27</v>
      </c>
      <c r="B288" s="138"/>
      <c r="C288" s="133"/>
      <c r="D288" s="133"/>
      <c r="E288" s="133"/>
      <c r="F288" s="133"/>
      <c r="G288" s="133"/>
      <c r="H288" s="133"/>
      <c r="I288" s="133"/>
      <c r="J288" s="133"/>
      <c r="K288" s="133"/>
      <c r="L288" s="133"/>
      <c r="M288" s="133"/>
      <c r="P288" s="133"/>
      <c r="Q288" s="133"/>
      <c r="R288" s="133"/>
      <c r="S288" s="134"/>
      <c r="T288" s="134"/>
    </row>
    <row r="289" spans="1:20" ht="14.4" hidden="1" customHeight="1">
      <c r="A289" s="135" t="s">
        <v>28</v>
      </c>
      <c r="B289" s="139"/>
      <c r="C289" s="140"/>
      <c r="D289" s="140"/>
      <c r="E289" s="140"/>
      <c r="F289" s="140"/>
      <c r="G289" s="140"/>
      <c r="H289" s="140"/>
      <c r="I289" s="140"/>
      <c r="J289" s="140"/>
      <c r="K289" s="140"/>
      <c r="L289" s="140"/>
      <c r="M289" s="140"/>
      <c r="P289" s="140"/>
      <c r="Q289" s="140"/>
      <c r="R289" s="140"/>
      <c r="S289" s="134"/>
      <c r="T289" s="134"/>
    </row>
    <row r="290" spans="1:20" ht="27" hidden="1" customHeight="1">
      <c r="A290" s="135" t="s">
        <v>29</v>
      </c>
      <c r="B290" s="139"/>
      <c r="C290" s="140"/>
      <c r="D290" s="140">
        <v>11859</v>
      </c>
      <c r="E290" s="140"/>
      <c r="F290" s="140"/>
      <c r="G290" s="140"/>
      <c r="H290" s="140"/>
      <c r="I290" s="140"/>
      <c r="J290" s="140"/>
      <c r="K290" s="140"/>
      <c r="L290" s="140"/>
      <c r="M290" s="140"/>
      <c r="P290" s="140"/>
      <c r="Q290" s="140"/>
      <c r="R290" s="140"/>
      <c r="S290" s="134"/>
      <c r="T290" s="134"/>
    </row>
    <row r="291" spans="1:20" ht="14.4" hidden="1" customHeight="1">
      <c r="A291" s="135" t="s">
        <v>30</v>
      </c>
      <c r="B291" s="139"/>
      <c r="C291" s="140"/>
      <c r="D291" s="140"/>
      <c r="E291" s="140"/>
      <c r="F291" s="140"/>
      <c r="G291" s="140"/>
      <c r="H291" s="140"/>
      <c r="I291" s="140"/>
      <c r="J291" s="140"/>
      <c r="K291" s="140"/>
      <c r="L291" s="140"/>
      <c r="M291" s="140"/>
      <c r="P291" s="140"/>
      <c r="Q291" s="140"/>
      <c r="R291" s="140"/>
      <c r="S291" s="134"/>
      <c r="T291" s="134"/>
    </row>
    <row r="292" spans="1:20" ht="14.4" hidden="1" customHeight="1">
      <c r="A292" s="135" t="s">
        <v>129</v>
      </c>
      <c r="B292" s="139"/>
      <c r="C292" s="140"/>
      <c r="D292" s="140"/>
      <c r="E292" s="140"/>
      <c r="F292" s="140"/>
      <c r="G292" s="140"/>
      <c r="H292" s="140"/>
      <c r="I292" s="140"/>
      <c r="J292" s="140"/>
      <c r="K292" s="140"/>
      <c r="L292" s="140"/>
      <c r="M292" s="140"/>
      <c r="P292" s="140"/>
      <c r="Q292" s="140"/>
      <c r="R292" s="140"/>
      <c r="S292" s="134"/>
      <c r="T292" s="134"/>
    </row>
    <row r="293" spans="1:20" ht="14.4" hidden="1" customHeight="1">
      <c r="A293" s="135" t="s">
        <v>32</v>
      </c>
      <c r="B293" s="139"/>
      <c r="C293" s="140"/>
      <c r="D293" s="140"/>
      <c r="E293" s="140"/>
      <c r="F293" s="140"/>
      <c r="G293" s="140"/>
      <c r="H293" s="140"/>
      <c r="I293" s="140"/>
      <c r="J293" s="140"/>
      <c r="K293" s="140"/>
      <c r="L293" s="140"/>
      <c r="M293" s="140"/>
      <c r="P293" s="140"/>
      <c r="Q293" s="140"/>
      <c r="R293" s="140"/>
      <c r="S293" s="134"/>
      <c r="T293" s="134"/>
    </row>
    <row r="294" spans="1:20" ht="13.2" hidden="1" customHeight="1">
      <c r="A294" s="141" t="s">
        <v>130</v>
      </c>
      <c r="B294" s="131">
        <f t="shared" ref="B294:L294" si="81">SUM(B287:B293)</f>
        <v>0</v>
      </c>
      <c r="C294" s="131">
        <f t="shared" si="81"/>
        <v>0</v>
      </c>
      <c r="D294" s="131">
        <f>SUM(D286:D293)</f>
        <v>17860</v>
      </c>
      <c r="E294" s="131">
        <f t="shared" si="81"/>
        <v>0</v>
      </c>
      <c r="F294" s="131">
        <f t="shared" si="81"/>
        <v>0</v>
      </c>
      <c r="G294" s="131">
        <f t="shared" si="81"/>
        <v>0</v>
      </c>
      <c r="H294" s="131">
        <f>SUM(H287:H293)</f>
        <v>0</v>
      </c>
      <c r="I294" s="131"/>
      <c r="J294" s="131"/>
      <c r="K294" s="131">
        <f t="shared" si="81"/>
        <v>0</v>
      </c>
      <c r="L294" s="131">
        <f t="shared" si="81"/>
        <v>0</v>
      </c>
      <c r="M294" s="131"/>
      <c r="P294" s="131">
        <f t="shared" ref="P294:R294" si="82">SUM(P287:P293)</f>
        <v>0</v>
      </c>
      <c r="Q294" s="131">
        <f t="shared" si="82"/>
        <v>0</v>
      </c>
      <c r="R294" s="131">
        <f t="shared" si="82"/>
        <v>0</v>
      </c>
      <c r="S294" s="142"/>
      <c r="T294" s="142"/>
    </row>
    <row r="295" spans="1:20" ht="13.2" hidden="1" customHeight="1">
      <c r="A295" s="141"/>
      <c r="B295" s="144"/>
      <c r="C295" s="144"/>
      <c r="D295" s="144"/>
      <c r="E295" s="144"/>
      <c r="F295" s="144"/>
      <c r="G295" s="144"/>
      <c r="H295" s="144"/>
      <c r="I295" s="144"/>
      <c r="J295" s="144"/>
      <c r="K295" s="144"/>
      <c r="L295" s="144"/>
      <c r="M295" s="144"/>
      <c r="P295" s="144"/>
      <c r="Q295" s="144"/>
      <c r="R295" s="144"/>
      <c r="S295" s="142"/>
      <c r="T295" s="142"/>
    </row>
    <row r="296" spans="1:20" ht="40.200000000000003" hidden="1" customHeight="1">
      <c r="A296" s="130" t="s">
        <v>182</v>
      </c>
      <c r="B296" s="144"/>
      <c r="C296" s="145"/>
      <c r="D296" s="145"/>
      <c r="E296" s="145"/>
      <c r="F296" s="145"/>
      <c r="G296" s="145"/>
      <c r="H296" s="145"/>
      <c r="I296" s="145"/>
      <c r="J296" s="145"/>
      <c r="K296" s="145"/>
      <c r="L296" s="145"/>
      <c r="M296" s="145"/>
      <c r="P296" s="145"/>
      <c r="Q296" s="145"/>
      <c r="R296" s="145"/>
      <c r="S296" s="143"/>
      <c r="T296" s="143"/>
    </row>
    <row r="297" spans="1:20" ht="14.4" hidden="1" customHeight="1">
      <c r="A297" s="135" t="s">
        <v>26</v>
      </c>
      <c r="B297" s="136"/>
      <c r="C297" s="137"/>
      <c r="D297" s="137">
        <v>30904</v>
      </c>
      <c r="E297" s="137"/>
      <c r="F297" s="137"/>
      <c r="G297" s="137"/>
      <c r="H297" s="137"/>
      <c r="I297" s="137"/>
      <c r="J297" s="137"/>
      <c r="K297" s="137"/>
      <c r="L297" s="137"/>
      <c r="M297" s="137"/>
      <c r="P297" s="137"/>
      <c r="Q297" s="137"/>
      <c r="R297" s="137"/>
      <c r="S297" s="134"/>
      <c r="T297" s="134"/>
    </row>
    <row r="298" spans="1:20" ht="27" hidden="1" customHeight="1">
      <c r="A298" s="135" t="s">
        <v>27</v>
      </c>
      <c r="B298" s="138"/>
      <c r="C298" s="133"/>
      <c r="D298" s="133">
        <v>35823</v>
      </c>
      <c r="E298" s="133"/>
      <c r="F298" s="133"/>
      <c r="G298" s="133"/>
      <c r="H298" s="133"/>
      <c r="I298" s="133"/>
      <c r="J298" s="133"/>
      <c r="K298" s="133"/>
      <c r="L298" s="133"/>
      <c r="M298" s="133"/>
      <c r="P298" s="133"/>
      <c r="Q298" s="133"/>
      <c r="R298" s="133"/>
      <c r="S298" s="134"/>
      <c r="T298" s="134"/>
    </row>
    <row r="299" spans="1:20" ht="14.4" hidden="1" customHeight="1">
      <c r="A299" s="135" t="s">
        <v>28</v>
      </c>
      <c r="B299" s="139"/>
      <c r="C299" s="140"/>
      <c r="D299" s="140">
        <v>2181</v>
      </c>
      <c r="E299" s="140"/>
      <c r="F299" s="140"/>
      <c r="G299" s="140"/>
      <c r="H299" s="140"/>
      <c r="I299" s="140"/>
      <c r="J299" s="140"/>
      <c r="K299" s="140"/>
      <c r="L299" s="140"/>
      <c r="M299" s="140"/>
      <c r="P299" s="140"/>
      <c r="Q299" s="140"/>
      <c r="R299" s="140"/>
      <c r="S299" s="134"/>
      <c r="T299" s="134"/>
    </row>
    <row r="300" spans="1:20" ht="27" hidden="1" customHeight="1">
      <c r="A300" s="135" t="s">
        <v>29</v>
      </c>
      <c r="B300" s="139"/>
      <c r="C300" s="140"/>
      <c r="D300" s="140">
        <v>13066</v>
      </c>
      <c r="E300" s="140"/>
      <c r="F300" s="140"/>
      <c r="G300" s="140"/>
      <c r="H300" s="140"/>
      <c r="I300" s="140"/>
      <c r="J300" s="140"/>
      <c r="K300" s="140"/>
      <c r="L300" s="140"/>
      <c r="M300" s="140"/>
      <c r="P300" s="140"/>
      <c r="Q300" s="140"/>
      <c r="R300" s="140"/>
      <c r="S300" s="134"/>
      <c r="T300" s="134"/>
    </row>
    <row r="301" spans="1:20" ht="14.4" hidden="1" customHeight="1">
      <c r="A301" s="135" t="s">
        <v>30</v>
      </c>
      <c r="B301" s="139"/>
      <c r="C301" s="140"/>
      <c r="D301" s="140">
        <v>5229</v>
      </c>
      <c r="E301" s="140"/>
      <c r="F301" s="140"/>
      <c r="G301" s="140"/>
      <c r="H301" s="140"/>
      <c r="I301" s="140"/>
      <c r="J301" s="140"/>
      <c r="K301" s="140"/>
      <c r="L301" s="140"/>
      <c r="M301" s="140"/>
      <c r="P301" s="140"/>
      <c r="Q301" s="140"/>
      <c r="R301" s="140"/>
      <c r="S301" s="134"/>
      <c r="T301" s="134"/>
    </row>
    <row r="302" spans="1:20" ht="14.4" hidden="1" customHeight="1">
      <c r="A302" s="135" t="s">
        <v>129</v>
      </c>
      <c r="B302" s="139"/>
      <c r="C302" s="140"/>
      <c r="D302" s="140">
        <v>393</v>
      </c>
      <c r="E302" s="140"/>
      <c r="F302" s="140"/>
      <c r="G302" s="140"/>
      <c r="H302" s="140"/>
      <c r="I302" s="140"/>
      <c r="J302" s="140"/>
      <c r="K302" s="140"/>
      <c r="L302" s="140"/>
      <c r="M302" s="140"/>
      <c r="P302" s="140"/>
      <c r="Q302" s="140"/>
      <c r="R302" s="140"/>
      <c r="S302" s="134"/>
      <c r="T302" s="134"/>
    </row>
    <row r="303" spans="1:20" ht="14.4" hidden="1" customHeight="1">
      <c r="A303" s="135" t="s">
        <v>32</v>
      </c>
      <c r="B303" s="139"/>
      <c r="C303" s="140"/>
      <c r="D303" s="140">
        <v>2404</v>
      </c>
      <c r="E303" s="140"/>
      <c r="F303" s="140"/>
      <c r="G303" s="140"/>
      <c r="H303" s="140"/>
      <c r="I303" s="140"/>
      <c r="J303" s="140"/>
      <c r="K303" s="140"/>
      <c r="L303" s="140"/>
      <c r="M303" s="140"/>
      <c r="P303" s="140"/>
      <c r="Q303" s="140"/>
      <c r="R303" s="140"/>
      <c r="S303" s="134"/>
      <c r="T303" s="134"/>
    </row>
    <row r="304" spans="1:20" ht="13.2" hidden="1" customHeight="1">
      <c r="A304" s="141" t="s">
        <v>130</v>
      </c>
      <c r="B304" s="131">
        <f t="shared" ref="B304:L304" si="83">SUM(B297:B303)</f>
        <v>0</v>
      </c>
      <c r="C304" s="131">
        <f t="shared" si="83"/>
        <v>0</v>
      </c>
      <c r="D304" s="131">
        <f t="shared" si="83"/>
        <v>90000</v>
      </c>
      <c r="E304" s="131">
        <f t="shared" si="83"/>
        <v>0</v>
      </c>
      <c r="F304" s="131">
        <f t="shared" si="83"/>
        <v>0</v>
      </c>
      <c r="G304" s="131">
        <f t="shared" si="83"/>
        <v>0</v>
      </c>
      <c r="H304" s="131">
        <f>SUM(H297:H303)</f>
        <v>0</v>
      </c>
      <c r="I304" s="131"/>
      <c r="J304" s="131"/>
      <c r="K304" s="131">
        <f t="shared" si="83"/>
        <v>0</v>
      </c>
      <c r="L304" s="131">
        <f t="shared" si="83"/>
        <v>0</v>
      </c>
      <c r="M304" s="131"/>
      <c r="P304" s="131">
        <f t="shared" ref="P304:R304" si="84">SUM(P297:P303)</f>
        <v>0</v>
      </c>
      <c r="Q304" s="131">
        <f t="shared" si="84"/>
        <v>0</v>
      </c>
      <c r="R304" s="131">
        <f t="shared" si="84"/>
        <v>0</v>
      </c>
      <c r="S304" s="142"/>
      <c r="T304" s="142"/>
    </row>
    <row r="305" spans="1:20" ht="13.2" hidden="1" customHeight="1">
      <c r="A305" s="141"/>
      <c r="B305" s="144"/>
      <c r="C305" s="144"/>
      <c r="D305" s="144"/>
      <c r="E305" s="144"/>
      <c r="F305" s="144"/>
      <c r="G305" s="144"/>
      <c r="H305" s="144"/>
      <c r="I305" s="144"/>
      <c r="J305" s="144"/>
      <c r="K305" s="144"/>
      <c r="L305" s="144"/>
      <c r="M305" s="144"/>
      <c r="P305" s="144"/>
      <c r="Q305" s="144"/>
      <c r="R305" s="144"/>
      <c r="S305" s="142"/>
      <c r="T305" s="142"/>
    </row>
    <row r="306" spans="1:20" ht="40.200000000000003" hidden="1" customHeight="1">
      <c r="A306" s="130" t="s">
        <v>183</v>
      </c>
      <c r="B306" s="144"/>
      <c r="C306" s="145"/>
      <c r="D306" s="145"/>
      <c r="E306" s="145"/>
      <c r="F306" s="145"/>
      <c r="G306" s="145"/>
      <c r="H306" s="145"/>
      <c r="I306" s="145"/>
      <c r="J306" s="145"/>
      <c r="K306" s="145"/>
      <c r="L306" s="145"/>
      <c r="M306" s="145"/>
      <c r="P306" s="145"/>
      <c r="Q306" s="145"/>
      <c r="R306" s="145"/>
      <c r="S306" s="143"/>
      <c r="T306" s="143"/>
    </row>
    <row r="307" spans="1:20" ht="14.4" hidden="1" customHeight="1">
      <c r="A307" s="135" t="s">
        <v>26</v>
      </c>
      <c r="B307" s="136"/>
      <c r="C307" s="137"/>
      <c r="D307" s="137">
        <v>57</v>
      </c>
      <c r="E307" s="137"/>
      <c r="F307" s="137"/>
      <c r="G307" s="137"/>
      <c r="H307" s="137"/>
      <c r="I307" s="137"/>
      <c r="J307" s="137"/>
      <c r="K307" s="137"/>
      <c r="L307" s="137"/>
      <c r="M307" s="137"/>
      <c r="P307" s="137"/>
      <c r="Q307" s="137"/>
      <c r="R307" s="137"/>
      <c r="S307" s="134"/>
      <c r="T307" s="134"/>
    </row>
    <row r="308" spans="1:20" ht="27" hidden="1" customHeight="1">
      <c r="A308" s="135" t="s">
        <v>27</v>
      </c>
      <c r="B308" s="138"/>
      <c r="C308" s="133"/>
      <c r="D308" s="133">
        <v>1947</v>
      </c>
      <c r="E308" s="133"/>
      <c r="F308" s="133"/>
      <c r="G308" s="133"/>
      <c r="H308" s="133"/>
      <c r="I308" s="133"/>
      <c r="J308" s="133"/>
      <c r="K308" s="133"/>
      <c r="L308" s="133"/>
      <c r="M308" s="133"/>
      <c r="P308" s="133"/>
      <c r="Q308" s="133"/>
      <c r="R308" s="133"/>
      <c r="S308" s="134"/>
      <c r="T308" s="134"/>
    </row>
    <row r="309" spans="1:20" ht="14.4" hidden="1" customHeight="1">
      <c r="A309" s="135" t="s">
        <v>28</v>
      </c>
      <c r="B309" s="139"/>
      <c r="C309" s="140"/>
      <c r="D309" s="140">
        <v>134</v>
      </c>
      <c r="E309" s="140"/>
      <c r="F309" s="140"/>
      <c r="G309" s="140"/>
      <c r="H309" s="140"/>
      <c r="I309" s="140"/>
      <c r="J309" s="140"/>
      <c r="K309" s="140"/>
      <c r="L309" s="140"/>
      <c r="M309" s="140"/>
      <c r="P309" s="140"/>
      <c r="Q309" s="140"/>
      <c r="R309" s="140"/>
      <c r="S309" s="134"/>
      <c r="T309" s="134"/>
    </row>
    <row r="310" spans="1:20" ht="27" hidden="1" customHeight="1">
      <c r="A310" s="135" t="s">
        <v>29</v>
      </c>
      <c r="B310" s="139"/>
      <c r="C310" s="140"/>
      <c r="D310" s="140">
        <v>1566</v>
      </c>
      <c r="E310" s="140"/>
      <c r="F310" s="140"/>
      <c r="G310" s="140"/>
      <c r="H310" s="140"/>
      <c r="I310" s="140"/>
      <c r="J310" s="140"/>
      <c r="K310" s="140"/>
      <c r="L310" s="140"/>
      <c r="M310" s="140"/>
      <c r="P310" s="140"/>
      <c r="Q310" s="140"/>
      <c r="R310" s="140"/>
      <c r="S310" s="134"/>
      <c r="T310" s="134"/>
    </row>
    <row r="311" spans="1:20" ht="14.4" hidden="1" customHeight="1">
      <c r="A311" s="135" t="s">
        <v>30</v>
      </c>
      <c r="B311" s="139"/>
      <c r="C311" s="140"/>
      <c r="D311" s="140">
        <v>26026</v>
      </c>
      <c r="E311" s="140"/>
      <c r="F311" s="140"/>
      <c r="G311" s="140"/>
      <c r="H311" s="140"/>
      <c r="I311" s="140"/>
      <c r="J311" s="140"/>
      <c r="K311" s="140"/>
      <c r="L311" s="140"/>
      <c r="M311" s="140"/>
      <c r="P311" s="140"/>
      <c r="Q311" s="140"/>
      <c r="R311" s="140"/>
      <c r="S311" s="134"/>
      <c r="T311" s="134"/>
    </row>
    <row r="312" spans="1:20" ht="14.4" hidden="1" customHeight="1">
      <c r="A312" s="135" t="s">
        <v>129</v>
      </c>
      <c r="B312" s="139"/>
      <c r="C312" s="140"/>
      <c r="D312" s="140"/>
      <c r="E312" s="140"/>
      <c r="F312" s="140"/>
      <c r="G312" s="140"/>
      <c r="H312" s="140"/>
      <c r="I312" s="140"/>
      <c r="J312" s="140"/>
      <c r="K312" s="140"/>
      <c r="L312" s="140"/>
      <c r="M312" s="140"/>
      <c r="P312" s="140"/>
      <c r="Q312" s="140"/>
      <c r="R312" s="140"/>
      <c r="S312" s="134"/>
      <c r="T312" s="134"/>
    </row>
    <row r="313" spans="1:20" ht="14.4" hidden="1" customHeight="1">
      <c r="A313" s="135" t="s">
        <v>32</v>
      </c>
      <c r="B313" s="139"/>
      <c r="C313" s="140"/>
      <c r="D313" s="140">
        <v>1454</v>
      </c>
      <c r="E313" s="140"/>
      <c r="F313" s="140"/>
      <c r="G313" s="140"/>
      <c r="H313" s="140"/>
      <c r="I313" s="140"/>
      <c r="J313" s="140"/>
      <c r="K313" s="140"/>
      <c r="L313" s="140"/>
      <c r="M313" s="140"/>
      <c r="P313" s="140"/>
      <c r="Q313" s="140"/>
      <c r="R313" s="140"/>
      <c r="S313" s="134"/>
      <c r="T313" s="134"/>
    </row>
    <row r="314" spans="1:20" ht="13.2" hidden="1" customHeight="1">
      <c r="A314" s="141" t="s">
        <v>130</v>
      </c>
      <c r="B314" s="131">
        <f t="shared" ref="B314:L314" si="85">SUM(B307:B313)</f>
        <v>0</v>
      </c>
      <c r="C314" s="131">
        <f t="shared" si="85"/>
        <v>0</v>
      </c>
      <c r="D314" s="131">
        <f t="shared" si="85"/>
        <v>31184</v>
      </c>
      <c r="E314" s="131">
        <f t="shared" si="85"/>
        <v>0</v>
      </c>
      <c r="F314" s="131">
        <f t="shared" si="85"/>
        <v>0</v>
      </c>
      <c r="G314" s="131">
        <f t="shared" si="85"/>
        <v>0</v>
      </c>
      <c r="H314" s="131">
        <f>SUM(H307:H313)</f>
        <v>0</v>
      </c>
      <c r="I314" s="131"/>
      <c r="J314" s="131"/>
      <c r="K314" s="131">
        <f t="shared" si="85"/>
        <v>0</v>
      </c>
      <c r="L314" s="131">
        <f t="shared" si="85"/>
        <v>0</v>
      </c>
      <c r="M314" s="131"/>
      <c r="P314" s="131">
        <f t="shared" ref="P314:R314" si="86">SUM(P307:P313)</f>
        <v>0</v>
      </c>
      <c r="Q314" s="131">
        <f t="shared" si="86"/>
        <v>0</v>
      </c>
      <c r="R314" s="131">
        <f t="shared" si="86"/>
        <v>0</v>
      </c>
      <c r="S314" s="142"/>
      <c r="T314" s="142"/>
    </row>
    <row r="315" spans="1:20" ht="13.2" hidden="1" customHeight="1">
      <c r="A315" s="141"/>
      <c r="B315" s="144"/>
      <c r="C315" s="144"/>
      <c r="D315" s="144"/>
      <c r="E315" s="144"/>
      <c r="F315" s="144"/>
      <c r="G315" s="144"/>
      <c r="H315" s="144"/>
      <c r="I315" s="144"/>
      <c r="J315" s="144"/>
      <c r="K315" s="144"/>
      <c r="L315" s="144"/>
      <c r="M315" s="144"/>
      <c r="P315" s="144"/>
      <c r="Q315" s="144"/>
      <c r="R315" s="144"/>
      <c r="S315" s="142"/>
      <c r="T315" s="142"/>
    </row>
    <row r="316" spans="1:20" ht="14.4" hidden="1" customHeight="1">
      <c r="A316" s="130" t="s">
        <v>184</v>
      </c>
      <c r="B316" s="144"/>
      <c r="C316" s="145"/>
      <c r="D316" s="145"/>
      <c r="E316" s="145"/>
      <c r="F316" s="145"/>
      <c r="G316" s="145"/>
      <c r="H316" s="145"/>
      <c r="I316" s="145"/>
      <c r="J316" s="145"/>
      <c r="K316" s="145"/>
      <c r="L316" s="145"/>
      <c r="M316" s="145"/>
      <c r="P316" s="145"/>
      <c r="Q316" s="145"/>
      <c r="R316" s="145"/>
      <c r="S316" s="143"/>
      <c r="T316" s="143"/>
    </row>
    <row r="317" spans="1:20" ht="14.4" hidden="1" customHeight="1">
      <c r="A317" s="135" t="s">
        <v>138</v>
      </c>
      <c r="B317" s="138">
        <v>26863</v>
      </c>
      <c r="C317" s="133"/>
      <c r="D317" s="133"/>
      <c r="E317" s="133"/>
      <c r="F317" s="133"/>
      <c r="G317" s="133"/>
      <c r="H317" s="133"/>
      <c r="I317" s="133"/>
      <c r="J317" s="133"/>
      <c r="K317" s="133"/>
      <c r="L317" s="133"/>
      <c r="M317" s="133"/>
      <c r="P317" s="133"/>
      <c r="Q317" s="133"/>
      <c r="R317" s="133"/>
      <c r="S317" s="134"/>
      <c r="T317" s="134"/>
    </row>
    <row r="318" spans="1:20" ht="14.4" hidden="1" customHeight="1">
      <c r="A318" s="135" t="s">
        <v>26</v>
      </c>
      <c r="B318" s="136"/>
      <c r="C318" s="137"/>
      <c r="D318" s="137">
        <v>214</v>
      </c>
      <c r="E318" s="137"/>
      <c r="F318" s="137"/>
      <c r="G318" s="137"/>
      <c r="H318" s="137"/>
      <c r="I318" s="137"/>
      <c r="J318" s="137"/>
      <c r="K318" s="137"/>
      <c r="L318" s="137"/>
      <c r="M318" s="137"/>
      <c r="P318" s="137"/>
      <c r="Q318" s="137"/>
      <c r="R318" s="137"/>
      <c r="S318" s="134"/>
      <c r="T318" s="134"/>
    </row>
    <row r="319" spans="1:20" ht="27" hidden="1" customHeight="1">
      <c r="A319" s="135" t="s">
        <v>27</v>
      </c>
      <c r="B319" s="138"/>
      <c r="C319" s="133"/>
      <c r="D319" s="133">
        <v>440</v>
      </c>
      <c r="E319" s="133"/>
      <c r="F319" s="133"/>
      <c r="G319" s="133"/>
      <c r="H319" s="133"/>
      <c r="I319" s="133"/>
      <c r="J319" s="133"/>
      <c r="K319" s="133"/>
      <c r="L319" s="133"/>
      <c r="M319" s="133"/>
      <c r="P319" s="133"/>
      <c r="Q319" s="133"/>
      <c r="R319" s="133"/>
      <c r="S319" s="134"/>
      <c r="T319" s="134"/>
    </row>
    <row r="320" spans="1:20" ht="14.4" hidden="1" customHeight="1">
      <c r="A320" s="135" t="s">
        <v>28</v>
      </c>
      <c r="B320" s="139"/>
      <c r="C320" s="140"/>
      <c r="D320" s="140"/>
      <c r="E320" s="140"/>
      <c r="F320" s="140"/>
      <c r="G320" s="140"/>
      <c r="H320" s="140"/>
      <c r="I320" s="140"/>
      <c r="J320" s="140"/>
      <c r="K320" s="140"/>
      <c r="L320" s="140"/>
      <c r="M320" s="140"/>
      <c r="P320" s="140"/>
      <c r="Q320" s="140"/>
      <c r="R320" s="140"/>
      <c r="S320" s="134"/>
      <c r="T320" s="134"/>
    </row>
    <row r="321" spans="1:20" ht="27" hidden="1" customHeight="1">
      <c r="A321" s="135" t="s">
        <v>29</v>
      </c>
      <c r="B321" s="139"/>
      <c r="C321" s="140"/>
      <c r="D321" s="140">
        <v>3919</v>
      </c>
      <c r="E321" s="140"/>
      <c r="F321" s="140"/>
      <c r="G321" s="140"/>
      <c r="H321" s="140"/>
      <c r="I321" s="140"/>
      <c r="J321" s="140"/>
      <c r="K321" s="140"/>
      <c r="L321" s="140"/>
      <c r="M321" s="140"/>
      <c r="P321" s="140"/>
      <c r="Q321" s="140"/>
      <c r="R321" s="140"/>
      <c r="S321" s="134"/>
      <c r="T321" s="134"/>
    </row>
    <row r="322" spans="1:20" ht="14.4" hidden="1" customHeight="1">
      <c r="A322" s="135" t="s">
        <v>30</v>
      </c>
      <c r="B322" s="139"/>
      <c r="C322" s="140"/>
      <c r="D322" s="140">
        <v>21472</v>
      </c>
      <c r="E322" s="140"/>
      <c r="F322" s="140"/>
      <c r="G322" s="140"/>
      <c r="H322" s="140"/>
      <c r="I322" s="140"/>
      <c r="J322" s="140"/>
      <c r="K322" s="140"/>
      <c r="L322" s="140"/>
      <c r="M322" s="140"/>
      <c r="P322" s="140"/>
      <c r="Q322" s="140"/>
      <c r="R322" s="140"/>
      <c r="S322" s="134"/>
      <c r="T322" s="134"/>
    </row>
    <row r="323" spans="1:20" ht="14.4" hidden="1" customHeight="1">
      <c r="A323" s="135" t="s">
        <v>129</v>
      </c>
      <c r="B323" s="139"/>
      <c r="C323" s="140"/>
      <c r="D323" s="140"/>
      <c r="E323" s="140"/>
      <c r="F323" s="140"/>
      <c r="G323" s="140"/>
      <c r="H323" s="140"/>
      <c r="I323" s="140"/>
      <c r="J323" s="140"/>
      <c r="K323" s="140"/>
      <c r="L323" s="140"/>
      <c r="M323" s="140"/>
      <c r="P323" s="140"/>
      <c r="Q323" s="140"/>
      <c r="R323" s="140"/>
      <c r="S323" s="134"/>
      <c r="T323" s="134"/>
    </row>
    <row r="324" spans="1:20" ht="14.4" hidden="1" customHeight="1">
      <c r="A324" s="135" t="s">
        <v>32</v>
      </c>
      <c r="B324" s="139"/>
      <c r="C324" s="140"/>
      <c r="D324" s="140"/>
      <c r="E324" s="140"/>
      <c r="F324" s="140"/>
      <c r="G324" s="140"/>
      <c r="H324" s="140"/>
      <c r="I324" s="140"/>
      <c r="J324" s="140"/>
      <c r="K324" s="140"/>
      <c r="L324" s="140"/>
      <c r="M324" s="140"/>
      <c r="P324" s="140"/>
      <c r="Q324" s="140"/>
      <c r="R324" s="140"/>
      <c r="S324" s="134"/>
      <c r="T324" s="134"/>
    </row>
    <row r="325" spans="1:20" ht="13.2" hidden="1" customHeight="1">
      <c r="A325" s="141" t="s">
        <v>130</v>
      </c>
      <c r="B325" s="131">
        <f>SUM(B317:B324)</f>
        <v>26863</v>
      </c>
      <c r="C325" s="131">
        <f t="shared" ref="C325:L325" si="87">SUM(C318:C324)</f>
        <v>0</v>
      </c>
      <c r="D325" s="131">
        <f t="shared" si="87"/>
        <v>26045</v>
      </c>
      <c r="E325" s="131">
        <f t="shared" si="87"/>
        <v>0</v>
      </c>
      <c r="F325" s="131">
        <f t="shared" si="87"/>
        <v>0</v>
      </c>
      <c r="G325" s="131">
        <f t="shared" si="87"/>
        <v>0</v>
      </c>
      <c r="H325" s="131">
        <f>SUM(H318:H324)</f>
        <v>0</v>
      </c>
      <c r="I325" s="131"/>
      <c r="J325" s="131"/>
      <c r="K325" s="131">
        <f t="shared" si="87"/>
        <v>0</v>
      </c>
      <c r="L325" s="131">
        <f t="shared" si="87"/>
        <v>0</v>
      </c>
      <c r="M325" s="131"/>
      <c r="P325" s="131">
        <f t="shared" ref="P325:R325" si="88">SUM(P318:P324)</f>
        <v>0</v>
      </c>
      <c r="Q325" s="131">
        <f t="shared" si="88"/>
        <v>0</v>
      </c>
      <c r="R325" s="131">
        <f t="shared" si="88"/>
        <v>0</v>
      </c>
      <c r="S325" s="142"/>
      <c r="T325" s="142"/>
    </row>
    <row r="326" spans="1:20" ht="13.2" hidden="1" customHeight="1">
      <c r="A326" s="141"/>
      <c r="B326" s="144"/>
      <c r="C326" s="144"/>
      <c r="D326" s="144"/>
      <c r="E326" s="144"/>
      <c r="F326" s="144"/>
      <c r="G326" s="144"/>
      <c r="H326" s="144"/>
      <c r="I326" s="144"/>
      <c r="J326" s="144"/>
      <c r="K326" s="144"/>
      <c r="L326" s="144"/>
      <c r="M326" s="144"/>
      <c r="P326" s="144"/>
      <c r="Q326" s="144"/>
      <c r="R326" s="144"/>
      <c r="S326" s="142"/>
      <c r="T326" s="142"/>
    </row>
    <row r="327" spans="1:20" ht="14.4" hidden="1" customHeight="1">
      <c r="A327" s="130" t="s">
        <v>185</v>
      </c>
      <c r="B327" s="144"/>
      <c r="C327" s="145"/>
      <c r="D327" s="145"/>
      <c r="E327" s="145"/>
      <c r="F327" s="145"/>
      <c r="G327" s="145"/>
      <c r="H327" s="145"/>
      <c r="I327" s="145"/>
      <c r="J327" s="145"/>
      <c r="K327" s="145"/>
      <c r="L327" s="145"/>
      <c r="M327" s="145"/>
      <c r="P327" s="145"/>
      <c r="Q327" s="145"/>
      <c r="R327" s="145"/>
      <c r="S327" s="143"/>
      <c r="T327" s="143"/>
    </row>
    <row r="328" spans="1:20" ht="14.4" hidden="1" customHeight="1">
      <c r="A328" s="135" t="s">
        <v>26</v>
      </c>
      <c r="B328" s="136"/>
      <c r="C328" s="137"/>
      <c r="D328" s="137"/>
      <c r="E328" s="137"/>
      <c r="F328" s="137"/>
      <c r="G328" s="137"/>
      <c r="H328" s="137"/>
      <c r="I328" s="137"/>
      <c r="J328" s="137"/>
      <c r="K328" s="137"/>
      <c r="L328" s="137"/>
      <c r="M328" s="137"/>
      <c r="P328" s="137"/>
      <c r="Q328" s="137"/>
      <c r="R328" s="137"/>
      <c r="S328" s="134"/>
      <c r="T328" s="134"/>
    </row>
    <row r="329" spans="1:20" ht="27" hidden="1" customHeight="1">
      <c r="A329" s="135" t="s">
        <v>27</v>
      </c>
      <c r="B329" s="138"/>
      <c r="C329" s="133"/>
      <c r="D329" s="133">
        <v>5193</v>
      </c>
      <c r="E329" s="133"/>
      <c r="F329" s="133"/>
      <c r="G329" s="133"/>
      <c r="H329" s="133"/>
      <c r="I329" s="133"/>
      <c r="J329" s="133"/>
      <c r="K329" s="133"/>
      <c r="L329" s="133"/>
      <c r="M329" s="133"/>
      <c r="P329" s="133"/>
      <c r="Q329" s="133"/>
      <c r="R329" s="133"/>
      <c r="S329" s="134"/>
      <c r="T329" s="134"/>
    </row>
    <row r="330" spans="1:20" ht="14.4" hidden="1" customHeight="1">
      <c r="A330" s="135" t="s">
        <v>28</v>
      </c>
      <c r="B330" s="139"/>
      <c r="C330" s="140"/>
      <c r="D330" s="140"/>
      <c r="E330" s="140"/>
      <c r="F330" s="140"/>
      <c r="G330" s="140"/>
      <c r="H330" s="140"/>
      <c r="I330" s="140"/>
      <c r="J330" s="140"/>
      <c r="K330" s="140"/>
      <c r="L330" s="140"/>
      <c r="M330" s="140"/>
      <c r="P330" s="140"/>
      <c r="Q330" s="140"/>
      <c r="R330" s="140"/>
      <c r="S330" s="134"/>
      <c r="T330" s="134"/>
    </row>
    <row r="331" spans="1:20" ht="27" hidden="1" customHeight="1">
      <c r="A331" s="135" t="s">
        <v>29</v>
      </c>
      <c r="B331" s="139"/>
      <c r="C331" s="140"/>
      <c r="D331" s="140">
        <v>80</v>
      </c>
      <c r="E331" s="140"/>
      <c r="F331" s="140"/>
      <c r="G331" s="140"/>
      <c r="H331" s="140"/>
      <c r="I331" s="140"/>
      <c r="J331" s="140"/>
      <c r="K331" s="140"/>
      <c r="L331" s="140"/>
      <c r="M331" s="140"/>
      <c r="P331" s="140"/>
      <c r="Q331" s="140"/>
      <c r="R331" s="140"/>
      <c r="S331" s="134"/>
      <c r="T331" s="134"/>
    </row>
    <row r="332" spans="1:20" ht="14.4" hidden="1" customHeight="1">
      <c r="A332" s="135" t="s">
        <v>30</v>
      </c>
      <c r="B332" s="139"/>
      <c r="C332" s="140"/>
      <c r="D332" s="140">
        <v>5515</v>
      </c>
      <c r="E332" s="140"/>
      <c r="F332" s="140"/>
      <c r="G332" s="140"/>
      <c r="H332" s="140"/>
      <c r="I332" s="140"/>
      <c r="J332" s="140"/>
      <c r="K332" s="140"/>
      <c r="L332" s="140"/>
      <c r="M332" s="140"/>
      <c r="P332" s="140"/>
      <c r="Q332" s="140"/>
      <c r="R332" s="140"/>
      <c r="S332" s="134"/>
      <c r="T332" s="134"/>
    </row>
    <row r="333" spans="1:20" ht="14.4" hidden="1" customHeight="1">
      <c r="A333" s="135" t="s">
        <v>129</v>
      </c>
      <c r="B333" s="139"/>
      <c r="C333" s="140"/>
      <c r="D333" s="140">
        <v>11008</v>
      </c>
      <c r="E333" s="140"/>
      <c r="F333" s="140"/>
      <c r="G333" s="140"/>
      <c r="H333" s="140"/>
      <c r="I333" s="140"/>
      <c r="J333" s="140"/>
      <c r="K333" s="140"/>
      <c r="L333" s="140"/>
      <c r="M333" s="140"/>
      <c r="P333" s="140"/>
      <c r="Q333" s="140"/>
      <c r="R333" s="140"/>
      <c r="S333" s="134"/>
      <c r="T333" s="134"/>
    </row>
    <row r="334" spans="1:20" ht="14.4" hidden="1" customHeight="1">
      <c r="A334" s="135" t="s">
        <v>32</v>
      </c>
      <c r="B334" s="139"/>
      <c r="C334" s="140"/>
      <c r="D334" s="140">
        <v>3538</v>
      </c>
      <c r="E334" s="140"/>
      <c r="F334" s="140"/>
      <c r="G334" s="140"/>
      <c r="H334" s="140"/>
      <c r="I334" s="140"/>
      <c r="J334" s="140"/>
      <c r="K334" s="140"/>
      <c r="L334" s="140"/>
      <c r="M334" s="140"/>
      <c r="P334" s="140"/>
      <c r="Q334" s="140"/>
      <c r="R334" s="140"/>
      <c r="S334" s="134"/>
      <c r="T334" s="134"/>
    </row>
    <row r="335" spans="1:20" ht="13.2" hidden="1" customHeight="1">
      <c r="A335" s="141" t="s">
        <v>130</v>
      </c>
      <c r="B335" s="131">
        <f t="shared" ref="B335:L335" si="89">SUM(B328:B334)</f>
        <v>0</v>
      </c>
      <c r="C335" s="131">
        <f t="shared" si="89"/>
        <v>0</v>
      </c>
      <c r="D335" s="131">
        <f t="shared" si="89"/>
        <v>25334</v>
      </c>
      <c r="E335" s="131">
        <f t="shared" si="89"/>
        <v>0</v>
      </c>
      <c r="F335" s="131">
        <f t="shared" si="89"/>
        <v>0</v>
      </c>
      <c r="G335" s="131">
        <f t="shared" si="89"/>
        <v>0</v>
      </c>
      <c r="H335" s="131">
        <f>SUM(H328:H334)</f>
        <v>0</v>
      </c>
      <c r="I335" s="131"/>
      <c r="J335" s="131"/>
      <c r="K335" s="131">
        <f t="shared" si="89"/>
        <v>0</v>
      </c>
      <c r="L335" s="131">
        <f t="shared" si="89"/>
        <v>0</v>
      </c>
      <c r="M335" s="131"/>
      <c r="P335" s="131">
        <f t="shared" ref="P335:R335" si="90">SUM(P328:P334)</f>
        <v>0</v>
      </c>
      <c r="Q335" s="131">
        <f t="shared" si="90"/>
        <v>0</v>
      </c>
      <c r="R335" s="131">
        <f t="shared" si="90"/>
        <v>0</v>
      </c>
      <c r="S335" s="142"/>
      <c r="T335" s="142"/>
    </row>
    <row r="336" spans="1:20" ht="13.2" hidden="1" customHeight="1">
      <c r="A336" s="141"/>
      <c r="B336" s="144"/>
      <c r="C336" s="144"/>
      <c r="D336" s="144"/>
      <c r="E336" s="144"/>
      <c r="F336" s="144"/>
      <c r="G336" s="144"/>
      <c r="H336" s="144"/>
      <c r="I336" s="144"/>
      <c r="J336" s="144"/>
      <c r="K336" s="144"/>
      <c r="L336" s="144"/>
      <c r="M336" s="144"/>
      <c r="P336" s="144"/>
      <c r="Q336" s="144"/>
      <c r="R336" s="144"/>
      <c r="S336" s="142"/>
      <c r="T336" s="142"/>
    </row>
    <row r="337" spans="1:20" ht="14.4" hidden="1" customHeight="1">
      <c r="A337" s="130" t="s">
        <v>186</v>
      </c>
      <c r="B337" s="144"/>
      <c r="C337" s="145"/>
      <c r="D337" s="145"/>
      <c r="E337" s="145"/>
      <c r="F337" s="145"/>
      <c r="G337" s="145"/>
      <c r="H337" s="145"/>
      <c r="I337" s="145"/>
      <c r="J337" s="145"/>
      <c r="K337" s="145"/>
      <c r="L337" s="145"/>
      <c r="M337" s="145"/>
      <c r="P337" s="145"/>
      <c r="Q337" s="145"/>
      <c r="R337" s="145"/>
      <c r="S337" s="143"/>
      <c r="T337" s="143"/>
    </row>
    <row r="338" spans="1:20" ht="14.4" hidden="1" customHeight="1">
      <c r="A338" s="135" t="s">
        <v>138</v>
      </c>
      <c r="B338" s="138"/>
      <c r="C338" s="133">
        <v>25533</v>
      </c>
      <c r="D338" s="133"/>
      <c r="E338" s="133"/>
      <c r="F338" s="133"/>
      <c r="G338" s="133"/>
      <c r="H338" s="133"/>
      <c r="I338" s="133"/>
      <c r="J338" s="133"/>
      <c r="K338" s="133"/>
      <c r="L338" s="133"/>
      <c r="M338" s="133"/>
      <c r="P338" s="133"/>
      <c r="Q338" s="133"/>
      <c r="R338" s="133"/>
      <c r="S338" s="134"/>
      <c r="T338" s="134"/>
    </row>
    <row r="339" spans="1:20" ht="14.4" hidden="1" customHeight="1">
      <c r="A339" s="135" t="s">
        <v>26</v>
      </c>
      <c r="B339" s="136"/>
      <c r="C339" s="137"/>
      <c r="D339" s="137">
        <v>148425</v>
      </c>
      <c r="E339" s="137">
        <v>13680</v>
      </c>
      <c r="F339" s="137">
        <v>853</v>
      </c>
      <c r="G339" s="137"/>
      <c r="H339" s="137"/>
      <c r="I339" s="137"/>
      <c r="J339" s="137"/>
      <c r="K339" s="137"/>
      <c r="L339" s="137"/>
      <c r="M339" s="137"/>
      <c r="P339" s="137"/>
      <c r="Q339" s="137"/>
      <c r="R339" s="137"/>
      <c r="S339" s="134"/>
      <c r="T339" s="134"/>
    </row>
    <row r="340" spans="1:20" ht="27" hidden="1" customHeight="1">
      <c r="A340" s="135" t="s">
        <v>27</v>
      </c>
      <c r="B340" s="138"/>
      <c r="C340" s="133"/>
      <c r="D340" s="133">
        <v>93024</v>
      </c>
      <c r="E340" s="133">
        <v>21215</v>
      </c>
      <c r="F340" s="133">
        <v>366</v>
      </c>
      <c r="G340" s="133"/>
      <c r="H340" s="133"/>
      <c r="I340" s="133"/>
      <c r="J340" s="133"/>
      <c r="K340" s="133"/>
      <c r="L340" s="133"/>
      <c r="M340" s="133"/>
      <c r="P340" s="133"/>
      <c r="Q340" s="133"/>
      <c r="R340" s="133"/>
      <c r="S340" s="134"/>
      <c r="T340" s="134"/>
    </row>
    <row r="341" spans="1:20" ht="14.4" hidden="1" customHeight="1">
      <c r="A341" s="135" t="s">
        <v>28</v>
      </c>
      <c r="B341" s="139"/>
      <c r="C341" s="140"/>
      <c r="D341" s="140">
        <v>31938</v>
      </c>
      <c r="E341" s="140">
        <v>1149</v>
      </c>
      <c r="F341" s="140"/>
      <c r="G341" s="140"/>
      <c r="H341" s="140"/>
      <c r="I341" s="140"/>
      <c r="J341" s="140"/>
      <c r="K341" s="140"/>
      <c r="L341" s="140"/>
      <c r="M341" s="140"/>
      <c r="P341" s="140"/>
      <c r="Q341" s="140"/>
      <c r="R341" s="140"/>
      <c r="S341" s="134"/>
      <c r="T341" s="134"/>
    </row>
    <row r="342" spans="1:20" ht="27" hidden="1" customHeight="1">
      <c r="A342" s="135" t="s">
        <v>29</v>
      </c>
      <c r="B342" s="139"/>
      <c r="C342" s="140"/>
      <c r="D342" s="140">
        <v>23913</v>
      </c>
      <c r="E342" s="140">
        <v>6861</v>
      </c>
      <c r="F342" s="140"/>
      <c r="G342" s="140"/>
      <c r="H342" s="140"/>
      <c r="I342" s="140"/>
      <c r="J342" s="140"/>
      <c r="K342" s="140"/>
      <c r="L342" s="140"/>
      <c r="M342" s="140"/>
      <c r="P342" s="140"/>
      <c r="Q342" s="140"/>
      <c r="R342" s="140"/>
      <c r="S342" s="134"/>
      <c r="T342" s="134"/>
    </row>
    <row r="343" spans="1:20" ht="14.4" hidden="1" customHeight="1">
      <c r="A343" s="135" t="s">
        <v>30</v>
      </c>
      <c r="B343" s="139"/>
      <c r="C343" s="140"/>
      <c r="D343" s="140">
        <v>19235</v>
      </c>
      <c r="E343" s="140">
        <v>515</v>
      </c>
      <c r="F343" s="140">
        <v>487</v>
      </c>
      <c r="G343" s="140"/>
      <c r="H343" s="140"/>
      <c r="I343" s="140"/>
      <c r="J343" s="140"/>
      <c r="K343" s="140"/>
      <c r="L343" s="140"/>
      <c r="M343" s="140"/>
      <c r="P343" s="140"/>
      <c r="Q343" s="140"/>
      <c r="R343" s="140"/>
      <c r="S343" s="134"/>
      <c r="T343" s="134"/>
    </row>
    <row r="344" spans="1:20" ht="14.4" hidden="1" customHeight="1">
      <c r="A344" s="135" t="s">
        <v>129</v>
      </c>
      <c r="B344" s="139"/>
      <c r="C344" s="140"/>
      <c r="D344" s="140">
        <v>23050</v>
      </c>
      <c r="E344" s="140">
        <v>250</v>
      </c>
      <c r="F344" s="140">
        <v>731</v>
      </c>
      <c r="G344" s="140"/>
      <c r="H344" s="140"/>
      <c r="I344" s="140"/>
      <c r="J344" s="140"/>
      <c r="K344" s="140"/>
      <c r="L344" s="140"/>
      <c r="M344" s="140"/>
      <c r="P344" s="140"/>
      <c r="Q344" s="140"/>
      <c r="R344" s="140"/>
      <c r="S344" s="134"/>
      <c r="T344" s="134"/>
    </row>
    <row r="345" spans="1:20" ht="14.4" hidden="1" customHeight="1">
      <c r="A345" s="135" t="s">
        <v>32</v>
      </c>
      <c r="B345" s="139"/>
      <c r="C345" s="140"/>
      <c r="D345" s="140"/>
      <c r="E345" s="140"/>
      <c r="F345" s="140"/>
      <c r="G345" s="140"/>
      <c r="H345" s="140"/>
      <c r="I345" s="140"/>
      <c r="J345" s="140"/>
      <c r="K345" s="140"/>
      <c r="L345" s="140"/>
      <c r="M345" s="140"/>
      <c r="P345" s="140"/>
      <c r="Q345" s="140"/>
      <c r="R345" s="140"/>
      <c r="S345" s="134"/>
      <c r="T345" s="134"/>
    </row>
    <row r="346" spans="1:20" ht="13.2" hidden="1" customHeight="1">
      <c r="A346" s="141" t="s">
        <v>130</v>
      </c>
      <c r="B346" s="131">
        <f t="shared" ref="B346:L346" si="91">SUM(B339:B345)</f>
        <v>0</v>
      </c>
      <c r="C346" s="131">
        <f>SUM(C338:C345)</f>
        <v>25533</v>
      </c>
      <c r="D346" s="131">
        <f t="shared" si="91"/>
        <v>339585</v>
      </c>
      <c r="E346" s="131">
        <f t="shared" si="91"/>
        <v>43670</v>
      </c>
      <c r="F346" s="131">
        <f t="shared" si="91"/>
        <v>2437</v>
      </c>
      <c r="G346" s="131">
        <f t="shared" si="91"/>
        <v>0</v>
      </c>
      <c r="H346" s="131">
        <f>SUM(H339:H345)</f>
        <v>0</v>
      </c>
      <c r="I346" s="131"/>
      <c r="J346" s="131"/>
      <c r="K346" s="131">
        <f t="shared" si="91"/>
        <v>0</v>
      </c>
      <c r="L346" s="131">
        <f t="shared" si="91"/>
        <v>0</v>
      </c>
      <c r="M346" s="131"/>
      <c r="P346" s="131">
        <f t="shared" ref="P346:R346" si="92">SUM(P339:P345)</f>
        <v>0</v>
      </c>
      <c r="Q346" s="131">
        <f t="shared" si="92"/>
        <v>0</v>
      </c>
      <c r="R346" s="131">
        <f t="shared" si="92"/>
        <v>0</v>
      </c>
      <c r="S346" s="142"/>
      <c r="T346" s="142"/>
    </row>
    <row r="347" spans="1:20" ht="13.2" hidden="1" customHeight="1">
      <c r="A347" s="141"/>
      <c r="B347" s="144"/>
      <c r="C347" s="144"/>
      <c r="D347" s="144"/>
      <c r="E347" s="144"/>
      <c r="F347" s="144"/>
      <c r="G347" s="144"/>
      <c r="H347" s="144"/>
      <c r="I347" s="144"/>
      <c r="J347" s="144"/>
      <c r="K347" s="144"/>
      <c r="L347" s="144"/>
      <c r="M347" s="144"/>
      <c r="P347" s="144"/>
      <c r="Q347" s="144"/>
      <c r="R347" s="144"/>
      <c r="S347" s="142"/>
      <c r="T347" s="142"/>
    </row>
    <row r="348" spans="1:20" ht="27" hidden="1" customHeight="1">
      <c r="A348" s="130" t="s">
        <v>187</v>
      </c>
      <c r="B348" s="144"/>
      <c r="C348" s="145"/>
      <c r="D348" s="145"/>
      <c r="E348" s="145"/>
      <c r="F348" s="145"/>
      <c r="G348" s="145"/>
      <c r="H348" s="145"/>
      <c r="I348" s="145"/>
      <c r="J348" s="145"/>
      <c r="K348" s="145"/>
      <c r="L348" s="145"/>
      <c r="M348" s="145"/>
      <c r="P348" s="145"/>
      <c r="Q348" s="145"/>
      <c r="R348" s="145"/>
      <c r="S348" s="143"/>
      <c r="T348" s="143"/>
    </row>
    <row r="349" spans="1:20" ht="14.4" hidden="1" customHeight="1">
      <c r="A349" s="135" t="s">
        <v>138</v>
      </c>
      <c r="B349" s="138">
        <v>65805</v>
      </c>
      <c r="C349" s="133">
        <v>3273</v>
      </c>
      <c r="D349" s="133"/>
      <c r="E349" s="133"/>
      <c r="F349" s="133"/>
      <c r="G349" s="133"/>
      <c r="H349" s="133"/>
      <c r="I349" s="133"/>
      <c r="J349" s="133"/>
      <c r="K349" s="133"/>
      <c r="L349" s="133"/>
      <c r="M349" s="133"/>
      <c r="P349" s="133"/>
      <c r="Q349" s="133"/>
      <c r="R349" s="133"/>
      <c r="S349" s="134"/>
      <c r="T349" s="134"/>
    </row>
    <row r="350" spans="1:20" ht="14.4" hidden="1" customHeight="1">
      <c r="A350" s="135" t="s">
        <v>26</v>
      </c>
      <c r="B350" s="136"/>
      <c r="C350" s="137"/>
      <c r="D350" s="137"/>
      <c r="E350" s="137">
        <v>2080</v>
      </c>
      <c r="F350" s="137"/>
      <c r="G350" s="137"/>
      <c r="H350" s="137"/>
      <c r="I350" s="137"/>
      <c r="J350" s="137"/>
      <c r="K350" s="137"/>
      <c r="L350" s="137"/>
      <c r="M350" s="137"/>
      <c r="P350" s="137"/>
      <c r="Q350" s="137"/>
      <c r="R350" s="137"/>
      <c r="S350" s="134"/>
      <c r="T350" s="134"/>
    </row>
    <row r="351" spans="1:20" ht="27" hidden="1" customHeight="1">
      <c r="A351" s="135" t="s">
        <v>27</v>
      </c>
      <c r="B351" s="138"/>
      <c r="C351" s="133"/>
      <c r="D351" s="133"/>
      <c r="E351" s="133">
        <v>2734</v>
      </c>
      <c r="F351" s="133"/>
      <c r="G351" s="133"/>
      <c r="H351" s="133"/>
      <c r="I351" s="133"/>
      <c r="J351" s="133"/>
      <c r="K351" s="133"/>
      <c r="L351" s="133"/>
      <c r="M351" s="133"/>
      <c r="P351" s="133"/>
      <c r="Q351" s="133"/>
      <c r="R351" s="133"/>
      <c r="S351" s="134"/>
      <c r="T351" s="134"/>
    </row>
    <row r="352" spans="1:20" ht="14.4" hidden="1" customHeight="1">
      <c r="A352" s="135" t="s">
        <v>28</v>
      </c>
      <c r="B352" s="139"/>
      <c r="C352" s="140"/>
      <c r="D352" s="140"/>
      <c r="E352" s="140">
        <v>371</v>
      </c>
      <c r="F352" s="140"/>
      <c r="G352" s="140"/>
      <c r="H352" s="140"/>
      <c r="I352" s="140"/>
      <c r="J352" s="140"/>
      <c r="K352" s="140"/>
      <c r="L352" s="140"/>
      <c r="M352" s="140"/>
      <c r="P352" s="140"/>
      <c r="Q352" s="140"/>
      <c r="R352" s="140"/>
      <c r="S352" s="134"/>
      <c r="T352" s="134"/>
    </row>
    <row r="353" spans="1:20" ht="27" hidden="1" customHeight="1">
      <c r="A353" s="135" t="s">
        <v>29</v>
      </c>
      <c r="B353" s="139"/>
      <c r="C353" s="140"/>
      <c r="D353" s="140"/>
      <c r="E353" s="140">
        <v>1581</v>
      </c>
      <c r="F353" s="140"/>
      <c r="G353" s="140"/>
      <c r="H353" s="140"/>
      <c r="I353" s="140"/>
      <c r="J353" s="140"/>
      <c r="K353" s="140"/>
      <c r="L353" s="140"/>
      <c r="M353" s="140"/>
      <c r="P353" s="140"/>
      <c r="Q353" s="140"/>
      <c r="R353" s="140"/>
      <c r="S353" s="134"/>
      <c r="T353" s="134"/>
    </row>
    <row r="354" spans="1:20" ht="14.4" hidden="1" customHeight="1">
      <c r="A354" s="135" t="s">
        <v>30</v>
      </c>
      <c r="B354" s="139"/>
      <c r="C354" s="140"/>
      <c r="D354" s="140"/>
      <c r="E354" s="140">
        <v>33749</v>
      </c>
      <c r="F354" s="140"/>
      <c r="G354" s="140"/>
      <c r="H354" s="140"/>
      <c r="I354" s="140"/>
      <c r="J354" s="140"/>
      <c r="K354" s="140"/>
      <c r="L354" s="140"/>
      <c r="M354" s="140"/>
      <c r="P354" s="140"/>
      <c r="Q354" s="140"/>
      <c r="R354" s="140"/>
      <c r="S354" s="134"/>
      <c r="T354" s="134"/>
    </row>
    <row r="355" spans="1:20" ht="14.4" hidden="1" customHeight="1">
      <c r="A355" s="135" t="s">
        <v>129</v>
      </c>
      <c r="B355" s="139"/>
      <c r="C355" s="140"/>
      <c r="D355" s="140"/>
      <c r="E355" s="140">
        <v>1092</v>
      </c>
      <c r="F355" s="140"/>
      <c r="G355" s="140"/>
      <c r="H355" s="140"/>
      <c r="I355" s="140"/>
      <c r="J355" s="140"/>
      <c r="K355" s="140"/>
      <c r="L355" s="140"/>
      <c r="M355" s="140"/>
      <c r="P355" s="140"/>
      <c r="Q355" s="140"/>
      <c r="R355" s="140"/>
      <c r="S355" s="134"/>
      <c r="T355" s="134"/>
    </row>
    <row r="356" spans="1:20" ht="14.4" hidden="1" customHeight="1">
      <c r="A356" s="135" t="s">
        <v>32</v>
      </c>
      <c r="B356" s="139"/>
      <c r="C356" s="140"/>
      <c r="D356" s="140"/>
      <c r="E356" s="140">
        <v>364</v>
      </c>
      <c r="F356" s="140"/>
      <c r="G356" s="140"/>
      <c r="H356" s="140"/>
      <c r="I356" s="140"/>
      <c r="J356" s="140"/>
      <c r="K356" s="140"/>
      <c r="L356" s="140"/>
      <c r="M356" s="140"/>
      <c r="P356" s="140"/>
      <c r="Q356" s="140"/>
      <c r="R356" s="140"/>
      <c r="S356" s="134"/>
      <c r="T356" s="134"/>
    </row>
    <row r="357" spans="1:20" ht="13.2" hidden="1" customHeight="1">
      <c r="A357" s="141" t="s">
        <v>130</v>
      </c>
      <c r="B357" s="131">
        <f>SUM(B349:B356)</f>
        <v>65805</v>
      </c>
      <c r="C357" s="131">
        <f>SUM(C349:C356)</f>
        <v>3273</v>
      </c>
      <c r="D357" s="131">
        <f t="shared" ref="D357:L357" si="93">SUM(D350:D356)</f>
        <v>0</v>
      </c>
      <c r="E357" s="131">
        <f t="shared" si="93"/>
        <v>41971</v>
      </c>
      <c r="F357" s="131">
        <f t="shared" si="93"/>
        <v>0</v>
      </c>
      <c r="G357" s="131">
        <f t="shared" si="93"/>
        <v>0</v>
      </c>
      <c r="H357" s="131">
        <f>SUM(H350:H356)</f>
        <v>0</v>
      </c>
      <c r="I357" s="131"/>
      <c r="J357" s="131"/>
      <c r="K357" s="131">
        <f t="shared" si="93"/>
        <v>0</v>
      </c>
      <c r="L357" s="131">
        <f t="shared" si="93"/>
        <v>0</v>
      </c>
      <c r="M357" s="131"/>
      <c r="P357" s="131">
        <f t="shared" ref="P357:R357" si="94">SUM(P350:P356)</f>
        <v>0</v>
      </c>
      <c r="Q357" s="131">
        <f t="shared" si="94"/>
        <v>0</v>
      </c>
      <c r="R357" s="131">
        <f t="shared" si="94"/>
        <v>0</v>
      </c>
      <c r="S357" s="142"/>
      <c r="T357" s="142"/>
    </row>
    <row r="358" spans="1:20" ht="13.2" hidden="1" customHeight="1">
      <c r="A358" s="141"/>
      <c r="B358" s="144"/>
      <c r="C358" s="144"/>
      <c r="D358" s="144"/>
      <c r="E358" s="144"/>
      <c r="F358" s="144"/>
      <c r="G358" s="144"/>
      <c r="H358" s="144"/>
      <c r="I358" s="144"/>
      <c r="J358" s="144"/>
      <c r="K358" s="144"/>
      <c r="L358" s="144"/>
      <c r="M358" s="144"/>
      <c r="P358" s="144"/>
      <c r="Q358" s="144"/>
      <c r="R358" s="144"/>
      <c r="S358" s="142"/>
      <c r="T358" s="142"/>
    </row>
    <row r="359" spans="1:20" ht="14.4" hidden="1" customHeight="1">
      <c r="A359" s="130" t="s">
        <v>188</v>
      </c>
      <c r="B359" s="144"/>
      <c r="C359" s="145"/>
      <c r="D359" s="145"/>
      <c r="E359" s="145"/>
      <c r="F359" s="145"/>
      <c r="G359" s="145"/>
      <c r="H359" s="145"/>
      <c r="I359" s="145"/>
      <c r="J359" s="145"/>
      <c r="K359" s="145"/>
      <c r="L359" s="145"/>
      <c r="M359" s="145"/>
      <c r="P359" s="145"/>
      <c r="Q359" s="145"/>
      <c r="R359" s="145"/>
      <c r="S359" s="143"/>
      <c r="T359" s="143"/>
    </row>
    <row r="360" spans="1:20" ht="14.4" hidden="1" customHeight="1">
      <c r="A360" s="135" t="s">
        <v>26</v>
      </c>
      <c r="B360" s="136"/>
      <c r="C360" s="137"/>
      <c r="D360" s="137"/>
      <c r="E360" s="137"/>
      <c r="F360" s="137"/>
      <c r="G360" s="137"/>
      <c r="H360" s="137"/>
      <c r="I360" s="137"/>
      <c r="J360" s="137"/>
      <c r="K360" s="137"/>
      <c r="L360" s="137"/>
      <c r="M360" s="137"/>
      <c r="P360" s="137"/>
      <c r="Q360" s="137"/>
      <c r="R360" s="137"/>
      <c r="S360" s="134"/>
      <c r="T360" s="134"/>
    </row>
    <row r="361" spans="1:20" ht="27" hidden="1" customHeight="1">
      <c r="A361" s="135" t="s">
        <v>27</v>
      </c>
      <c r="B361" s="138"/>
      <c r="C361" s="133"/>
      <c r="D361" s="133"/>
      <c r="E361" s="133">
        <v>2312</v>
      </c>
      <c r="F361" s="133"/>
      <c r="G361" s="133"/>
      <c r="H361" s="133"/>
      <c r="I361" s="133"/>
      <c r="J361" s="133"/>
      <c r="K361" s="133"/>
      <c r="L361" s="133"/>
      <c r="M361" s="133"/>
      <c r="P361" s="133"/>
      <c r="Q361" s="133"/>
      <c r="R361" s="133"/>
      <c r="S361" s="134"/>
      <c r="T361" s="134"/>
    </row>
    <row r="362" spans="1:20" ht="14.4" hidden="1" customHeight="1">
      <c r="A362" s="135" t="s">
        <v>28</v>
      </c>
      <c r="B362" s="139"/>
      <c r="C362" s="140"/>
      <c r="D362" s="140"/>
      <c r="E362" s="140">
        <v>460</v>
      </c>
      <c r="F362" s="140"/>
      <c r="G362" s="140"/>
      <c r="H362" s="140"/>
      <c r="I362" s="140"/>
      <c r="J362" s="140"/>
      <c r="K362" s="140"/>
      <c r="L362" s="140"/>
      <c r="M362" s="140"/>
      <c r="P362" s="140"/>
      <c r="Q362" s="140"/>
      <c r="R362" s="140"/>
      <c r="S362" s="134"/>
      <c r="T362" s="134"/>
    </row>
    <row r="363" spans="1:20" ht="27" hidden="1" customHeight="1">
      <c r="A363" s="135" t="s">
        <v>29</v>
      </c>
      <c r="B363" s="139"/>
      <c r="C363" s="140"/>
      <c r="D363" s="140"/>
      <c r="E363" s="140">
        <v>884</v>
      </c>
      <c r="F363" s="140"/>
      <c r="G363" s="140"/>
      <c r="H363" s="140"/>
      <c r="I363" s="140"/>
      <c r="J363" s="140"/>
      <c r="K363" s="140"/>
      <c r="L363" s="140"/>
      <c r="M363" s="140"/>
      <c r="P363" s="140"/>
      <c r="Q363" s="140"/>
      <c r="R363" s="140"/>
      <c r="S363" s="134"/>
      <c r="T363" s="134"/>
    </row>
    <row r="364" spans="1:20" ht="14.4" hidden="1" customHeight="1">
      <c r="A364" s="135" t="s">
        <v>30</v>
      </c>
      <c r="B364" s="139"/>
      <c r="C364" s="140"/>
      <c r="D364" s="140"/>
      <c r="E364" s="140">
        <v>13873</v>
      </c>
      <c r="F364" s="140"/>
      <c r="G364" s="140"/>
      <c r="H364" s="140"/>
      <c r="I364" s="140"/>
      <c r="J364" s="140"/>
      <c r="K364" s="140"/>
      <c r="L364" s="140"/>
      <c r="M364" s="140"/>
      <c r="P364" s="140"/>
      <c r="Q364" s="140"/>
      <c r="R364" s="140"/>
      <c r="S364" s="134"/>
      <c r="T364" s="134"/>
    </row>
    <row r="365" spans="1:20" ht="14.4" hidden="1" customHeight="1">
      <c r="A365" s="135" t="s">
        <v>129</v>
      </c>
      <c r="B365" s="139"/>
      <c r="C365" s="140"/>
      <c r="D365" s="140"/>
      <c r="E365" s="140"/>
      <c r="F365" s="140"/>
      <c r="G365" s="140"/>
      <c r="H365" s="140"/>
      <c r="I365" s="140"/>
      <c r="J365" s="140"/>
      <c r="K365" s="140"/>
      <c r="L365" s="140"/>
      <c r="M365" s="140"/>
      <c r="P365" s="140"/>
      <c r="Q365" s="140"/>
      <c r="R365" s="140"/>
      <c r="S365" s="134"/>
      <c r="T365" s="134"/>
    </row>
    <row r="366" spans="1:20" ht="14.4" hidden="1" customHeight="1">
      <c r="A366" s="135" t="s">
        <v>32</v>
      </c>
      <c r="B366" s="139"/>
      <c r="C366" s="140"/>
      <c r="D366" s="140"/>
      <c r="E366" s="140"/>
      <c r="F366" s="140"/>
      <c r="G366" s="140"/>
      <c r="H366" s="140"/>
      <c r="I366" s="140"/>
      <c r="J366" s="140"/>
      <c r="K366" s="140"/>
      <c r="L366" s="140"/>
      <c r="M366" s="140"/>
      <c r="P366" s="140"/>
      <c r="Q366" s="140"/>
      <c r="R366" s="140"/>
      <c r="S366" s="134"/>
      <c r="T366" s="134"/>
    </row>
    <row r="367" spans="1:20" ht="13.2" hidden="1" customHeight="1">
      <c r="A367" s="141" t="s">
        <v>130</v>
      </c>
      <c r="B367" s="131">
        <f t="shared" ref="B367:L367" si="95">SUM(B360:B366)</f>
        <v>0</v>
      </c>
      <c r="C367" s="131">
        <f t="shared" si="95"/>
        <v>0</v>
      </c>
      <c r="D367" s="131">
        <f t="shared" si="95"/>
        <v>0</v>
      </c>
      <c r="E367" s="131">
        <f t="shared" si="95"/>
        <v>17529</v>
      </c>
      <c r="F367" s="131">
        <f t="shared" si="95"/>
        <v>0</v>
      </c>
      <c r="G367" s="131">
        <f t="shared" si="95"/>
        <v>0</v>
      </c>
      <c r="H367" s="131">
        <f>SUM(H360:H366)</f>
        <v>0</v>
      </c>
      <c r="I367" s="131"/>
      <c r="J367" s="131"/>
      <c r="K367" s="131">
        <f t="shared" si="95"/>
        <v>0</v>
      </c>
      <c r="L367" s="131">
        <f t="shared" si="95"/>
        <v>0</v>
      </c>
      <c r="M367" s="131"/>
      <c r="P367" s="131">
        <f t="shared" ref="P367:R367" si="96">SUM(P360:P366)</f>
        <v>0</v>
      </c>
      <c r="Q367" s="131">
        <f t="shared" si="96"/>
        <v>0</v>
      </c>
      <c r="R367" s="131">
        <f t="shared" si="96"/>
        <v>0</v>
      </c>
      <c r="S367" s="142"/>
      <c r="T367" s="142"/>
    </row>
    <row r="368" spans="1:20" ht="13.2" hidden="1" customHeight="1">
      <c r="A368" s="141"/>
      <c r="B368" s="144"/>
      <c r="C368" s="144"/>
      <c r="D368" s="144"/>
      <c r="E368" s="144"/>
      <c r="F368" s="144"/>
      <c r="G368" s="144"/>
      <c r="H368" s="144"/>
      <c r="I368" s="144"/>
      <c r="J368" s="144"/>
      <c r="K368" s="144"/>
      <c r="L368" s="144"/>
      <c r="M368" s="144"/>
      <c r="P368" s="144"/>
      <c r="Q368" s="144"/>
      <c r="R368" s="144"/>
      <c r="S368" s="142"/>
      <c r="T368" s="142"/>
    </row>
    <row r="369" spans="1:20" ht="27" hidden="1" customHeight="1">
      <c r="A369" s="130" t="s">
        <v>189</v>
      </c>
      <c r="B369" s="144"/>
      <c r="C369" s="145"/>
      <c r="D369" s="145"/>
      <c r="E369" s="145"/>
      <c r="F369" s="145"/>
      <c r="G369" s="145"/>
      <c r="H369" s="145"/>
      <c r="I369" s="145"/>
      <c r="J369" s="145"/>
      <c r="K369" s="145"/>
      <c r="L369" s="145"/>
      <c r="M369" s="145"/>
      <c r="P369" s="145"/>
      <c r="Q369" s="145"/>
      <c r="R369" s="145"/>
      <c r="S369" s="143"/>
      <c r="T369" s="143"/>
    </row>
    <row r="370" spans="1:20" ht="14.4" hidden="1" customHeight="1">
      <c r="A370" s="135" t="s">
        <v>26</v>
      </c>
      <c r="B370" s="136"/>
      <c r="C370" s="137"/>
      <c r="D370" s="137"/>
      <c r="E370" s="137"/>
      <c r="F370" s="137"/>
      <c r="G370" s="137"/>
      <c r="H370" s="137"/>
      <c r="I370" s="137"/>
      <c r="J370" s="137"/>
      <c r="K370" s="137"/>
      <c r="L370" s="137"/>
      <c r="M370" s="137"/>
      <c r="P370" s="137"/>
      <c r="Q370" s="137"/>
      <c r="R370" s="137"/>
      <c r="S370" s="134"/>
      <c r="T370" s="134"/>
    </row>
    <row r="371" spans="1:20" ht="27" hidden="1" customHeight="1">
      <c r="A371" s="135" t="s">
        <v>27</v>
      </c>
      <c r="B371" s="138"/>
      <c r="C371" s="133"/>
      <c r="D371" s="133"/>
      <c r="E371" s="133">
        <v>1232</v>
      </c>
      <c r="F371" s="133"/>
      <c r="G371" s="133"/>
      <c r="H371" s="133"/>
      <c r="I371" s="133"/>
      <c r="J371" s="133"/>
      <c r="K371" s="133"/>
      <c r="L371" s="133"/>
      <c r="M371" s="133"/>
      <c r="P371" s="133"/>
      <c r="Q371" s="133"/>
      <c r="R371" s="133"/>
      <c r="S371" s="134"/>
      <c r="T371" s="134"/>
    </row>
    <row r="372" spans="1:20" ht="14.4" hidden="1" customHeight="1">
      <c r="A372" s="135" t="s">
        <v>28</v>
      </c>
      <c r="B372" s="139"/>
      <c r="C372" s="140"/>
      <c r="D372" s="140"/>
      <c r="E372" s="140">
        <v>246</v>
      </c>
      <c r="F372" s="140"/>
      <c r="G372" s="140"/>
      <c r="H372" s="140"/>
      <c r="I372" s="140"/>
      <c r="J372" s="140"/>
      <c r="K372" s="140"/>
      <c r="L372" s="140"/>
      <c r="M372" s="140"/>
      <c r="P372" s="140"/>
      <c r="Q372" s="140"/>
      <c r="R372" s="140"/>
      <c r="S372" s="134"/>
      <c r="T372" s="134"/>
    </row>
    <row r="373" spans="1:20" ht="27" hidden="1" customHeight="1">
      <c r="A373" s="135" t="s">
        <v>29</v>
      </c>
      <c r="B373" s="139"/>
      <c r="C373" s="140"/>
      <c r="D373" s="140"/>
      <c r="E373" s="140">
        <v>13230</v>
      </c>
      <c r="F373" s="140"/>
      <c r="G373" s="140"/>
      <c r="H373" s="140"/>
      <c r="I373" s="140"/>
      <c r="J373" s="140"/>
      <c r="K373" s="140"/>
      <c r="L373" s="140"/>
      <c r="M373" s="140"/>
      <c r="P373" s="140"/>
      <c r="Q373" s="140"/>
      <c r="R373" s="140"/>
      <c r="S373" s="134"/>
      <c r="T373" s="134"/>
    </row>
    <row r="374" spans="1:20" ht="14.4" hidden="1" customHeight="1">
      <c r="A374" s="135" t="s">
        <v>30</v>
      </c>
      <c r="B374" s="139"/>
      <c r="C374" s="140"/>
      <c r="D374" s="140"/>
      <c r="E374" s="140">
        <v>8331</v>
      </c>
      <c r="F374" s="140"/>
      <c r="G374" s="140"/>
      <c r="H374" s="140"/>
      <c r="I374" s="140"/>
      <c r="J374" s="140"/>
      <c r="K374" s="140"/>
      <c r="L374" s="140"/>
      <c r="M374" s="140"/>
      <c r="P374" s="140"/>
      <c r="Q374" s="140"/>
      <c r="R374" s="140"/>
      <c r="S374" s="134"/>
      <c r="T374" s="134"/>
    </row>
    <row r="375" spans="1:20" ht="14.4" hidden="1" customHeight="1">
      <c r="A375" s="135" t="s">
        <v>129</v>
      </c>
      <c r="B375" s="139"/>
      <c r="C375" s="140"/>
      <c r="D375" s="140"/>
      <c r="E375" s="140">
        <v>1142</v>
      </c>
      <c r="F375" s="140"/>
      <c r="G375" s="140"/>
      <c r="H375" s="140"/>
      <c r="I375" s="140"/>
      <c r="J375" s="140"/>
      <c r="K375" s="140"/>
      <c r="L375" s="140"/>
      <c r="M375" s="140"/>
      <c r="P375" s="140"/>
      <c r="Q375" s="140"/>
      <c r="R375" s="140"/>
      <c r="S375" s="134"/>
      <c r="T375" s="134"/>
    </row>
    <row r="376" spans="1:20" ht="14.4" hidden="1" customHeight="1">
      <c r="A376" s="135" t="s">
        <v>32</v>
      </c>
      <c r="B376" s="139"/>
      <c r="C376" s="140"/>
      <c r="D376" s="140"/>
      <c r="E376" s="140"/>
      <c r="F376" s="140"/>
      <c r="G376" s="140"/>
      <c r="H376" s="140"/>
      <c r="I376" s="140"/>
      <c r="J376" s="140"/>
      <c r="K376" s="140"/>
      <c r="L376" s="140"/>
      <c r="M376" s="140"/>
      <c r="P376" s="140"/>
      <c r="Q376" s="140"/>
      <c r="R376" s="140"/>
      <c r="S376" s="134"/>
      <c r="T376" s="134"/>
    </row>
    <row r="377" spans="1:20" ht="13.2" hidden="1" customHeight="1">
      <c r="A377" s="141" t="s">
        <v>130</v>
      </c>
      <c r="B377" s="131">
        <f t="shared" ref="B377:L377" si="97">SUM(B370:B376)</f>
        <v>0</v>
      </c>
      <c r="C377" s="131">
        <f t="shared" si="97"/>
        <v>0</v>
      </c>
      <c r="D377" s="131">
        <f t="shared" si="97"/>
        <v>0</v>
      </c>
      <c r="E377" s="131">
        <f t="shared" si="97"/>
        <v>24181</v>
      </c>
      <c r="F377" s="131">
        <f t="shared" si="97"/>
        <v>0</v>
      </c>
      <c r="G377" s="131">
        <f t="shared" si="97"/>
        <v>0</v>
      </c>
      <c r="H377" s="131">
        <f>SUM(H370:H376)</f>
        <v>0</v>
      </c>
      <c r="I377" s="131"/>
      <c r="J377" s="131"/>
      <c r="K377" s="131">
        <f t="shared" si="97"/>
        <v>0</v>
      </c>
      <c r="L377" s="131">
        <f t="shared" si="97"/>
        <v>0</v>
      </c>
      <c r="M377" s="131"/>
      <c r="P377" s="131">
        <f t="shared" ref="P377:R377" si="98">SUM(P370:P376)</f>
        <v>0</v>
      </c>
      <c r="Q377" s="131">
        <f t="shared" si="98"/>
        <v>0</v>
      </c>
      <c r="R377" s="131">
        <f t="shared" si="98"/>
        <v>0</v>
      </c>
      <c r="S377" s="142"/>
      <c r="T377" s="142"/>
    </row>
    <row r="378" spans="1:20" ht="13.2" hidden="1" customHeight="1">
      <c r="A378" s="141"/>
      <c r="B378" s="144"/>
      <c r="C378" s="144"/>
      <c r="D378" s="144"/>
      <c r="E378" s="144"/>
      <c r="F378" s="144"/>
      <c r="G378" s="144"/>
      <c r="H378" s="144"/>
      <c r="I378" s="144"/>
      <c r="J378" s="144"/>
      <c r="K378" s="144"/>
      <c r="L378" s="144"/>
      <c r="M378" s="144"/>
      <c r="P378" s="144"/>
      <c r="Q378" s="144"/>
      <c r="R378" s="144"/>
      <c r="S378" s="142"/>
      <c r="T378" s="142"/>
    </row>
    <row r="379" spans="1:20" ht="40.200000000000003" hidden="1" customHeight="1">
      <c r="A379" s="130" t="s">
        <v>190</v>
      </c>
      <c r="B379" s="144"/>
      <c r="C379" s="145"/>
      <c r="D379" s="145"/>
      <c r="E379" s="145"/>
      <c r="F379" s="145"/>
      <c r="G379" s="145"/>
      <c r="H379" s="145"/>
      <c r="I379" s="145"/>
      <c r="J379" s="145"/>
      <c r="K379" s="145"/>
      <c r="L379" s="145"/>
      <c r="M379" s="145"/>
      <c r="P379" s="145"/>
      <c r="Q379" s="145"/>
      <c r="R379" s="145"/>
      <c r="S379" s="143"/>
      <c r="T379" s="143"/>
    </row>
    <row r="380" spans="1:20" ht="14.4" hidden="1" customHeight="1">
      <c r="A380" s="135" t="s">
        <v>26</v>
      </c>
      <c r="B380" s="136"/>
      <c r="C380" s="137"/>
      <c r="D380" s="137"/>
      <c r="E380" s="137">
        <v>45516</v>
      </c>
      <c r="F380" s="137"/>
      <c r="G380" s="137"/>
      <c r="H380" s="137"/>
      <c r="I380" s="137"/>
      <c r="J380" s="137"/>
      <c r="K380" s="137"/>
      <c r="L380" s="137"/>
      <c r="M380" s="137"/>
      <c r="P380" s="137"/>
      <c r="Q380" s="137"/>
      <c r="R380" s="137"/>
      <c r="S380" s="134"/>
      <c r="T380" s="134"/>
    </row>
    <row r="381" spans="1:20" ht="27" hidden="1" customHeight="1">
      <c r="A381" s="135" t="s">
        <v>27</v>
      </c>
      <c r="B381" s="138"/>
      <c r="C381" s="133"/>
      <c r="D381" s="133"/>
      <c r="E381" s="133">
        <v>31590</v>
      </c>
      <c r="F381" s="133"/>
      <c r="G381" s="133"/>
      <c r="H381" s="133"/>
      <c r="I381" s="133"/>
      <c r="J381" s="133"/>
      <c r="K381" s="133"/>
      <c r="L381" s="133"/>
      <c r="M381" s="133"/>
      <c r="P381" s="133"/>
      <c r="Q381" s="133"/>
      <c r="R381" s="133"/>
      <c r="S381" s="134"/>
      <c r="T381" s="134"/>
    </row>
    <row r="382" spans="1:20" ht="14.4" hidden="1" customHeight="1">
      <c r="A382" s="135" t="s">
        <v>28</v>
      </c>
      <c r="B382" s="139"/>
      <c r="C382" s="140"/>
      <c r="D382" s="140"/>
      <c r="E382" s="140">
        <v>727</v>
      </c>
      <c r="F382" s="140"/>
      <c r="G382" s="140"/>
      <c r="H382" s="140"/>
      <c r="I382" s="140"/>
      <c r="J382" s="140"/>
      <c r="K382" s="140"/>
      <c r="L382" s="140"/>
      <c r="M382" s="140"/>
      <c r="P382" s="140"/>
      <c r="Q382" s="140"/>
      <c r="R382" s="140"/>
      <c r="S382" s="134"/>
      <c r="T382" s="134"/>
    </row>
    <row r="383" spans="1:20" ht="27" hidden="1" customHeight="1">
      <c r="A383" s="135" t="s">
        <v>29</v>
      </c>
      <c r="B383" s="139"/>
      <c r="C383" s="140"/>
      <c r="D383" s="140"/>
      <c r="E383" s="140"/>
      <c r="F383" s="140"/>
      <c r="G383" s="140"/>
      <c r="H383" s="140"/>
      <c r="I383" s="140"/>
      <c r="J383" s="140"/>
      <c r="K383" s="140"/>
      <c r="L383" s="140"/>
      <c r="M383" s="140"/>
      <c r="P383" s="140"/>
      <c r="Q383" s="140"/>
      <c r="R383" s="140"/>
      <c r="S383" s="134"/>
      <c r="T383" s="134"/>
    </row>
    <row r="384" spans="1:20" ht="14.4" hidden="1" customHeight="1">
      <c r="A384" s="135" t="s">
        <v>30</v>
      </c>
      <c r="B384" s="139"/>
      <c r="C384" s="140"/>
      <c r="D384" s="140"/>
      <c r="E384" s="140"/>
      <c r="F384" s="140"/>
      <c r="G384" s="140"/>
      <c r="H384" s="140"/>
      <c r="I384" s="140"/>
      <c r="J384" s="140"/>
      <c r="K384" s="140"/>
      <c r="L384" s="140"/>
      <c r="M384" s="140"/>
      <c r="P384" s="140"/>
      <c r="Q384" s="140"/>
      <c r="R384" s="140"/>
      <c r="S384" s="134"/>
      <c r="T384" s="134"/>
    </row>
    <row r="385" spans="1:20" ht="14.4" hidden="1" customHeight="1">
      <c r="A385" s="135" t="s">
        <v>129</v>
      </c>
      <c r="B385" s="139"/>
      <c r="C385" s="140"/>
      <c r="D385" s="140"/>
      <c r="E385" s="140"/>
      <c r="F385" s="140"/>
      <c r="G385" s="140"/>
      <c r="H385" s="140"/>
      <c r="I385" s="140"/>
      <c r="J385" s="140"/>
      <c r="K385" s="140"/>
      <c r="L385" s="140"/>
      <c r="M385" s="140"/>
      <c r="P385" s="140"/>
      <c r="Q385" s="140"/>
      <c r="R385" s="140"/>
      <c r="S385" s="134"/>
      <c r="T385" s="134"/>
    </row>
    <row r="386" spans="1:20" ht="14.4" hidden="1" customHeight="1">
      <c r="A386" s="135" t="s">
        <v>32</v>
      </c>
      <c r="B386" s="139"/>
      <c r="C386" s="140"/>
      <c r="D386" s="140"/>
      <c r="E386" s="140"/>
      <c r="F386" s="140"/>
      <c r="G386" s="140"/>
      <c r="H386" s="140"/>
      <c r="I386" s="140"/>
      <c r="J386" s="140"/>
      <c r="K386" s="140"/>
      <c r="L386" s="140"/>
      <c r="M386" s="140"/>
      <c r="P386" s="140"/>
      <c r="Q386" s="140"/>
      <c r="R386" s="140"/>
      <c r="S386" s="134"/>
      <c r="T386" s="134"/>
    </row>
    <row r="387" spans="1:20" ht="13.2" hidden="1" customHeight="1">
      <c r="A387" s="141" t="s">
        <v>130</v>
      </c>
      <c r="B387" s="131">
        <f t="shared" ref="B387:L387" si="99">SUM(B380:B386)</f>
        <v>0</v>
      </c>
      <c r="C387" s="131">
        <f t="shared" si="99"/>
        <v>0</v>
      </c>
      <c r="D387" s="131">
        <f t="shared" si="99"/>
        <v>0</v>
      </c>
      <c r="E387" s="131">
        <f t="shared" si="99"/>
        <v>77833</v>
      </c>
      <c r="F387" s="131">
        <f t="shared" si="99"/>
        <v>0</v>
      </c>
      <c r="G387" s="131">
        <f t="shared" si="99"/>
        <v>0</v>
      </c>
      <c r="H387" s="131">
        <f>SUM(H380:H386)</f>
        <v>0</v>
      </c>
      <c r="I387" s="131"/>
      <c r="J387" s="131"/>
      <c r="K387" s="131">
        <f t="shared" si="99"/>
        <v>0</v>
      </c>
      <c r="L387" s="131">
        <f t="shared" si="99"/>
        <v>0</v>
      </c>
      <c r="M387" s="131"/>
      <c r="P387" s="131">
        <f t="shared" ref="P387:R387" si="100">SUM(P380:P386)</f>
        <v>0</v>
      </c>
      <c r="Q387" s="131">
        <f t="shared" si="100"/>
        <v>0</v>
      </c>
      <c r="R387" s="131">
        <f t="shared" si="100"/>
        <v>0</v>
      </c>
      <c r="S387" s="142"/>
      <c r="T387" s="142"/>
    </row>
    <row r="388" spans="1:20" ht="13.2" hidden="1" customHeight="1">
      <c r="A388" s="141"/>
      <c r="B388" s="144"/>
      <c r="C388" s="144"/>
      <c r="D388" s="144"/>
      <c r="E388" s="144"/>
      <c r="F388" s="144"/>
      <c r="G388" s="144"/>
      <c r="H388" s="144"/>
      <c r="I388" s="144"/>
      <c r="J388" s="144"/>
      <c r="K388" s="144"/>
      <c r="L388" s="144"/>
      <c r="M388" s="144"/>
      <c r="P388" s="144"/>
      <c r="Q388" s="144"/>
      <c r="R388" s="144"/>
      <c r="S388" s="142"/>
      <c r="T388" s="142"/>
    </row>
    <row r="389" spans="1:20" ht="27" hidden="1" customHeight="1">
      <c r="A389" s="130" t="s">
        <v>191</v>
      </c>
      <c r="B389" s="144"/>
      <c r="C389" s="145"/>
      <c r="D389" s="145"/>
      <c r="E389" s="145"/>
      <c r="F389" s="145"/>
      <c r="G389" s="145"/>
      <c r="H389" s="145"/>
      <c r="I389" s="145"/>
      <c r="J389" s="145"/>
      <c r="K389" s="145"/>
      <c r="L389" s="145"/>
      <c r="M389" s="145"/>
      <c r="P389" s="145"/>
      <c r="Q389" s="145"/>
      <c r="R389" s="145"/>
      <c r="S389" s="143"/>
      <c r="T389" s="143"/>
    </row>
    <row r="390" spans="1:20" ht="14.4" hidden="1" customHeight="1">
      <c r="A390" s="135" t="s">
        <v>26</v>
      </c>
      <c r="B390" s="136"/>
      <c r="C390" s="137"/>
      <c r="D390" s="137"/>
      <c r="E390" s="137">
        <v>2080</v>
      </c>
      <c r="F390" s="137"/>
      <c r="G390" s="137"/>
      <c r="H390" s="137"/>
      <c r="I390" s="137"/>
      <c r="J390" s="137"/>
      <c r="K390" s="137"/>
      <c r="L390" s="137"/>
      <c r="M390" s="137"/>
      <c r="P390" s="137"/>
      <c r="Q390" s="137"/>
      <c r="R390" s="137"/>
      <c r="S390" s="134"/>
      <c r="T390" s="134"/>
    </row>
    <row r="391" spans="1:20" ht="27" hidden="1" customHeight="1">
      <c r="A391" s="135" t="s">
        <v>27</v>
      </c>
      <c r="B391" s="138"/>
      <c r="C391" s="133"/>
      <c r="D391" s="133"/>
      <c r="E391" s="133">
        <v>4297</v>
      </c>
      <c r="F391" s="133"/>
      <c r="G391" s="133"/>
      <c r="H391" s="133"/>
      <c r="I391" s="133"/>
      <c r="J391" s="133"/>
      <c r="K391" s="133"/>
      <c r="L391" s="133"/>
      <c r="M391" s="133"/>
      <c r="P391" s="133"/>
      <c r="Q391" s="133"/>
      <c r="R391" s="133"/>
      <c r="S391" s="134"/>
      <c r="T391" s="134"/>
    </row>
    <row r="392" spans="1:20" ht="14.4" hidden="1" customHeight="1">
      <c r="A392" s="135" t="s">
        <v>28</v>
      </c>
      <c r="B392" s="139"/>
      <c r="C392" s="140"/>
      <c r="D392" s="140"/>
      <c r="E392" s="140">
        <v>759</v>
      </c>
      <c r="F392" s="140"/>
      <c r="G392" s="140"/>
      <c r="H392" s="140"/>
      <c r="I392" s="140"/>
      <c r="J392" s="140"/>
      <c r="K392" s="140"/>
      <c r="L392" s="140"/>
      <c r="M392" s="140"/>
      <c r="P392" s="140"/>
      <c r="Q392" s="140"/>
      <c r="R392" s="140"/>
      <c r="S392" s="134"/>
      <c r="T392" s="134"/>
    </row>
    <row r="393" spans="1:20" ht="27" hidden="1" customHeight="1">
      <c r="A393" s="135" t="s">
        <v>29</v>
      </c>
      <c r="B393" s="139"/>
      <c r="C393" s="140"/>
      <c r="D393" s="140"/>
      <c r="E393" s="140">
        <v>11524</v>
      </c>
      <c r="F393" s="140"/>
      <c r="G393" s="140"/>
      <c r="H393" s="140"/>
      <c r="I393" s="140"/>
      <c r="J393" s="140"/>
      <c r="K393" s="140"/>
      <c r="L393" s="140"/>
      <c r="M393" s="140"/>
      <c r="P393" s="140"/>
      <c r="Q393" s="140"/>
      <c r="R393" s="140"/>
      <c r="S393" s="134"/>
      <c r="T393" s="134"/>
    </row>
    <row r="394" spans="1:20" ht="14.4" hidden="1" customHeight="1">
      <c r="A394" s="135" t="s">
        <v>30</v>
      </c>
      <c r="B394" s="139"/>
      <c r="C394" s="140"/>
      <c r="D394" s="140"/>
      <c r="E394" s="140"/>
      <c r="F394" s="140"/>
      <c r="G394" s="140"/>
      <c r="H394" s="140"/>
      <c r="I394" s="140"/>
      <c r="J394" s="140"/>
      <c r="K394" s="140"/>
      <c r="L394" s="140"/>
      <c r="M394" s="140"/>
      <c r="P394" s="140"/>
      <c r="Q394" s="140"/>
      <c r="R394" s="140"/>
      <c r="S394" s="134"/>
      <c r="T394" s="134"/>
    </row>
    <row r="395" spans="1:20" ht="14.4" hidden="1" customHeight="1">
      <c r="A395" s="135" t="s">
        <v>129</v>
      </c>
      <c r="B395" s="139"/>
      <c r="C395" s="140"/>
      <c r="D395" s="140"/>
      <c r="E395" s="140">
        <v>1054</v>
      </c>
      <c r="F395" s="140"/>
      <c r="G395" s="140"/>
      <c r="H395" s="140"/>
      <c r="I395" s="140"/>
      <c r="J395" s="140"/>
      <c r="K395" s="140"/>
      <c r="L395" s="140"/>
      <c r="M395" s="140"/>
      <c r="P395" s="140"/>
      <c r="Q395" s="140"/>
      <c r="R395" s="140"/>
      <c r="S395" s="134"/>
      <c r="T395" s="134"/>
    </row>
    <row r="396" spans="1:20" ht="14.4" hidden="1" customHeight="1">
      <c r="A396" s="135" t="s">
        <v>32</v>
      </c>
      <c r="B396" s="139"/>
      <c r="C396" s="140"/>
      <c r="D396" s="140"/>
      <c r="E396" s="140"/>
      <c r="F396" s="140"/>
      <c r="G396" s="140"/>
      <c r="H396" s="140"/>
      <c r="I396" s="140"/>
      <c r="J396" s="140"/>
      <c r="K396" s="140"/>
      <c r="L396" s="140"/>
      <c r="M396" s="140"/>
      <c r="P396" s="140"/>
      <c r="Q396" s="140"/>
      <c r="R396" s="140"/>
      <c r="S396" s="134"/>
      <c r="T396" s="134"/>
    </row>
    <row r="397" spans="1:20" ht="13.2" hidden="1" customHeight="1">
      <c r="A397" s="141" t="s">
        <v>130</v>
      </c>
      <c r="B397" s="131">
        <f t="shared" ref="B397:L397" si="101">SUM(B390:B396)</f>
        <v>0</v>
      </c>
      <c r="C397" s="131">
        <f t="shared" si="101"/>
        <v>0</v>
      </c>
      <c r="D397" s="131">
        <f t="shared" si="101"/>
        <v>0</v>
      </c>
      <c r="E397" s="131">
        <f t="shared" si="101"/>
        <v>19714</v>
      </c>
      <c r="F397" s="131">
        <f t="shared" si="101"/>
        <v>0</v>
      </c>
      <c r="G397" s="131">
        <f t="shared" si="101"/>
        <v>0</v>
      </c>
      <c r="H397" s="131">
        <f>SUM(H390:H396)</f>
        <v>0</v>
      </c>
      <c r="I397" s="131"/>
      <c r="J397" s="131"/>
      <c r="K397" s="131">
        <f t="shared" si="101"/>
        <v>0</v>
      </c>
      <c r="L397" s="131">
        <f t="shared" si="101"/>
        <v>0</v>
      </c>
      <c r="M397" s="131"/>
      <c r="P397" s="131">
        <f t="shared" ref="P397:R397" si="102">SUM(P390:P396)</f>
        <v>0</v>
      </c>
      <c r="Q397" s="131">
        <f t="shared" si="102"/>
        <v>0</v>
      </c>
      <c r="R397" s="131">
        <f t="shared" si="102"/>
        <v>0</v>
      </c>
      <c r="S397" s="142"/>
      <c r="T397" s="142"/>
    </row>
    <row r="398" spans="1:20" ht="13.2" hidden="1" customHeight="1">
      <c r="A398" s="141"/>
      <c r="B398" s="144"/>
      <c r="C398" s="144"/>
      <c r="D398" s="144"/>
      <c r="E398" s="144"/>
      <c r="F398" s="144"/>
      <c r="G398" s="144"/>
      <c r="H398" s="144"/>
      <c r="I398" s="144"/>
      <c r="J398" s="144"/>
      <c r="K398" s="144"/>
      <c r="L398" s="144"/>
      <c r="M398" s="144"/>
      <c r="P398" s="144"/>
      <c r="Q398" s="144"/>
      <c r="R398" s="144"/>
      <c r="S398" s="142"/>
      <c r="T398" s="142"/>
    </row>
    <row r="399" spans="1:20" ht="14.4" hidden="1" customHeight="1">
      <c r="A399" s="130" t="s">
        <v>192</v>
      </c>
      <c r="B399" s="144"/>
      <c r="C399" s="145"/>
      <c r="D399" s="145"/>
      <c r="E399" s="145"/>
      <c r="F399" s="145"/>
      <c r="G399" s="145"/>
      <c r="H399" s="145"/>
      <c r="I399" s="145"/>
      <c r="J399" s="145"/>
      <c r="K399" s="145"/>
      <c r="L399" s="145"/>
      <c r="M399" s="145"/>
      <c r="P399" s="145"/>
      <c r="Q399" s="145"/>
      <c r="R399" s="145"/>
      <c r="S399" s="143"/>
      <c r="T399" s="143"/>
    </row>
    <row r="400" spans="1:20" ht="14.4" hidden="1" customHeight="1">
      <c r="A400" s="135" t="s">
        <v>138</v>
      </c>
      <c r="B400" s="138">
        <v>15703</v>
      </c>
      <c r="C400" s="133">
        <v>16363</v>
      </c>
      <c r="D400" s="133"/>
      <c r="E400" s="133"/>
      <c r="F400" s="133"/>
      <c r="G400" s="133"/>
      <c r="H400" s="133"/>
      <c r="I400" s="133"/>
      <c r="J400" s="133"/>
      <c r="K400" s="133"/>
      <c r="L400" s="133"/>
      <c r="M400" s="133"/>
      <c r="P400" s="133"/>
      <c r="Q400" s="133"/>
      <c r="R400" s="133"/>
      <c r="S400" s="134"/>
      <c r="T400" s="134"/>
    </row>
    <row r="401" spans="1:20" ht="14.4" hidden="1" customHeight="1">
      <c r="A401" s="135" t="s">
        <v>26</v>
      </c>
      <c r="B401" s="136"/>
      <c r="C401" s="137"/>
      <c r="D401" s="137"/>
      <c r="E401" s="137">
        <v>8096</v>
      </c>
      <c r="F401" s="137"/>
      <c r="G401" s="137"/>
      <c r="H401" s="137"/>
      <c r="I401" s="137"/>
      <c r="J401" s="137"/>
      <c r="K401" s="137"/>
      <c r="L401" s="137"/>
      <c r="M401" s="137"/>
      <c r="P401" s="137"/>
      <c r="Q401" s="137"/>
      <c r="R401" s="137"/>
      <c r="S401" s="134"/>
      <c r="T401" s="134"/>
    </row>
    <row r="402" spans="1:20" ht="27" hidden="1" customHeight="1">
      <c r="A402" s="135" t="s">
        <v>27</v>
      </c>
      <c r="B402" s="138"/>
      <c r="C402" s="133"/>
      <c r="D402" s="133"/>
      <c r="E402" s="133">
        <v>9504</v>
      </c>
      <c r="F402" s="133"/>
      <c r="G402" s="133"/>
      <c r="H402" s="133"/>
      <c r="I402" s="133"/>
      <c r="J402" s="133"/>
      <c r="K402" s="133"/>
      <c r="L402" s="133"/>
      <c r="M402" s="133"/>
      <c r="P402" s="133"/>
      <c r="Q402" s="133"/>
      <c r="R402" s="133"/>
      <c r="S402" s="134"/>
      <c r="T402" s="134"/>
    </row>
    <row r="403" spans="1:20" ht="14.4" hidden="1" customHeight="1">
      <c r="A403" s="135" t="s">
        <v>28</v>
      </c>
      <c r="B403" s="139"/>
      <c r="C403" s="140"/>
      <c r="D403" s="140"/>
      <c r="E403" s="140">
        <v>430</v>
      </c>
      <c r="F403" s="140"/>
      <c r="G403" s="140"/>
      <c r="H403" s="140"/>
      <c r="I403" s="140"/>
      <c r="J403" s="140"/>
      <c r="K403" s="140"/>
      <c r="L403" s="140"/>
      <c r="M403" s="140"/>
      <c r="P403" s="140"/>
      <c r="Q403" s="140"/>
      <c r="R403" s="140"/>
      <c r="S403" s="134"/>
      <c r="T403" s="134"/>
    </row>
    <row r="404" spans="1:20" ht="27" hidden="1" customHeight="1">
      <c r="A404" s="135" t="s">
        <v>29</v>
      </c>
      <c r="B404" s="139"/>
      <c r="C404" s="140"/>
      <c r="D404" s="140"/>
      <c r="E404" s="140">
        <v>2417</v>
      </c>
      <c r="F404" s="140"/>
      <c r="G404" s="140"/>
      <c r="H404" s="140"/>
      <c r="I404" s="140"/>
      <c r="J404" s="140"/>
      <c r="K404" s="140"/>
      <c r="L404" s="140"/>
      <c r="M404" s="140"/>
      <c r="P404" s="140"/>
      <c r="Q404" s="140"/>
      <c r="R404" s="140"/>
      <c r="S404" s="134"/>
      <c r="T404" s="134"/>
    </row>
    <row r="405" spans="1:20" ht="14.4" hidden="1" customHeight="1">
      <c r="A405" s="135" t="s">
        <v>30</v>
      </c>
      <c r="B405" s="139"/>
      <c r="C405" s="140"/>
      <c r="D405" s="140"/>
      <c r="E405" s="140"/>
      <c r="F405" s="140"/>
      <c r="G405" s="140"/>
      <c r="H405" s="140"/>
      <c r="I405" s="140"/>
      <c r="J405" s="140"/>
      <c r="K405" s="140"/>
      <c r="L405" s="140"/>
      <c r="M405" s="140"/>
      <c r="P405" s="140"/>
      <c r="Q405" s="140"/>
      <c r="R405" s="140"/>
      <c r="S405" s="134"/>
      <c r="T405" s="134"/>
    </row>
    <row r="406" spans="1:20" ht="14.4" hidden="1" customHeight="1">
      <c r="A406" s="135" t="s">
        <v>129</v>
      </c>
      <c r="B406" s="139"/>
      <c r="C406" s="140"/>
      <c r="D406" s="140"/>
      <c r="E406" s="140"/>
      <c r="F406" s="140"/>
      <c r="G406" s="140"/>
      <c r="H406" s="140"/>
      <c r="I406" s="140"/>
      <c r="J406" s="140"/>
      <c r="K406" s="140"/>
      <c r="L406" s="140"/>
      <c r="M406" s="140"/>
      <c r="P406" s="140"/>
      <c r="Q406" s="140"/>
      <c r="R406" s="140"/>
      <c r="S406" s="134"/>
      <c r="T406" s="134"/>
    </row>
    <row r="407" spans="1:20" ht="14.4" hidden="1" customHeight="1">
      <c r="A407" s="135" t="s">
        <v>32</v>
      </c>
      <c r="B407" s="139"/>
      <c r="C407" s="140"/>
      <c r="D407" s="140"/>
      <c r="E407" s="140"/>
      <c r="F407" s="140"/>
      <c r="G407" s="140"/>
      <c r="H407" s="140"/>
      <c r="I407" s="140"/>
      <c r="J407" s="140"/>
      <c r="K407" s="140"/>
      <c r="L407" s="140"/>
      <c r="M407" s="140"/>
      <c r="P407" s="140"/>
      <c r="Q407" s="140"/>
      <c r="R407" s="140"/>
      <c r="S407" s="134"/>
      <c r="T407" s="134"/>
    </row>
    <row r="408" spans="1:20" ht="13.2" hidden="1" customHeight="1">
      <c r="A408" s="141" t="s">
        <v>130</v>
      </c>
      <c r="B408" s="131">
        <f>SUM(B400:B407)</f>
        <v>15703</v>
      </c>
      <c r="C408" s="131">
        <f>SUM(C400:C407)</f>
        <v>16363</v>
      </c>
      <c r="D408" s="131">
        <f t="shared" ref="D408:L408" si="103">SUM(D401:D407)</f>
        <v>0</v>
      </c>
      <c r="E408" s="131">
        <f t="shared" si="103"/>
        <v>20447</v>
      </c>
      <c r="F408" s="131">
        <f t="shared" si="103"/>
        <v>0</v>
      </c>
      <c r="G408" s="131">
        <f t="shared" si="103"/>
        <v>0</v>
      </c>
      <c r="H408" s="131">
        <f>SUM(H401:H407)</f>
        <v>0</v>
      </c>
      <c r="I408" s="131"/>
      <c r="J408" s="131"/>
      <c r="K408" s="131">
        <f t="shared" si="103"/>
        <v>0</v>
      </c>
      <c r="L408" s="131">
        <f t="shared" si="103"/>
        <v>0</v>
      </c>
      <c r="M408" s="131"/>
      <c r="P408" s="131">
        <f t="shared" ref="P408:R408" si="104">SUM(P401:P407)</f>
        <v>0</v>
      </c>
      <c r="Q408" s="131">
        <f t="shared" si="104"/>
        <v>0</v>
      </c>
      <c r="R408" s="131">
        <f t="shared" si="104"/>
        <v>0</v>
      </c>
      <c r="S408" s="142"/>
      <c r="T408" s="142"/>
    </row>
    <row r="409" spans="1:20" ht="13.2" hidden="1" customHeight="1">
      <c r="A409" s="141"/>
      <c r="B409" s="144"/>
      <c r="C409" s="144"/>
      <c r="D409" s="144"/>
      <c r="E409" s="144"/>
      <c r="F409" s="144"/>
      <c r="G409" s="144"/>
      <c r="H409" s="144"/>
      <c r="I409" s="144"/>
      <c r="J409" s="144"/>
      <c r="K409" s="144"/>
      <c r="L409" s="144"/>
      <c r="M409" s="144"/>
      <c r="P409" s="144"/>
      <c r="Q409" s="144"/>
      <c r="R409" s="144"/>
      <c r="S409" s="142"/>
      <c r="T409" s="142"/>
    </row>
    <row r="410" spans="1:20" ht="27" hidden="1" customHeight="1">
      <c r="A410" s="130" t="s">
        <v>193</v>
      </c>
      <c r="B410" s="144"/>
      <c r="C410" s="145"/>
      <c r="D410" s="145"/>
      <c r="E410" s="145"/>
      <c r="F410" s="145"/>
      <c r="G410" s="145"/>
      <c r="H410" s="145"/>
      <c r="I410" s="145"/>
      <c r="J410" s="145"/>
      <c r="K410" s="145"/>
      <c r="L410" s="145"/>
      <c r="M410" s="145"/>
      <c r="P410" s="145"/>
      <c r="Q410" s="145"/>
      <c r="R410" s="145"/>
      <c r="S410" s="143"/>
      <c r="T410" s="143"/>
    </row>
    <row r="411" spans="1:20" ht="14.4" hidden="1" customHeight="1">
      <c r="A411" s="135" t="s">
        <v>26</v>
      </c>
      <c r="B411" s="136"/>
      <c r="C411" s="137"/>
      <c r="D411" s="137"/>
      <c r="E411" s="137">
        <v>17936</v>
      </c>
      <c r="F411" s="137"/>
      <c r="G411" s="137"/>
      <c r="H411" s="137"/>
      <c r="I411" s="137"/>
      <c r="J411" s="137"/>
      <c r="K411" s="137"/>
      <c r="L411" s="137"/>
      <c r="M411" s="137"/>
      <c r="P411" s="137"/>
      <c r="Q411" s="137"/>
      <c r="R411" s="137"/>
      <c r="S411" s="134"/>
      <c r="T411" s="134"/>
    </row>
    <row r="412" spans="1:20" ht="27" hidden="1" customHeight="1">
      <c r="A412" s="135" t="s">
        <v>27</v>
      </c>
      <c r="B412" s="138"/>
      <c r="C412" s="133"/>
      <c r="D412" s="133"/>
      <c r="E412" s="133">
        <v>8111</v>
      </c>
      <c r="F412" s="133"/>
      <c r="G412" s="133"/>
      <c r="H412" s="133"/>
      <c r="I412" s="133"/>
      <c r="J412" s="133"/>
      <c r="K412" s="133"/>
      <c r="L412" s="133"/>
      <c r="M412" s="133"/>
      <c r="P412" s="133"/>
      <c r="Q412" s="133"/>
      <c r="R412" s="133"/>
      <c r="S412" s="134"/>
      <c r="T412" s="134"/>
    </row>
    <row r="413" spans="1:20" ht="14.4" hidden="1" customHeight="1">
      <c r="A413" s="135" t="s">
        <v>28</v>
      </c>
      <c r="B413" s="139"/>
      <c r="C413" s="140"/>
      <c r="D413" s="140"/>
      <c r="E413" s="140">
        <v>519</v>
      </c>
      <c r="F413" s="140"/>
      <c r="G413" s="140"/>
      <c r="H413" s="140"/>
      <c r="I413" s="140"/>
      <c r="J413" s="140"/>
      <c r="K413" s="140"/>
      <c r="L413" s="140"/>
      <c r="M413" s="140"/>
      <c r="P413" s="140"/>
      <c r="Q413" s="140"/>
      <c r="R413" s="140"/>
      <c r="S413" s="134"/>
      <c r="T413" s="134"/>
    </row>
    <row r="414" spans="1:20" ht="27" hidden="1" customHeight="1">
      <c r="A414" s="135" t="s">
        <v>29</v>
      </c>
      <c r="B414" s="139"/>
      <c r="C414" s="140"/>
      <c r="D414" s="140"/>
      <c r="E414" s="140"/>
      <c r="F414" s="140"/>
      <c r="G414" s="140"/>
      <c r="H414" s="140"/>
      <c r="I414" s="140"/>
      <c r="J414" s="140"/>
      <c r="K414" s="140"/>
      <c r="L414" s="140"/>
      <c r="M414" s="140"/>
      <c r="P414" s="140"/>
      <c r="Q414" s="140"/>
      <c r="R414" s="140"/>
      <c r="S414" s="134"/>
      <c r="T414" s="134"/>
    </row>
    <row r="415" spans="1:20" ht="14.4" hidden="1" customHeight="1">
      <c r="A415" s="135" t="s">
        <v>30</v>
      </c>
      <c r="B415" s="139"/>
      <c r="C415" s="140"/>
      <c r="D415" s="140"/>
      <c r="E415" s="140"/>
      <c r="F415" s="140"/>
      <c r="G415" s="140"/>
      <c r="H415" s="140"/>
      <c r="I415" s="140"/>
      <c r="J415" s="140"/>
      <c r="K415" s="140"/>
      <c r="L415" s="140"/>
      <c r="M415" s="140"/>
      <c r="P415" s="140"/>
      <c r="Q415" s="140"/>
      <c r="R415" s="140"/>
      <c r="S415" s="134"/>
      <c r="T415" s="134"/>
    </row>
    <row r="416" spans="1:20" ht="14.4" hidden="1" customHeight="1">
      <c r="A416" s="135" t="s">
        <v>129</v>
      </c>
      <c r="B416" s="139"/>
      <c r="C416" s="140"/>
      <c r="D416" s="140"/>
      <c r="E416" s="140">
        <v>3230</v>
      </c>
      <c r="F416" s="140"/>
      <c r="G416" s="140"/>
      <c r="H416" s="140"/>
      <c r="I416" s="140"/>
      <c r="J416" s="140"/>
      <c r="K416" s="140"/>
      <c r="L416" s="140"/>
      <c r="M416" s="140"/>
      <c r="P416" s="140"/>
      <c r="Q416" s="140"/>
      <c r="R416" s="140"/>
      <c r="S416" s="134"/>
      <c r="T416" s="134"/>
    </row>
    <row r="417" spans="1:22" ht="14.4" hidden="1" customHeight="1">
      <c r="A417" s="135" t="s">
        <v>32</v>
      </c>
      <c r="B417" s="139"/>
      <c r="C417" s="140"/>
      <c r="D417" s="140"/>
      <c r="E417" s="140"/>
      <c r="F417" s="140"/>
      <c r="G417" s="140"/>
      <c r="H417" s="140"/>
      <c r="I417" s="140"/>
      <c r="J417" s="140"/>
      <c r="K417" s="140"/>
      <c r="L417" s="140"/>
      <c r="M417" s="140"/>
      <c r="P417" s="140"/>
      <c r="Q417" s="140"/>
      <c r="R417" s="140"/>
      <c r="S417" s="134"/>
      <c r="T417" s="134"/>
    </row>
    <row r="418" spans="1:22" ht="13.2" hidden="1" customHeight="1">
      <c r="A418" s="141" t="s">
        <v>130</v>
      </c>
      <c r="B418" s="131">
        <f t="shared" ref="B418:L418" si="105">SUM(B411:B417)</f>
        <v>0</v>
      </c>
      <c r="C418" s="131">
        <f t="shared" si="105"/>
        <v>0</v>
      </c>
      <c r="D418" s="131">
        <f t="shared" si="105"/>
        <v>0</v>
      </c>
      <c r="E418" s="131">
        <f t="shared" si="105"/>
        <v>29796</v>
      </c>
      <c r="F418" s="131">
        <f t="shared" si="105"/>
        <v>0</v>
      </c>
      <c r="G418" s="131">
        <f t="shared" si="105"/>
        <v>0</v>
      </c>
      <c r="H418" s="131">
        <f>SUM(H411:H417)</f>
        <v>0</v>
      </c>
      <c r="I418" s="131"/>
      <c r="J418" s="131"/>
      <c r="K418" s="131">
        <f t="shared" si="105"/>
        <v>0</v>
      </c>
      <c r="L418" s="131">
        <f t="shared" si="105"/>
        <v>0</v>
      </c>
      <c r="M418" s="131"/>
      <c r="P418" s="131">
        <f t="shared" ref="P418:R418" si="106">SUM(P411:P417)</f>
        <v>0</v>
      </c>
      <c r="Q418" s="131">
        <f t="shared" si="106"/>
        <v>0</v>
      </c>
      <c r="R418" s="131">
        <f t="shared" si="106"/>
        <v>0</v>
      </c>
      <c r="S418" s="142"/>
      <c r="T418" s="142"/>
    </row>
    <row r="419" spans="1:22" ht="13.2" hidden="1" customHeight="1">
      <c r="A419" s="141"/>
      <c r="B419" s="144"/>
      <c r="C419" s="144"/>
      <c r="D419" s="144"/>
      <c r="E419" s="144"/>
      <c r="F419" s="144"/>
      <c r="G419" s="144"/>
      <c r="H419" s="144"/>
      <c r="I419" s="144"/>
      <c r="J419" s="144"/>
      <c r="K419" s="144"/>
      <c r="L419" s="144"/>
      <c r="M419" s="144"/>
      <c r="P419" s="144"/>
      <c r="Q419" s="144"/>
      <c r="R419" s="144"/>
      <c r="S419" s="142"/>
      <c r="T419" s="142"/>
    </row>
    <row r="420" spans="1:22" ht="14.4" customHeight="1">
      <c r="A420" s="130" t="s">
        <v>194</v>
      </c>
      <c r="B420" s="144"/>
      <c r="C420" s="145"/>
      <c r="D420" s="145"/>
      <c r="E420" s="145"/>
      <c r="F420" s="145"/>
      <c r="G420" s="145"/>
      <c r="H420" s="145"/>
      <c r="I420" s="145"/>
      <c r="J420" s="145"/>
      <c r="K420" s="145"/>
      <c r="L420" s="145"/>
      <c r="M420" s="145"/>
      <c r="P420" s="133">
        <v>318000</v>
      </c>
      <c r="Q420" s="145"/>
      <c r="R420" s="145"/>
      <c r="S420" s="143">
        <f>+P420</f>
        <v>318000</v>
      </c>
      <c r="T420" s="143"/>
    </row>
    <row r="421" spans="1:22" ht="14.4" hidden="1" customHeight="1">
      <c r="A421" s="135" t="s">
        <v>138</v>
      </c>
      <c r="B421" s="138">
        <v>249844</v>
      </c>
      <c r="C421" s="133">
        <v>317468</v>
      </c>
      <c r="D421" s="133"/>
      <c r="E421" s="133"/>
      <c r="F421" s="133"/>
      <c r="G421" s="133"/>
      <c r="H421" s="133"/>
      <c r="I421" s="133"/>
      <c r="J421" s="133"/>
      <c r="K421" s="133"/>
      <c r="L421" s="133"/>
      <c r="M421" s="133"/>
      <c r="Q421" s="133"/>
      <c r="R421" s="133"/>
      <c r="S421" s="134"/>
      <c r="T421" s="134"/>
    </row>
    <row r="422" spans="1:22" ht="14.4" customHeight="1">
      <c r="A422" s="135" t="s">
        <v>26</v>
      </c>
      <c r="B422" s="136"/>
      <c r="C422" s="137"/>
      <c r="D422" s="137">
        <v>3345</v>
      </c>
      <c r="E422" s="137">
        <v>478</v>
      </c>
      <c r="F422" s="137">
        <v>1344</v>
      </c>
      <c r="G422" s="137"/>
      <c r="H422" s="137">
        <f>+S422</f>
        <v>4678.1085814360767</v>
      </c>
      <c r="I422" s="137">
        <f t="shared" ref="I422:I428" si="107">+H422</f>
        <v>4678.1085814360767</v>
      </c>
      <c r="J422" s="137">
        <f>+I422*0.84</f>
        <v>3929.6112084063043</v>
      </c>
      <c r="K422" s="137"/>
      <c r="L422" s="137">
        <v>4700</v>
      </c>
      <c r="M422" s="137">
        <v>4700</v>
      </c>
      <c r="P422" s="137"/>
      <c r="Q422" s="137"/>
      <c r="R422" s="137"/>
      <c r="S422" s="134">
        <f t="shared" ref="S422:S428" si="108">+F422/$F$429*$S$420</f>
        <v>4678.1085814360767</v>
      </c>
      <c r="T422" s="134"/>
    </row>
    <row r="423" spans="1:22" ht="14.4">
      <c r="A423" s="135" t="s">
        <v>27</v>
      </c>
      <c r="B423" s="138"/>
      <c r="C423" s="133"/>
      <c r="D423" s="133">
        <v>9570</v>
      </c>
      <c r="E423" s="133">
        <v>7252</v>
      </c>
      <c r="F423" s="133">
        <v>3947</v>
      </c>
      <c r="G423" s="133"/>
      <c r="H423" s="133">
        <f t="shared" ref="H423:H428" si="109">+S423</f>
        <v>13738.463222416811</v>
      </c>
      <c r="I423" s="133">
        <f t="shared" si="107"/>
        <v>13738.463222416811</v>
      </c>
      <c r="J423" s="133">
        <f t="shared" ref="J423:J428" si="110">+I423*0.84</f>
        <v>11540.30910683012</v>
      </c>
      <c r="K423" s="133"/>
      <c r="L423" s="133"/>
      <c r="M423" s="133"/>
      <c r="P423" s="133"/>
      <c r="Q423" s="133"/>
      <c r="R423" s="133"/>
      <c r="S423" s="134">
        <f t="shared" si="108"/>
        <v>13738.463222416811</v>
      </c>
      <c r="T423" s="134"/>
    </row>
    <row r="424" spans="1:22" ht="14.4" customHeight="1">
      <c r="A424" s="135" t="s">
        <v>28</v>
      </c>
      <c r="B424" s="139"/>
      <c r="C424" s="140"/>
      <c r="D424" s="140">
        <v>1451</v>
      </c>
      <c r="E424" s="140">
        <v>793</v>
      </c>
      <c r="F424" s="140">
        <v>151</v>
      </c>
      <c r="G424" s="140"/>
      <c r="H424" s="140">
        <f t="shared" si="109"/>
        <v>525.59106830122596</v>
      </c>
      <c r="I424" s="140">
        <f t="shared" si="107"/>
        <v>525.59106830122596</v>
      </c>
      <c r="J424" s="140">
        <f t="shared" si="110"/>
        <v>441.4964973730298</v>
      </c>
      <c r="K424" s="140"/>
      <c r="L424" s="140"/>
      <c r="M424" s="140"/>
      <c r="P424" s="140"/>
      <c r="Q424" s="140"/>
      <c r="R424" s="140"/>
      <c r="S424" s="134">
        <f t="shared" si="108"/>
        <v>525.59106830122596</v>
      </c>
      <c r="T424" s="134"/>
    </row>
    <row r="425" spans="1:22" ht="14.4">
      <c r="A425" s="135" t="s">
        <v>29</v>
      </c>
      <c r="B425" s="139"/>
      <c r="C425" s="140"/>
      <c r="D425" s="140">
        <v>300</v>
      </c>
      <c r="E425" s="140">
        <v>7820</v>
      </c>
      <c r="F425" s="140">
        <v>1964</v>
      </c>
      <c r="G425" s="140"/>
      <c r="H425" s="140">
        <f t="shared" si="109"/>
        <v>6836.1646234676009</v>
      </c>
      <c r="I425" s="140">
        <f t="shared" si="107"/>
        <v>6836.1646234676009</v>
      </c>
      <c r="J425" s="140">
        <f t="shared" si="110"/>
        <v>5742.3782837127847</v>
      </c>
      <c r="K425" s="140"/>
      <c r="L425" s="140"/>
      <c r="M425" s="140"/>
      <c r="P425" s="140"/>
      <c r="Q425" s="140"/>
      <c r="R425" s="140"/>
      <c r="S425" s="134">
        <f t="shared" si="108"/>
        <v>6836.1646234676009</v>
      </c>
      <c r="T425" s="134"/>
    </row>
    <row r="426" spans="1:22" ht="14.4" customHeight="1">
      <c r="A426" s="135" t="s">
        <v>30</v>
      </c>
      <c r="B426" s="139"/>
      <c r="C426" s="140"/>
      <c r="D426" s="140">
        <v>6304</v>
      </c>
      <c r="E426" s="140">
        <v>6870</v>
      </c>
      <c r="F426" s="140">
        <v>515</v>
      </c>
      <c r="G426" s="140"/>
      <c r="H426" s="140">
        <f t="shared" si="109"/>
        <v>1792.57880910683</v>
      </c>
      <c r="I426" s="140">
        <f t="shared" si="107"/>
        <v>1792.57880910683</v>
      </c>
      <c r="J426" s="140">
        <f t="shared" si="110"/>
        <v>1505.7661996497372</v>
      </c>
      <c r="K426" s="140"/>
      <c r="L426" s="140"/>
      <c r="M426" s="140"/>
      <c r="P426" s="140"/>
      <c r="Q426" s="140"/>
      <c r="R426" s="140"/>
      <c r="S426" s="134">
        <f t="shared" si="108"/>
        <v>1792.57880910683</v>
      </c>
      <c r="T426" s="134"/>
    </row>
    <row r="427" spans="1:22" ht="14.4" customHeight="1">
      <c r="A427" s="135" t="s">
        <v>129</v>
      </c>
      <c r="B427" s="139"/>
      <c r="C427" s="140"/>
      <c r="D427" s="140">
        <v>63421</v>
      </c>
      <c r="E427" s="140">
        <v>38161</v>
      </c>
      <c r="F427" s="140">
        <v>81004</v>
      </c>
      <c r="G427" s="140"/>
      <c r="H427" s="140">
        <f t="shared" si="109"/>
        <v>281953.50262697024</v>
      </c>
      <c r="I427" s="140">
        <f t="shared" si="107"/>
        <v>281953.50262697024</v>
      </c>
      <c r="J427" s="140">
        <f t="shared" si="110"/>
        <v>236840.94220665499</v>
      </c>
      <c r="K427" s="140"/>
      <c r="L427" s="140"/>
      <c r="M427" s="140"/>
      <c r="P427" s="140"/>
      <c r="Q427" s="140"/>
      <c r="R427" s="140"/>
      <c r="S427" s="134">
        <f t="shared" si="108"/>
        <v>281953.50262697024</v>
      </c>
      <c r="T427" s="134"/>
    </row>
    <row r="428" spans="1:22" ht="14.4" customHeight="1">
      <c r="A428" s="135" t="s">
        <v>32</v>
      </c>
      <c r="B428" s="139"/>
      <c r="C428" s="140"/>
      <c r="D428" s="140">
        <v>4825</v>
      </c>
      <c r="E428" s="140">
        <v>5565</v>
      </c>
      <c r="F428" s="140">
        <f>1087+1348</f>
        <v>2435</v>
      </c>
      <c r="G428" s="140"/>
      <c r="H428" s="140">
        <f t="shared" si="109"/>
        <v>8475.5910683012262</v>
      </c>
      <c r="I428" s="140">
        <f t="shared" si="107"/>
        <v>8475.5910683012262</v>
      </c>
      <c r="J428" s="140">
        <f t="shared" si="110"/>
        <v>7119.4964973730293</v>
      </c>
      <c r="K428" s="140"/>
      <c r="L428" s="140"/>
      <c r="M428" s="140"/>
      <c r="P428" s="140"/>
      <c r="Q428" s="140"/>
      <c r="R428" s="140"/>
      <c r="S428" s="134">
        <f t="shared" si="108"/>
        <v>8475.5910683012262</v>
      </c>
      <c r="T428" s="134"/>
    </row>
    <row r="429" spans="1:22" ht="13.2" customHeight="1">
      <c r="A429" s="141" t="s">
        <v>130</v>
      </c>
      <c r="B429" s="131">
        <f>SUM(B421:B428)</f>
        <v>249844</v>
      </c>
      <c r="C429" s="131">
        <f>SUM(C421:C428)</f>
        <v>317468</v>
      </c>
      <c r="D429" s="131">
        <f t="shared" ref="D429:M429" si="111">SUM(D422:D428)</f>
        <v>89216</v>
      </c>
      <c r="E429" s="131">
        <f t="shared" si="111"/>
        <v>66939</v>
      </c>
      <c r="F429" s="131">
        <f t="shared" si="111"/>
        <v>91360</v>
      </c>
      <c r="G429" s="131">
        <f t="shared" si="111"/>
        <v>0</v>
      </c>
      <c r="H429" s="131">
        <f>SUM(H421:H428)</f>
        <v>318000</v>
      </c>
      <c r="I429" s="131">
        <f>SUM(I422:I428)</f>
        <v>318000</v>
      </c>
      <c r="J429" s="131">
        <f>SUM(J422:J428)</f>
        <v>267120</v>
      </c>
      <c r="K429" s="131">
        <f t="shared" si="111"/>
        <v>0</v>
      </c>
      <c r="L429" s="131">
        <f t="shared" si="111"/>
        <v>4700</v>
      </c>
      <c r="M429" s="131">
        <f t="shared" si="111"/>
        <v>4700</v>
      </c>
      <c r="P429" s="131">
        <f>SUM(P420:P428)</f>
        <v>318000</v>
      </c>
      <c r="Q429" s="131">
        <f t="shared" ref="Q429:R429" si="112">SUM(Q421:Q428)</f>
        <v>0</v>
      </c>
      <c r="R429" s="131">
        <f t="shared" si="112"/>
        <v>0</v>
      </c>
      <c r="S429" s="142"/>
      <c r="T429" s="142"/>
    </row>
    <row r="430" spans="1:22" ht="13.2" customHeight="1">
      <c r="A430" s="141"/>
      <c r="B430" s="144"/>
      <c r="C430" s="144"/>
      <c r="D430" s="144"/>
      <c r="E430" s="144"/>
      <c r="F430" s="144"/>
      <c r="G430" s="144"/>
      <c r="H430" s="144"/>
      <c r="I430" s="144"/>
      <c r="J430" s="144"/>
      <c r="K430" s="144"/>
      <c r="L430" s="144"/>
      <c r="M430" s="144"/>
      <c r="P430" s="144"/>
      <c r="Q430" s="144"/>
      <c r="R430" s="144"/>
      <c r="S430" s="142"/>
      <c r="T430" s="142"/>
    </row>
    <row r="431" spans="1:22" ht="14.4">
      <c r="A431" s="130" t="s">
        <v>195</v>
      </c>
      <c r="B431" s="144"/>
      <c r="C431" s="145"/>
      <c r="D431" s="145"/>
      <c r="E431" s="145"/>
      <c r="F431" s="145"/>
      <c r="G431" s="145"/>
      <c r="H431" s="145"/>
      <c r="I431" s="145"/>
      <c r="J431" s="145"/>
      <c r="K431" s="145"/>
      <c r="L431" s="145"/>
      <c r="M431" s="145"/>
      <c r="P431" s="145"/>
      <c r="Q431" s="145"/>
      <c r="R431" s="145"/>
      <c r="S431" s="143"/>
      <c r="T431" s="143">
        <v>180000</v>
      </c>
    </row>
    <row r="432" spans="1:22" ht="14.4">
      <c r="A432" s="135" t="s">
        <v>32</v>
      </c>
      <c r="B432" s="138"/>
      <c r="C432" s="133"/>
      <c r="D432" s="133"/>
      <c r="E432" s="133"/>
      <c r="F432" s="133"/>
      <c r="G432" s="133"/>
      <c r="H432" s="133"/>
      <c r="I432" s="133"/>
      <c r="J432" s="133"/>
      <c r="K432" s="133">
        <v>280648</v>
      </c>
      <c r="L432" s="133">
        <f>+K432+T431</f>
        <v>460648</v>
      </c>
      <c r="M432" s="133">
        <v>377062</v>
      </c>
      <c r="P432" s="133"/>
      <c r="Q432" s="133"/>
      <c r="R432" s="133"/>
      <c r="S432" s="134"/>
      <c r="T432" s="134"/>
      <c r="V432" s="149"/>
    </row>
    <row r="433" spans="1:20">
      <c r="A433" s="141" t="s">
        <v>130</v>
      </c>
      <c r="B433" s="131">
        <f>SUM(B432)</f>
        <v>0</v>
      </c>
      <c r="C433" s="131">
        <f t="shared" ref="C433:K433" si="113">SUM(C432)</f>
        <v>0</v>
      </c>
      <c r="D433" s="131">
        <f t="shared" si="113"/>
        <v>0</v>
      </c>
      <c r="E433" s="131">
        <f t="shared" si="113"/>
        <v>0</v>
      </c>
      <c r="F433" s="131">
        <f t="shared" si="113"/>
        <v>0</v>
      </c>
      <c r="G433" s="131">
        <f t="shared" si="113"/>
        <v>0</v>
      </c>
      <c r="H433" s="131">
        <f>SUM(H432)</f>
        <v>0</v>
      </c>
      <c r="I433" s="131">
        <v>0</v>
      </c>
      <c r="J433" s="131">
        <v>0</v>
      </c>
      <c r="K433" s="131">
        <f t="shared" si="113"/>
        <v>280648</v>
      </c>
      <c r="L433" s="131">
        <f>SUM(L432:L432)</f>
        <v>460648</v>
      </c>
      <c r="M433" s="131">
        <f>SUM(M432:M432)</f>
        <v>377062</v>
      </c>
      <c r="P433" s="131">
        <f>SUM(P432:P432)</f>
        <v>0</v>
      </c>
      <c r="Q433" s="131">
        <f>SUM(Q432:Q432)</f>
        <v>0</v>
      </c>
      <c r="R433" s="131">
        <f>SUM(R432:R432)</f>
        <v>0</v>
      </c>
      <c r="S433" s="142"/>
      <c r="T433" s="142"/>
    </row>
    <row r="434" spans="1:20">
      <c r="A434" s="141"/>
      <c r="B434" s="144"/>
      <c r="C434" s="144"/>
      <c r="D434" s="144"/>
      <c r="E434" s="144"/>
      <c r="F434" s="144"/>
      <c r="G434" s="144"/>
      <c r="H434" s="144"/>
      <c r="I434" s="144"/>
      <c r="J434" s="144"/>
      <c r="K434" s="144"/>
      <c r="L434" s="144"/>
      <c r="M434" s="144"/>
      <c r="P434" s="144"/>
      <c r="Q434" s="144"/>
      <c r="R434" s="144"/>
      <c r="S434" s="142"/>
      <c r="T434" s="142"/>
    </row>
    <row r="435" spans="1:20" ht="14.4" hidden="1" customHeight="1">
      <c r="A435" s="130" t="s">
        <v>196</v>
      </c>
      <c r="B435" s="144"/>
      <c r="C435" s="145"/>
      <c r="D435" s="145"/>
      <c r="E435" s="145"/>
      <c r="F435" s="145"/>
      <c r="G435" s="145"/>
      <c r="H435" s="145"/>
      <c r="I435" s="145"/>
      <c r="J435" s="145"/>
      <c r="K435" s="145"/>
      <c r="L435" s="145"/>
      <c r="M435" s="145"/>
      <c r="P435" s="145"/>
      <c r="Q435" s="145"/>
      <c r="R435" s="145"/>
      <c r="S435" s="143"/>
      <c r="T435" s="143"/>
    </row>
    <row r="436" spans="1:20" ht="14.4" hidden="1" customHeight="1">
      <c r="A436" s="135" t="s">
        <v>138</v>
      </c>
      <c r="B436" s="138">
        <v>103529</v>
      </c>
      <c r="C436" s="133"/>
      <c r="D436" s="133"/>
      <c r="E436" s="133"/>
      <c r="F436" s="133"/>
      <c r="G436" s="133"/>
      <c r="H436" s="133"/>
      <c r="I436" s="133"/>
      <c r="J436" s="133"/>
      <c r="K436" s="133"/>
      <c r="L436" s="133"/>
      <c r="M436" s="133"/>
      <c r="P436" s="133"/>
      <c r="Q436" s="133"/>
      <c r="R436" s="133"/>
      <c r="S436" s="134"/>
      <c r="T436" s="134"/>
    </row>
    <row r="437" spans="1:20" ht="13.2" hidden="1" customHeight="1">
      <c r="A437" s="141" t="s">
        <v>130</v>
      </c>
      <c r="B437" s="131">
        <f>SUM(B436)</f>
        <v>103529</v>
      </c>
      <c r="C437" s="131">
        <f t="shared" ref="C437:L437" si="114">SUM(C436)</f>
        <v>0</v>
      </c>
      <c r="D437" s="131">
        <f t="shared" si="114"/>
        <v>0</v>
      </c>
      <c r="E437" s="131">
        <f t="shared" si="114"/>
        <v>0</v>
      </c>
      <c r="F437" s="131">
        <f t="shared" si="114"/>
        <v>0</v>
      </c>
      <c r="G437" s="131">
        <f t="shared" si="114"/>
        <v>0</v>
      </c>
      <c r="H437" s="131">
        <f>SUM(H436)</f>
        <v>0</v>
      </c>
      <c r="I437" s="131"/>
      <c r="J437" s="131"/>
      <c r="K437" s="131">
        <f t="shared" si="114"/>
        <v>0</v>
      </c>
      <c r="L437" s="131">
        <f t="shared" si="114"/>
        <v>0</v>
      </c>
      <c r="M437" s="131"/>
      <c r="P437" s="131">
        <f t="shared" ref="P437:R437" si="115">SUM(P436)</f>
        <v>0</v>
      </c>
      <c r="Q437" s="131">
        <f t="shared" si="115"/>
        <v>0</v>
      </c>
      <c r="R437" s="131">
        <f t="shared" si="115"/>
        <v>0</v>
      </c>
      <c r="S437" s="142"/>
      <c r="T437" s="142"/>
    </row>
    <row r="438" spans="1:20" ht="13.2" hidden="1" customHeight="1">
      <c r="A438" s="141"/>
      <c r="B438" s="144"/>
      <c r="C438" s="144"/>
      <c r="D438" s="144"/>
      <c r="E438" s="144"/>
      <c r="F438" s="144"/>
      <c r="G438" s="144"/>
      <c r="H438" s="144"/>
      <c r="I438" s="144"/>
      <c r="J438" s="144"/>
      <c r="K438" s="144"/>
      <c r="L438" s="144"/>
      <c r="M438" s="144"/>
      <c r="P438" s="144"/>
      <c r="Q438" s="144"/>
      <c r="R438" s="144"/>
      <c r="S438" s="142"/>
      <c r="T438" s="142"/>
    </row>
    <row r="439" spans="1:20" ht="27" hidden="1" customHeight="1">
      <c r="A439" s="130" t="s">
        <v>197</v>
      </c>
      <c r="B439" s="144"/>
      <c r="C439" s="145"/>
      <c r="D439" s="145"/>
      <c r="E439" s="145"/>
      <c r="F439" s="145"/>
      <c r="G439" s="145"/>
      <c r="H439" s="145"/>
      <c r="I439" s="145"/>
      <c r="J439" s="145"/>
      <c r="K439" s="145"/>
      <c r="L439" s="145"/>
      <c r="M439" s="145"/>
      <c r="P439" s="145"/>
      <c r="Q439" s="145"/>
      <c r="R439" s="145"/>
      <c r="S439" s="143"/>
      <c r="T439" s="143"/>
    </row>
    <row r="440" spans="1:20" ht="14.4" hidden="1" customHeight="1">
      <c r="A440" s="135" t="s">
        <v>138</v>
      </c>
      <c r="B440" s="138">
        <v>4576</v>
      </c>
      <c r="C440" s="133"/>
      <c r="D440" s="133"/>
      <c r="E440" s="133"/>
      <c r="F440" s="133"/>
      <c r="G440" s="133"/>
      <c r="H440" s="133"/>
      <c r="I440" s="133"/>
      <c r="J440" s="133"/>
      <c r="K440" s="133"/>
      <c r="L440" s="133"/>
      <c r="M440" s="133"/>
      <c r="P440" s="133"/>
      <c r="Q440" s="133"/>
      <c r="R440" s="133"/>
      <c r="S440" s="134"/>
      <c r="T440" s="134"/>
    </row>
    <row r="441" spans="1:20" ht="13.2" hidden="1" customHeight="1">
      <c r="A441" s="141" t="s">
        <v>130</v>
      </c>
      <c r="B441" s="131">
        <f>SUM(B440)</f>
        <v>4576</v>
      </c>
      <c r="C441" s="131">
        <f t="shared" ref="C441:L441" si="116">SUM(C440)</f>
        <v>0</v>
      </c>
      <c r="D441" s="131">
        <f t="shared" si="116"/>
        <v>0</v>
      </c>
      <c r="E441" s="131">
        <f t="shared" si="116"/>
        <v>0</v>
      </c>
      <c r="F441" s="131">
        <f t="shared" si="116"/>
        <v>0</v>
      </c>
      <c r="G441" s="131">
        <f t="shared" si="116"/>
        <v>0</v>
      </c>
      <c r="H441" s="131">
        <f>SUM(H440)</f>
        <v>0</v>
      </c>
      <c r="I441" s="131"/>
      <c r="J441" s="131"/>
      <c r="K441" s="131">
        <f t="shared" si="116"/>
        <v>0</v>
      </c>
      <c r="L441" s="131">
        <f t="shared" si="116"/>
        <v>0</v>
      </c>
      <c r="M441" s="131"/>
      <c r="P441" s="131">
        <f t="shared" ref="P441:R441" si="117">SUM(P440)</f>
        <v>0</v>
      </c>
      <c r="Q441" s="131">
        <f t="shared" si="117"/>
        <v>0</v>
      </c>
      <c r="R441" s="131">
        <f t="shared" si="117"/>
        <v>0</v>
      </c>
      <c r="S441" s="142"/>
      <c r="T441" s="142"/>
    </row>
    <row r="442" spans="1:20" ht="13.2" hidden="1" customHeight="1">
      <c r="A442" s="141"/>
      <c r="B442" s="144"/>
      <c r="C442" s="144"/>
      <c r="D442" s="144"/>
      <c r="E442" s="144"/>
      <c r="F442" s="144"/>
      <c r="G442" s="144"/>
      <c r="H442" s="144"/>
      <c r="I442" s="144"/>
      <c r="J442" s="144"/>
      <c r="K442" s="144"/>
      <c r="L442" s="144"/>
      <c r="M442" s="144"/>
      <c r="P442" s="144"/>
      <c r="Q442" s="144"/>
      <c r="R442" s="144"/>
      <c r="S442" s="142"/>
      <c r="T442" s="142"/>
    </row>
    <row r="443" spans="1:20" ht="14.4" hidden="1" customHeight="1">
      <c r="A443" s="130" t="s">
        <v>198</v>
      </c>
      <c r="B443" s="144"/>
      <c r="C443" s="145"/>
      <c r="D443" s="145"/>
      <c r="E443" s="145"/>
      <c r="F443" s="145"/>
      <c r="G443" s="145"/>
      <c r="H443" s="145"/>
      <c r="I443" s="145"/>
      <c r="J443" s="145"/>
      <c r="K443" s="145"/>
      <c r="L443" s="145"/>
      <c r="M443" s="145"/>
      <c r="P443" s="145"/>
      <c r="Q443" s="145"/>
      <c r="R443" s="145"/>
      <c r="S443" s="143"/>
      <c r="T443" s="143"/>
    </row>
    <row r="444" spans="1:20" ht="14.4" hidden="1" customHeight="1">
      <c r="A444" s="135" t="s">
        <v>138</v>
      </c>
      <c r="B444" s="138">
        <v>16034</v>
      </c>
      <c r="C444" s="133"/>
      <c r="D444" s="133"/>
      <c r="E444" s="133"/>
      <c r="F444" s="133"/>
      <c r="G444" s="133"/>
      <c r="H444" s="133"/>
      <c r="I444" s="133"/>
      <c r="J444" s="133"/>
      <c r="K444" s="133"/>
      <c r="L444" s="133"/>
      <c r="M444" s="133"/>
      <c r="P444" s="133"/>
      <c r="Q444" s="133"/>
      <c r="R444" s="133"/>
      <c r="S444" s="134"/>
      <c r="T444" s="134"/>
    </row>
    <row r="445" spans="1:20" ht="13.2" hidden="1" customHeight="1">
      <c r="A445" s="141" t="s">
        <v>130</v>
      </c>
      <c r="B445" s="131">
        <f>SUM(B444)</f>
        <v>16034</v>
      </c>
      <c r="C445" s="131">
        <f t="shared" ref="C445:L445" si="118">SUM(C444)</f>
        <v>0</v>
      </c>
      <c r="D445" s="131">
        <f t="shared" si="118"/>
        <v>0</v>
      </c>
      <c r="E445" s="131">
        <f t="shared" si="118"/>
        <v>0</v>
      </c>
      <c r="F445" s="131">
        <f t="shared" si="118"/>
        <v>0</v>
      </c>
      <c r="G445" s="131">
        <f t="shared" si="118"/>
        <v>0</v>
      </c>
      <c r="H445" s="131">
        <f>SUM(H444)</f>
        <v>0</v>
      </c>
      <c r="I445" s="131"/>
      <c r="J445" s="131"/>
      <c r="K445" s="131">
        <f t="shared" si="118"/>
        <v>0</v>
      </c>
      <c r="L445" s="131">
        <f t="shared" si="118"/>
        <v>0</v>
      </c>
      <c r="M445" s="131"/>
      <c r="P445" s="131">
        <f t="shared" ref="P445:R445" si="119">SUM(P444)</f>
        <v>0</v>
      </c>
      <c r="Q445" s="131">
        <f t="shared" si="119"/>
        <v>0</v>
      </c>
      <c r="R445" s="131">
        <f t="shared" si="119"/>
        <v>0</v>
      </c>
      <c r="S445" s="142"/>
      <c r="T445" s="142"/>
    </row>
    <row r="446" spans="1:20" ht="13.2" hidden="1" customHeight="1">
      <c r="A446" s="141"/>
      <c r="B446" s="144"/>
      <c r="C446" s="144"/>
      <c r="D446" s="144"/>
      <c r="E446" s="144"/>
      <c r="F446" s="144"/>
      <c r="G446" s="144"/>
      <c r="H446" s="144"/>
      <c r="I446" s="144"/>
      <c r="J446" s="144"/>
      <c r="K446" s="144"/>
      <c r="L446" s="144"/>
      <c r="M446" s="144"/>
      <c r="P446" s="144"/>
      <c r="Q446" s="144"/>
      <c r="R446" s="144"/>
      <c r="S446" s="142"/>
      <c r="T446" s="142"/>
    </row>
    <row r="447" spans="1:20" ht="27" hidden="1" customHeight="1">
      <c r="A447" s="130" t="s">
        <v>199</v>
      </c>
      <c r="B447" s="144"/>
      <c r="C447" s="145"/>
      <c r="D447" s="145"/>
      <c r="E447" s="145"/>
      <c r="F447" s="145"/>
      <c r="G447" s="145"/>
      <c r="H447" s="145"/>
      <c r="I447" s="145"/>
      <c r="J447" s="145"/>
      <c r="K447" s="145"/>
      <c r="L447" s="145"/>
      <c r="M447" s="145"/>
      <c r="P447" s="145"/>
      <c r="Q447" s="145"/>
      <c r="R447" s="145"/>
      <c r="S447" s="143"/>
      <c r="T447" s="143"/>
    </row>
    <row r="448" spans="1:20" ht="14.4" hidden="1" customHeight="1">
      <c r="A448" s="135" t="s">
        <v>138</v>
      </c>
      <c r="B448" s="138">
        <v>32621</v>
      </c>
      <c r="C448" s="133"/>
      <c r="D448" s="133"/>
      <c r="E448" s="133"/>
      <c r="F448" s="133"/>
      <c r="G448" s="133"/>
      <c r="H448" s="133"/>
      <c r="I448" s="133"/>
      <c r="J448" s="133"/>
      <c r="K448" s="133"/>
      <c r="L448" s="133"/>
      <c r="M448" s="133"/>
      <c r="P448" s="133"/>
      <c r="Q448" s="133"/>
      <c r="R448" s="133"/>
      <c r="S448" s="134"/>
      <c r="T448" s="134"/>
    </row>
    <row r="449" spans="1:20" ht="13.2" hidden="1" customHeight="1">
      <c r="A449" s="141" t="s">
        <v>130</v>
      </c>
      <c r="B449" s="131">
        <f>SUM(B448)</f>
        <v>32621</v>
      </c>
      <c r="C449" s="131">
        <f t="shared" ref="C449:L449" si="120">SUM(C448)</f>
        <v>0</v>
      </c>
      <c r="D449" s="131">
        <f t="shared" si="120"/>
        <v>0</v>
      </c>
      <c r="E449" s="131">
        <f t="shared" si="120"/>
        <v>0</v>
      </c>
      <c r="F449" s="131">
        <f t="shared" si="120"/>
        <v>0</v>
      </c>
      <c r="G449" s="131">
        <f t="shared" si="120"/>
        <v>0</v>
      </c>
      <c r="H449" s="131">
        <f>SUM(H448)</f>
        <v>0</v>
      </c>
      <c r="I449" s="131"/>
      <c r="J449" s="131"/>
      <c r="K449" s="131">
        <f t="shared" si="120"/>
        <v>0</v>
      </c>
      <c r="L449" s="131">
        <f t="shared" si="120"/>
        <v>0</v>
      </c>
      <c r="M449" s="131"/>
      <c r="P449" s="131">
        <f t="shared" ref="P449:R449" si="121">SUM(P448)</f>
        <v>0</v>
      </c>
      <c r="Q449" s="131">
        <f t="shared" si="121"/>
        <v>0</v>
      </c>
      <c r="R449" s="131">
        <f t="shared" si="121"/>
        <v>0</v>
      </c>
      <c r="S449" s="142"/>
      <c r="T449" s="142"/>
    </row>
    <row r="450" spans="1:20" ht="13.2" hidden="1" customHeight="1">
      <c r="A450" s="141"/>
      <c r="B450" s="144"/>
      <c r="C450" s="144"/>
      <c r="D450" s="144"/>
      <c r="E450" s="144"/>
      <c r="F450" s="144"/>
      <c r="G450" s="144"/>
      <c r="H450" s="144"/>
      <c r="I450" s="144"/>
      <c r="J450" s="144"/>
      <c r="K450" s="144"/>
      <c r="L450" s="144"/>
      <c r="M450" s="144"/>
      <c r="P450" s="144"/>
      <c r="Q450" s="144"/>
      <c r="R450" s="144"/>
      <c r="S450" s="142"/>
      <c r="T450" s="142"/>
    </row>
    <row r="451" spans="1:20" ht="27" hidden="1" customHeight="1">
      <c r="A451" s="130" t="s">
        <v>200</v>
      </c>
      <c r="B451" s="144"/>
      <c r="C451" s="145"/>
      <c r="D451" s="145"/>
      <c r="E451" s="145"/>
      <c r="F451" s="145"/>
      <c r="G451" s="145"/>
      <c r="H451" s="145"/>
      <c r="I451" s="145"/>
      <c r="J451" s="145"/>
      <c r="K451" s="145"/>
      <c r="L451" s="145"/>
      <c r="M451" s="145"/>
      <c r="P451" s="145"/>
      <c r="Q451" s="145"/>
      <c r="R451" s="145"/>
      <c r="S451" s="143"/>
      <c r="T451" s="143"/>
    </row>
    <row r="452" spans="1:20" ht="14.4" hidden="1" customHeight="1">
      <c r="A452" s="135" t="s">
        <v>138</v>
      </c>
      <c r="B452" s="138">
        <v>56075</v>
      </c>
      <c r="C452" s="133"/>
      <c r="D452" s="133"/>
      <c r="E452" s="133"/>
      <c r="F452" s="133"/>
      <c r="G452" s="133"/>
      <c r="H452" s="133"/>
      <c r="I452" s="133"/>
      <c r="J452" s="133"/>
      <c r="K452" s="133"/>
      <c r="L452" s="133"/>
      <c r="M452" s="133"/>
      <c r="P452" s="133"/>
      <c r="Q452" s="133"/>
      <c r="R452" s="133"/>
      <c r="S452" s="134"/>
      <c r="T452" s="134"/>
    </row>
    <row r="453" spans="1:20" ht="13.2" hidden="1" customHeight="1">
      <c r="A453" s="141" t="s">
        <v>130</v>
      </c>
      <c r="B453" s="131">
        <f>SUM(B452)</f>
        <v>56075</v>
      </c>
      <c r="C453" s="131">
        <f t="shared" ref="C453:L453" si="122">SUM(C452)</f>
        <v>0</v>
      </c>
      <c r="D453" s="131">
        <f t="shared" si="122"/>
        <v>0</v>
      </c>
      <c r="E453" s="131">
        <f t="shared" si="122"/>
        <v>0</v>
      </c>
      <c r="F453" s="131">
        <f t="shared" si="122"/>
        <v>0</v>
      </c>
      <c r="G453" s="131">
        <f t="shared" si="122"/>
        <v>0</v>
      </c>
      <c r="H453" s="131">
        <f>SUM(H452)</f>
        <v>0</v>
      </c>
      <c r="I453" s="131"/>
      <c r="J453" s="131"/>
      <c r="K453" s="131">
        <f t="shared" si="122"/>
        <v>0</v>
      </c>
      <c r="L453" s="131">
        <f t="shared" si="122"/>
        <v>0</v>
      </c>
      <c r="M453" s="131"/>
      <c r="P453" s="131">
        <f t="shared" ref="P453:R453" si="123">SUM(P452)</f>
        <v>0</v>
      </c>
      <c r="Q453" s="131">
        <f t="shared" si="123"/>
        <v>0</v>
      </c>
      <c r="R453" s="131">
        <f t="shared" si="123"/>
        <v>0</v>
      </c>
      <c r="S453" s="142"/>
      <c r="T453" s="142"/>
    </row>
    <row r="454" spans="1:20" ht="13.2" hidden="1" customHeight="1">
      <c r="A454" s="141"/>
      <c r="B454" s="144"/>
      <c r="C454" s="144"/>
      <c r="D454" s="144"/>
      <c r="E454" s="144"/>
      <c r="F454" s="144"/>
      <c r="G454" s="144"/>
      <c r="H454" s="144"/>
      <c r="I454" s="144"/>
      <c r="J454" s="144"/>
      <c r="K454" s="144"/>
      <c r="L454" s="144"/>
      <c r="M454" s="144"/>
      <c r="P454" s="144"/>
      <c r="Q454" s="144"/>
      <c r="R454" s="144"/>
      <c r="S454" s="142"/>
      <c r="T454" s="142"/>
    </row>
    <row r="455" spans="1:20" ht="27" hidden="1" customHeight="1">
      <c r="A455" s="130" t="s">
        <v>201</v>
      </c>
      <c r="B455" s="144"/>
      <c r="C455" s="145"/>
      <c r="D455" s="145"/>
      <c r="E455" s="145"/>
      <c r="F455" s="145"/>
      <c r="G455" s="145"/>
      <c r="H455" s="145"/>
      <c r="I455" s="145"/>
      <c r="J455" s="145"/>
      <c r="K455" s="145"/>
      <c r="L455" s="145"/>
      <c r="M455" s="145"/>
      <c r="P455" s="145"/>
      <c r="Q455" s="145"/>
      <c r="R455" s="145"/>
      <c r="S455" s="143"/>
      <c r="T455" s="143"/>
    </row>
    <row r="456" spans="1:20" ht="14.4" hidden="1" customHeight="1">
      <c r="A456" s="135" t="s">
        <v>138</v>
      </c>
      <c r="B456" s="138">
        <v>60828</v>
      </c>
      <c r="C456" s="133"/>
      <c r="D456" s="133"/>
      <c r="E456" s="133"/>
      <c r="F456" s="133"/>
      <c r="G456" s="133"/>
      <c r="H456" s="133"/>
      <c r="I456" s="133"/>
      <c r="J456" s="133"/>
      <c r="K456" s="133"/>
      <c r="L456" s="133"/>
      <c r="M456" s="133"/>
      <c r="P456" s="133"/>
      <c r="Q456" s="133"/>
      <c r="R456" s="133"/>
      <c r="S456" s="134"/>
      <c r="T456" s="134"/>
    </row>
    <row r="457" spans="1:20" ht="13.2" hidden="1" customHeight="1">
      <c r="A457" s="141" t="s">
        <v>130</v>
      </c>
      <c r="B457" s="131">
        <f>SUM(B456)</f>
        <v>60828</v>
      </c>
      <c r="C457" s="131">
        <f t="shared" ref="C457:L457" si="124">SUM(C456)</f>
        <v>0</v>
      </c>
      <c r="D457" s="131">
        <f t="shared" si="124"/>
        <v>0</v>
      </c>
      <c r="E457" s="131">
        <f t="shared" si="124"/>
        <v>0</v>
      </c>
      <c r="F457" s="131">
        <f t="shared" si="124"/>
        <v>0</v>
      </c>
      <c r="G457" s="131">
        <f t="shared" si="124"/>
        <v>0</v>
      </c>
      <c r="H457" s="131">
        <f>SUM(H456)</f>
        <v>0</v>
      </c>
      <c r="I457" s="131"/>
      <c r="J457" s="131"/>
      <c r="K457" s="131">
        <f t="shared" si="124"/>
        <v>0</v>
      </c>
      <c r="L457" s="131">
        <f t="shared" si="124"/>
        <v>0</v>
      </c>
      <c r="M457" s="131"/>
      <c r="P457" s="131">
        <f t="shared" ref="P457:R457" si="125">SUM(P456)</f>
        <v>0</v>
      </c>
      <c r="Q457" s="131">
        <f t="shared" si="125"/>
        <v>0</v>
      </c>
      <c r="R457" s="131">
        <f t="shared" si="125"/>
        <v>0</v>
      </c>
      <c r="S457" s="142"/>
      <c r="T457" s="142"/>
    </row>
    <row r="458" spans="1:20" ht="13.2" hidden="1" customHeight="1">
      <c r="A458" s="141"/>
      <c r="B458" s="144"/>
      <c r="C458" s="144"/>
      <c r="D458" s="144"/>
      <c r="E458" s="144"/>
      <c r="F458" s="144"/>
      <c r="G458" s="144"/>
      <c r="H458" s="144"/>
      <c r="I458" s="144"/>
      <c r="J458" s="144"/>
      <c r="K458" s="144"/>
      <c r="L458" s="144"/>
      <c r="M458" s="144"/>
      <c r="P458" s="144"/>
      <c r="Q458" s="144"/>
      <c r="R458" s="144"/>
      <c r="S458" s="142"/>
      <c r="T458" s="142"/>
    </row>
    <row r="459" spans="1:20" ht="14.4" hidden="1" customHeight="1">
      <c r="A459" s="130" t="s">
        <v>202</v>
      </c>
      <c r="B459" s="144"/>
      <c r="C459" s="145"/>
      <c r="D459" s="145"/>
      <c r="E459" s="145"/>
      <c r="F459" s="145"/>
      <c r="G459" s="145"/>
      <c r="H459" s="145"/>
      <c r="I459" s="145"/>
      <c r="J459" s="145"/>
      <c r="K459" s="145"/>
      <c r="L459" s="145"/>
      <c r="M459" s="145"/>
      <c r="P459" s="145"/>
      <c r="Q459" s="145"/>
      <c r="R459" s="145"/>
      <c r="S459" s="143"/>
      <c r="T459" s="143"/>
    </row>
    <row r="460" spans="1:20" ht="14.4" hidden="1" customHeight="1">
      <c r="A460" s="135" t="s">
        <v>138</v>
      </c>
      <c r="B460" s="138"/>
      <c r="C460" s="133">
        <v>2932</v>
      </c>
      <c r="D460" s="133"/>
      <c r="E460" s="133"/>
      <c r="F460" s="133"/>
      <c r="G460" s="133"/>
      <c r="H460" s="133"/>
      <c r="I460" s="133"/>
      <c r="J460" s="133"/>
      <c r="K460" s="133"/>
      <c r="L460" s="133"/>
      <c r="M460" s="133"/>
      <c r="P460" s="133"/>
      <c r="Q460" s="133"/>
      <c r="R460" s="133"/>
      <c r="S460" s="134"/>
      <c r="T460" s="134"/>
    </row>
    <row r="461" spans="1:20" ht="13.2" hidden="1" customHeight="1">
      <c r="A461" s="141" t="s">
        <v>130</v>
      </c>
      <c r="B461" s="131">
        <f>SUM(B460)</f>
        <v>0</v>
      </c>
      <c r="C461" s="131">
        <f t="shared" ref="C461:L461" si="126">SUM(C460)</f>
        <v>2932</v>
      </c>
      <c r="D461" s="131">
        <f t="shared" si="126"/>
        <v>0</v>
      </c>
      <c r="E461" s="131">
        <f t="shared" si="126"/>
        <v>0</v>
      </c>
      <c r="F461" s="131">
        <f t="shared" si="126"/>
        <v>0</v>
      </c>
      <c r="G461" s="131">
        <f t="shared" si="126"/>
        <v>0</v>
      </c>
      <c r="H461" s="131">
        <f>SUM(H460)</f>
        <v>0</v>
      </c>
      <c r="I461" s="131"/>
      <c r="J461" s="131"/>
      <c r="K461" s="131">
        <f t="shared" si="126"/>
        <v>0</v>
      </c>
      <c r="L461" s="131">
        <f t="shared" si="126"/>
        <v>0</v>
      </c>
      <c r="M461" s="131"/>
      <c r="P461" s="131">
        <f t="shared" ref="P461:R461" si="127">SUM(P460)</f>
        <v>0</v>
      </c>
      <c r="Q461" s="131">
        <f t="shared" si="127"/>
        <v>0</v>
      </c>
      <c r="R461" s="131">
        <f t="shared" si="127"/>
        <v>0</v>
      </c>
      <c r="S461" s="142"/>
      <c r="T461" s="142"/>
    </row>
    <row r="462" spans="1:20" ht="13.2" hidden="1" customHeight="1">
      <c r="A462" s="141"/>
      <c r="B462" s="144"/>
      <c r="C462" s="144"/>
      <c r="D462" s="144"/>
      <c r="E462" s="144"/>
      <c r="F462" s="144"/>
      <c r="G462" s="144"/>
      <c r="H462" s="144"/>
      <c r="I462" s="144"/>
      <c r="J462" s="144"/>
      <c r="K462" s="144"/>
      <c r="L462" s="144"/>
      <c r="M462" s="144"/>
      <c r="P462" s="144"/>
      <c r="Q462" s="144"/>
      <c r="R462" s="144"/>
      <c r="S462" s="142"/>
      <c r="T462" s="142"/>
    </row>
    <row r="463" spans="1:20" ht="27" hidden="1" customHeight="1">
      <c r="A463" s="130" t="s">
        <v>203</v>
      </c>
      <c r="B463" s="144"/>
      <c r="C463" s="145"/>
      <c r="D463" s="145"/>
      <c r="E463" s="145"/>
      <c r="F463" s="145"/>
      <c r="G463" s="145"/>
      <c r="H463" s="145"/>
      <c r="I463" s="145"/>
      <c r="J463" s="145"/>
      <c r="K463" s="145"/>
      <c r="L463" s="145"/>
      <c r="M463" s="145"/>
      <c r="P463" s="145"/>
      <c r="Q463" s="145"/>
      <c r="R463" s="145"/>
      <c r="S463" s="143"/>
      <c r="T463" s="143"/>
    </row>
    <row r="464" spans="1:20" ht="14.4" hidden="1" customHeight="1">
      <c r="A464" s="135" t="s">
        <v>138</v>
      </c>
      <c r="B464" s="138"/>
      <c r="C464" s="133">
        <v>79928</v>
      </c>
      <c r="D464" s="133"/>
      <c r="E464" s="133"/>
      <c r="F464" s="133"/>
      <c r="G464" s="133"/>
      <c r="H464" s="133"/>
      <c r="I464" s="133"/>
      <c r="J464" s="133"/>
      <c r="K464" s="133"/>
      <c r="L464" s="133"/>
      <c r="M464" s="133"/>
      <c r="P464" s="133"/>
      <c r="Q464" s="133"/>
      <c r="R464" s="133"/>
      <c r="S464" s="134"/>
      <c r="T464" s="134"/>
    </row>
    <row r="465" spans="1:20" ht="13.2" hidden="1" customHeight="1">
      <c r="A465" s="141" t="s">
        <v>130</v>
      </c>
      <c r="B465" s="131">
        <f>SUM(B464)</f>
        <v>0</v>
      </c>
      <c r="C465" s="131">
        <f t="shared" ref="C465:L465" si="128">SUM(C464)</f>
        <v>79928</v>
      </c>
      <c r="D465" s="131">
        <f t="shared" si="128"/>
        <v>0</v>
      </c>
      <c r="E465" s="131">
        <f t="shared" si="128"/>
        <v>0</v>
      </c>
      <c r="F465" s="131">
        <f t="shared" si="128"/>
        <v>0</v>
      </c>
      <c r="G465" s="131">
        <f t="shared" si="128"/>
        <v>0</v>
      </c>
      <c r="H465" s="131">
        <f>SUM(H464)</f>
        <v>0</v>
      </c>
      <c r="I465" s="131"/>
      <c r="J465" s="131"/>
      <c r="K465" s="131">
        <f t="shared" si="128"/>
        <v>0</v>
      </c>
      <c r="L465" s="131">
        <f t="shared" si="128"/>
        <v>0</v>
      </c>
      <c r="M465" s="131"/>
      <c r="P465" s="131">
        <f t="shared" ref="P465:R465" si="129">SUM(P464)</f>
        <v>0</v>
      </c>
      <c r="Q465" s="131">
        <f t="shared" si="129"/>
        <v>0</v>
      </c>
      <c r="R465" s="131">
        <f t="shared" si="129"/>
        <v>0</v>
      </c>
      <c r="S465" s="142"/>
      <c r="T465" s="142"/>
    </row>
    <row r="466" spans="1:20" ht="13.2" hidden="1" customHeight="1">
      <c r="A466" s="141"/>
      <c r="B466" s="144"/>
      <c r="C466" s="144"/>
      <c r="D466" s="144"/>
      <c r="E466" s="144"/>
      <c r="F466" s="144"/>
      <c r="G466" s="144"/>
      <c r="H466" s="144"/>
      <c r="I466" s="144"/>
      <c r="J466" s="144"/>
      <c r="K466" s="144"/>
      <c r="L466" s="144"/>
      <c r="M466" s="144"/>
      <c r="P466" s="144"/>
      <c r="Q466" s="144"/>
      <c r="R466" s="144"/>
      <c r="S466" s="142"/>
      <c r="T466" s="142"/>
    </row>
    <row r="467" spans="1:20" ht="14.4" hidden="1" customHeight="1">
      <c r="A467" s="130" t="s">
        <v>204</v>
      </c>
      <c r="B467" s="144"/>
      <c r="C467" s="145"/>
      <c r="D467" s="145"/>
      <c r="E467" s="145"/>
      <c r="F467" s="145"/>
      <c r="G467" s="145"/>
      <c r="H467" s="145"/>
      <c r="I467" s="145"/>
      <c r="J467" s="145"/>
      <c r="K467" s="145"/>
      <c r="L467" s="145"/>
      <c r="M467" s="145"/>
      <c r="P467" s="145"/>
      <c r="Q467" s="145"/>
      <c r="R467" s="145"/>
      <c r="S467" s="143"/>
      <c r="T467" s="143"/>
    </row>
    <row r="468" spans="1:20" ht="14.4" hidden="1" customHeight="1">
      <c r="A468" s="135" t="s">
        <v>138</v>
      </c>
      <c r="B468" s="138"/>
      <c r="C468" s="133">
        <v>2865</v>
      </c>
      <c r="D468" s="133"/>
      <c r="E468" s="133"/>
      <c r="F468" s="133"/>
      <c r="G468" s="133"/>
      <c r="H468" s="133"/>
      <c r="I468" s="133"/>
      <c r="J468" s="133"/>
      <c r="K468" s="133"/>
      <c r="L468" s="133"/>
      <c r="M468" s="133"/>
      <c r="P468" s="133"/>
      <c r="Q468" s="133"/>
      <c r="R468" s="133"/>
      <c r="S468" s="134"/>
      <c r="T468" s="134"/>
    </row>
    <row r="469" spans="1:20" ht="13.2" hidden="1" customHeight="1">
      <c r="A469" s="141" t="s">
        <v>130</v>
      </c>
      <c r="B469" s="131">
        <f>SUM(B468)</f>
        <v>0</v>
      </c>
      <c r="C469" s="131">
        <f t="shared" ref="C469:L469" si="130">SUM(C468)</f>
        <v>2865</v>
      </c>
      <c r="D469" s="131">
        <f t="shared" si="130"/>
        <v>0</v>
      </c>
      <c r="E469" s="131">
        <f t="shared" si="130"/>
        <v>0</v>
      </c>
      <c r="F469" s="131">
        <f t="shared" si="130"/>
        <v>0</v>
      </c>
      <c r="G469" s="131">
        <f t="shared" si="130"/>
        <v>0</v>
      </c>
      <c r="H469" s="131">
        <f>SUM(H468)</f>
        <v>0</v>
      </c>
      <c r="I469" s="131"/>
      <c r="J469" s="131"/>
      <c r="K469" s="131">
        <f t="shared" si="130"/>
        <v>0</v>
      </c>
      <c r="L469" s="131">
        <f t="shared" si="130"/>
        <v>0</v>
      </c>
      <c r="M469" s="131"/>
      <c r="P469" s="131">
        <f t="shared" ref="P469:R469" si="131">SUM(P468)</f>
        <v>0</v>
      </c>
      <c r="Q469" s="131">
        <f t="shared" si="131"/>
        <v>0</v>
      </c>
      <c r="R469" s="131">
        <f t="shared" si="131"/>
        <v>0</v>
      </c>
      <c r="S469" s="142"/>
      <c r="T469" s="142"/>
    </row>
    <row r="470" spans="1:20" ht="13.2" hidden="1" customHeight="1">
      <c r="A470" s="141"/>
      <c r="B470" s="144"/>
      <c r="C470" s="144"/>
      <c r="D470" s="144"/>
      <c r="E470" s="144"/>
      <c r="F470" s="144"/>
      <c r="G470" s="144"/>
      <c r="H470" s="144"/>
      <c r="I470" s="144"/>
      <c r="J470" s="144"/>
      <c r="K470" s="144"/>
      <c r="L470" s="144"/>
      <c r="M470" s="144"/>
      <c r="P470" s="144"/>
      <c r="Q470" s="144"/>
      <c r="R470" s="144"/>
      <c r="S470" s="142"/>
      <c r="T470" s="142"/>
    </row>
    <row r="471" spans="1:20" ht="27" hidden="1" customHeight="1">
      <c r="A471" s="130" t="s">
        <v>205</v>
      </c>
      <c r="B471" s="144"/>
      <c r="C471" s="145"/>
      <c r="D471" s="145"/>
      <c r="E471" s="145"/>
      <c r="F471" s="145"/>
      <c r="G471" s="145"/>
      <c r="H471" s="145"/>
      <c r="I471" s="145"/>
      <c r="J471" s="145"/>
      <c r="K471" s="145"/>
      <c r="L471" s="145"/>
      <c r="M471" s="145"/>
      <c r="P471" s="145"/>
      <c r="Q471" s="145"/>
      <c r="R471" s="145"/>
      <c r="S471" s="143"/>
      <c r="T471" s="143"/>
    </row>
    <row r="472" spans="1:20" ht="14.4" hidden="1" customHeight="1">
      <c r="A472" s="135" t="s">
        <v>138</v>
      </c>
      <c r="B472" s="138"/>
      <c r="C472" s="133">
        <v>2875</v>
      </c>
      <c r="D472" s="133"/>
      <c r="E472" s="133"/>
      <c r="F472" s="133"/>
      <c r="G472" s="133"/>
      <c r="H472" s="133"/>
      <c r="I472" s="133"/>
      <c r="J472" s="133"/>
      <c r="K472" s="133"/>
      <c r="L472" s="133"/>
      <c r="M472" s="133"/>
      <c r="P472" s="133"/>
      <c r="Q472" s="133"/>
      <c r="R472" s="133"/>
      <c r="S472" s="134"/>
      <c r="T472" s="134"/>
    </row>
    <row r="473" spans="1:20" ht="13.2" hidden="1" customHeight="1">
      <c r="A473" s="141" t="s">
        <v>130</v>
      </c>
      <c r="B473" s="131">
        <f>SUM(B472)</f>
        <v>0</v>
      </c>
      <c r="C473" s="131">
        <f t="shared" ref="C473:L473" si="132">SUM(C472)</f>
        <v>2875</v>
      </c>
      <c r="D473" s="131">
        <f t="shared" si="132"/>
        <v>0</v>
      </c>
      <c r="E473" s="131">
        <f t="shared" si="132"/>
        <v>0</v>
      </c>
      <c r="F473" s="131">
        <f t="shared" si="132"/>
        <v>0</v>
      </c>
      <c r="G473" s="131">
        <f t="shared" si="132"/>
        <v>0</v>
      </c>
      <c r="H473" s="131">
        <f>SUM(H472)</f>
        <v>0</v>
      </c>
      <c r="I473" s="131"/>
      <c r="J473" s="131"/>
      <c r="K473" s="131">
        <f t="shared" si="132"/>
        <v>0</v>
      </c>
      <c r="L473" s="131">
        <f t="shared" si="132"/>
        <v>0</v>
      </c>
      <c r="M473" s="131"/>
      <c r="P473" s="131">
        <f t="shared" ref="P473:R473" si="133">SUM(P472)</f>
        <v>0</v>
      </c>
      <c r="Q473" s="131">
        <f t="shared" si="133"/>
        <v>0</v>
      </c>
      <c r="R473" s="131">
        <f t="shared" si="133"/>
        <v>0</v>
      </c>
      <c r="S473" s="142"/>
      <c r="T473" s="142"/>
    </row>
    <row r="474" spans="1:20" ht="13.2" hidden="1" customHeight="1">
      <c r="A474" s="141"/>
      <c r="B474" s="144"/>
      <c r="C474" s="144"/>
      <c r="D474" s="144"/>
      <c r="E474" s="144"/>
      <c r="F474" s="144"/>
      <c r="G474" s="144"/>
      <c r="H474" s="144"/>
      <c r="I474" s="144"/>
      <c r="J474" s="144"/>
      <c r="K474" s="144"/>
      <c r="L474" s="144"/>
      <c r="M474" s="144"/>
      <c r="P474" s="144"/>
      <c r="Q474" s="144"/>
      <c r="R474" s="144"/>
      <c r="S474" s="142"/>
      <c r="T474" s="142"/>
    </row>
    <row r="475" spans="1:20" ht="27" hidden="1" customHeight="1">
      <c r="A475" s="130" t="s">
        <v>206</v>
      </c>
      <c r="B475" s="144"/>
      <c r="C475" s="145"/>
      <c r="D475" s="145"/>
      <c r="E475" s="145"/>
      <c r="F475" s="145"/>
      <c r="G475" s="145"/>
      <c r="H475" s="145"/>
      <c r="I475" s="145"/>
      <c r="J475" s="145"/>
      <c r="K475" s="145"/>
      <c r="L475" s="145"/>
      <c r="M475" s="145"/>
      <c r="P475" s="145"/>
      <c r="Q475" s="145"/>
      <c r="R475" s="145"/>
      <c r="S475" s="143"/>
      <c r="T475" s="143"/>
    </row>
    <row r="476" spans="1:20" ht="14.4" hidden="1" customHeight="1">
      <c r="A476" s="135" t="s">
        <v>138</v>
      </c>
      <c r="B476" s="138"/>
      <c r="C476" s="133">
        <v>3331</v>
      </c>
      <c r="D476" s="133"/>
      <c r="E476" s="133"/>
      <c r="F476" s="133"/>
      <c r="G476" s="133"/>
      <c r="H476" s="133"/>
      <c r="I476" s="133"/>
      <c r="J476" s="133"/>
      <c r="K476" s="133"/>
      <c r="L476" s="133"/>
      <c r="M476" s="133"/>
      <c r="P476" s="133"/>
      <c r="Q476" s="133"/>
      <c r="R476" s="133"/>
      <c r="S476" s="134"/>
      <c r="T476" s="134"/>
    </row>
    <row r="477" spans="1:20" ht="13.2" hidden="1" customHeight="1">
      <c r="A477" s="141" t="s">
        <v>130</v>
      </c>
      <c r="B477" s="131">
        <f>SUM(B476)</f>
        <v>0</v>
      </c>
      <c r="C477" s="131">
        <f t="shared" ref="C477:L477" si="134">SUM(C476)</f>
        <v>3331</v>
      </c>
      <c r="D477" s="131">
        <f t="shared" si="134"/>
        <v>0</v>
      </c>
      <c r="E477" s="131">
        <f t="shared" si="134"/>
        <v>0</v>
      </c>
      <c r="F477" s="131">
        <f t="shared" si="134"/>
        <v>0</v>
      </c>
      <c r="G477" s="131">
        <f t="shared" si="134"/>
        <v>0</v>
      </c>
      <c r="H477" s="131">
        <f>SUM(H476)</f>
        <v>0</v>
      </c>
      <c r="I477" s="131"/>
      <c r="J477" s="131"/>
      <c r="K477" s="131">
        <f t="shared" si="134"/>
        <v>0</v>
      </c>
      <c r="L477" s="131">
        <f t="shared" si="134"/>
        <v>0</v>
      </c>
      <c r="M477" s="131"/>
      <c r="P477" s="131">
        <f t="shared" ref="P477:R477" si="135">SUM(P476)</f>
        <v>0</v>
      </c>
      <c r="Q477" s="131">
        <f t="shared" si="135"/>
        <v>0</v>
      </c>
      <c r="R477" s="131">
        <f t="shared" si="135"/>
        <v>0</v>
      </c>
      <c r="S477" s="142"/>
      <c r="T477" s="142"/>
    </row>
    <row r="478" spans="1:20" ht="13.2" hidden="1" customHeight="1">
      <c r="A478" s="141"/>
      <c r="B478" s="144"/>
      <c r="C478" s="144"/>
      <c r="D478" s="144"/>
      <c r="E478" s="144"/>
      <c r="F478" s="144"/>
      <c r="G478" s="144"/>
      <c r="H478" s="144"/>
      <c r="I478" s="144"/>
      <c r="J478" s="144"/>
      <c r="K478" s="144"/>
      <c r="L478" s="144"/>
      <c r="M478" s="144"/>
      <c r="P478" s="144"/>
      <c r="Q478" s="144"/>
      <c r="R478" s="144"/>
      <c r="S478" s="142"/>
      <c r="T478" s="142"/>
    </row>
    <row r="479" spans="1:20" ht="27" hidden="1" customHeight="1">
      <c r="A479" s="130" t="s">
        <v>207</v>
      </c>
      <c r="B479" s="144"/>
      <c r="C479" s="145"/>
      <c r="D479" s="145"/>
      <c r="E479" s="145"/>
      <c r="F479" s="145"/>
      <c r="G479" s="145"/>
      <c r="H479" s="145"/>
      <c r="I479" s="145"/>
      <c r="J479" s="145"/>
      <c r="K479" s="145"/>
      <c r="L479" s="145"/>
      <c r="M479" s="145"/>
      <c r="P479" s="145"/>
      <c r="Q479" s="145"/>
      <c r="R479" s="145"/>
      <c r="S479" s="143"/>
      <c r="T479" s="143"/>
    </row>
    <row r="480" spans="1:20" ht="14.4" hidden="1" customHeight="1">
      <c r="A480" s="135" t="s">
        <v>138</v>
      </c>
      <c r="B480" s="138"/>
      <c r="C480" s="133">
        <v>3367</v>
      </c>
      <c r="D480" s="133"/>
      <c r="E480" s="133"/>
      <c r="F480" s="133"/>
      <c r="G480" s="133"/>
      <c r="H480" s="133"/>
      <c r="I480" s="133"/>
      <c r="J480" s="133"/>
      <c r="K480" s="133"/>
      <c r="L480" s="133"/>
      <c r="M480" s="133"/>
      <c r="P480" s="133"/>
      <c r="Q480" s="133"/>
      <c r="R480" s="133"/>
      <c r="S480" s="134"/>
      <c r="T480" s="134"/>
    </row>
    <row r="481" spans="1:20" ht="13.2" hidden="1" customHeight="1">
      <c r="A481" s="141" t="s">
        <v>130</v>
      </c>
      <c r="B481" s="131">
        <f>SUM(B480)</f>
        <v>0</v>
      </c>
      <c r="C481" s="131">
        <f t="shared" ref="C481:L481" si="136">SUM(C480)</f>
        <v>3367</v>
      </c>
      <c r="D481" s="131">
        <f t="shared" si="136"/>
        <v>0</v>
      </c>
      <c r="E481" s="131">
        <f t="shared" si="136"/>
        <v>0</v>
      </c>
      <c r="F481" s="131">
        <f t="shared" si="136"/>
        <v>0</v>
      </c>
      <c r="G481" s="131">
        <f t="shared" si="136"/>
        <v>0</v>
      </c>
      <c r="H481" s="131">
        <f>SUM(H480)</f>
        <v>0</v>
      </c>
      <c r="I481" s="131"/>
      <c r="J481" s="131"/>
      <c r="K481" s="131">
        <f t="shared" si="136"/>
        <v>0</v>
      </c>
      <c r="L481" s="131">
        <f t="shared" si="136"/>
        <v>0</v>
      </c>
      <c r="M481" s="131"/>
      <c r="P481" s="131">
        <f t="shared" ref="P481:R481" si="137">SUM(P480)</f>
        <v>0</v>
      </c>
      <c r="Q481" s="131">
        <f t="shared" si="137"/>
        <v>0</v>
      </c>
      <c r="R481" s="131">
        <f t="shared" si="137"/>
        <v>0</v>
      </c>
      <c r="S481" s="142"/>
      <c r="T481" s="142"/>
    </row>
    <row r="482" spans="1:20" ht="13.2" hidden="1" customHeight="1">
      <c r="A482" s="141"/>
      <c r="B482" s="144"/>
      <c r="C482" s="144"/>
      <c r="D482" s="144"/>
      <c r="E482" s="144"/>
      <c r="F482" s="144"/>
      <c r="G482" s="144"/>
      <c r="H482" s="144"/>
      <c r="I482" s="144"/>
      <c r="J482" s="144"/>
      <c r="K482" s="144"/>
      <c r="L482" s="144"/>
      <c r="M482" s="144"/>
      <c r="P482" s="144"/>
      <c r="Q482" s="144"/>
      <c r="R482" s="144"/>
      <c r="S482" s="142"/>
      <c r="T482" s="142"/>
    </row>
    <row r="483" spans="1:20" ht="27" hidden="1" customHeight="1">
      <c r="A483" s="130" t="s">
        <v>208</v>
      </c>
      <c r="B483" s="144"/>
      <c r="C483" s="145"/>
      <c r="D483" s="145"/>
      <c r="E483" s="145"/>
      <c r="F483" s="145"/>
      <c r="G483" s="145"/>
      <c r="H483" s="145"/>
      <c r="I483" s="145"/>
      <c r="J483" s="145"/>
      <c r="K483" s="145"/>
      <c r="L483" s="145"/>
      <c r="M483" s="145"/>
      <c r="P483" s="145"/>
      <c r="Q483" s="145"/>
      <c r="R483" s="145"/>
      <c r="S483" s="143"/>
      <c r="T483" s="143"/>
    </row>
    <row r="484" spans="1:20" ht="14.4" hidden="1" customHeight="1">
      <c r="A484" s="135" t="s">
        <v>138</v>
      </c>
      <c r="B484" s="138"/>
      <c r="C484" s="133">
        <v>16049</v>
      </c>
      <c r="D484" s="133"/>
      <c r="E484" s="133"/>
      <c r="F484" s="133"/>
      <c r="G484" s="133"/>
      <c r="H484" s="133"/>
      <c r="I484" s="133"/>
      <c r="J484" s="133"/>
      <c r="K484" s="133"/>
      <c r="L484" s="133"/>
      <c r="M484" s="133"/>
      <c r="P484" s="133"/>
      <c r="Q484" s="133"/>
      <c r="R484" s="133"/>
      <c r="S484" s="134"/>
      <c r="T484" s="134"/>
    </row>
    <row r="485" spans="1:20" ht="13.2" hidden="1" customHeight="1">
      <c r="A485" s="141" t="s">
        <v>130</v>
      </c>
      <c r="B485" s="131">
        <f>SUM(B484)</f>
        <v>0</v>
      </c>
      <c r="C485" s="131">
        <f t="shared" ref="C485:L485" si="138">SUM(C484)</f>
        <v>16049</v>
      </c>
      <c r="D485" s="131">
        <f t="shared" si="138"/>
        <v>0</v>
      </c>
      <c r="E485" s="131">
        <f t="shared" si="138"/>
        <v>0</v>
      </c>
      <c r="F485" s="131">
        <f t="shared" si="138"/>
        <v>0</v>
      </c>
      <c r="G485" s="131">
        <f t="shared" si="138"/>
        <v>0</v>
      </c>
      <c r="H485" s="131">
        <f>SUM(H484)</f>
        <v>0</v>
      </c>
      <c r="I485" s="131"/>
      <c r="J485" s="131"/>
      <c r="K485" s="131">
        <f t="shared" si="138"/>
        <v>0</v>
      </c>
      <c r="L485" s="131">
        <f t="shared" si="138"/>
        <v>0</v>
      </c>
      <c r="M485" s="131"/>
      <c r="P485" s="131">
        <f t="shared" ref="P485:R485" si="139">SUM(P484)</f>
        <v>0</v>
      </c>
      <c r="Q485" s="131">
        <f t="shared" si="139"/>
        <v>0</v>
      </c>
      <c r="R485" s="131">
        <f t="shared" si="139"/>
        <v>0</v>
      </c>
      <c r="S485" s="142"/>
      <c r="T485" s="142"/>
    </row>
    <row r="486" spans="1:20" ht="13.2" hidden="1" customHeight="1">
      <c r="A486" s="141"/>
      <c r="B486" s="144"/>
      <c r="C486" s="144"/>
      <c r="D486" s="144"/>
      <c r="E486" s="144"/>
      <c r="F486" s="144"/>
      <c r="G486" s="144"/>
      <c r="H486" s="144"/>
      <c r="I486" s="144"/>
      <c r="J486" s="144"/>
      <c r="K486" s="144"/>
      <c r="L486" s="144"/>
      <c r="M486" s="144"/>
      <c r="P486" s="144"/>
      <c r="Q486" s="144"/>
      <c r="R486" s="144"/>
      <c r="S486" s="142"/>
      <c r="T486" s="142"/>
    </row>
    <row r="487" spans="1:20" ht="27" hidden="1" customHeight="1">
      <c r="A487" s="130" t="s">
        <v>209</v>
      </c>
      <c r="B487" s="144"/>
      <c r="C487" s="145"/>
      <c r="D487" s="145"/>
      <c r="E487" s="145"/>
      <c r="F487" s="145"/>
      <c r="G487" s="145"/>
      <c r="H487" s="145"/>
      <c r="I487" s="145"/>
      <c r="J487" s="145"/>
      <c r="K487" s="145"/>
      <c r="L487" s="145"/>
      <c r="M487" s="145"/>
      <c r="P487" s="145"/>
      <c r="Q487" s="145"/>
      <c r="R487" s="145"/>
      <c r="S487" s="143"/>
      <c r="T487" s="143"/>
    </row>
    <row r="488" spans="1:20" ht="14.4" hidden="1" customHeight="1">
      <c r="A488" s="135" t="s">
        <v>138</v>
      </c>
      <c r="B488" s="138"/>
      <c r="C488" s="133">
        <v>70280</v>
      </c>
      <c r="D488" s="133"/>
      <c r="E488" s="133"/>
      <c r="F488" s="133"/>
      <c r="G488" s="133"/>
      <c r="H488" s="133"/>
      <c r="I488" s="133"/>
      <c r="J488" s="133"/>
      <c r="K488" s="133"/>
      <c r="L488" s="133"/>
      <c r="M488" s="133"/>
      <c r="P488" s="133"/>
      <c r="Q488" s="133"/>
      <c r="R488" s="133"/>
      <c r="S488" s="134"/>
      <c r="T488" s="134"/>
    </row>
    <row r="489" spans="1:20" ht="13.2" hidden="1" customHeight="1">
      <c r="A489" s="141" t="s">
        <v>130</v>
      </c>
      <c r="B489" s="131">
        <f>SUM(B488)</f>
        <v>0</v>
      </c>
      <c r="C489" s="131">
        <f t="shared" ref="C489:L489" si="140">SUM(C488)</f>
        <v>70280</v>
      </c>
      <c r="D489" s="131">
        <f t="shared" si="140"/>
        <v>0</v>
      </c>
      <c r="E489" s="131">
        <f t="shared" si="140"/>
        <v>0</v>
      </c>
      <c r="F489" s="131">
        <f t="shared" si="140"/>
        <v>0</v>
      </c>
      <c r="G489" s="131">
        <f t="shared" si="140"/>
        <v>0</v>
      </c>
      <c r="H489" s="131">
        <f>SUM(H488)</f>
        <v>0</v>
      </c>
      <c r="I489" s="131"/>
      <c r="J489" s="131"/>
      <c r="K489" s="131">
        <f t="shared" si="140"/>
        <v>0</v>
      </c>
      <c r="L489" s="131">
        <f t="shared" si="140"/>
        <v>0</v>
      </c>
      <c r="M489" s="131"/>
      <c r="P489" s="131">
        <f t="shared" ref="P489:R489" si="141">SUM(P488)</f>
        <v>0</v>
      </c>
      <c r="Q489" s="131">
        <f t="shared" si="141"/>
        <v>0</v>
      </c>
      <c r="R489" s="131">
        <f t="shared" si="141"/>
        <v>0</v>
      </c>
      <c r="S489" s="142"/>
      <c r="T489" s="142"/>
    </row>
    <row r="490" spans="1:20" ht="13.2" hidden="1" customHeight="1">
      <c r="A490" s="141"/>
      <c r="B490" s="144"/>
      <c r="C490" s="144"/>
      <c r="D490" s="144"/>
      <c r="E490" s="144"/>
      <c r="F490" s="144"/>
      <c r="G490" s="144"/>
      <c r="H490" s="144"/>
      <c r="I490" s="144"/>
      <c r="J490" s="144"/>
      <c r="K490" s="144"/>
      <c r="L490" s="144"/>
      <c r="M490" s="144"/>
      <c r="P490" s="144"/>
      <c r="Q490" s="144"/>
      <c r="R490" s="144"/>
      <c r="S490" s="142"/>
      <c r="T490" s="142"/>
    </row>
    <row r="491" spans="1:20" ht="14.4" hidden="1" customHeight="1">
      <c r="A491" s="130" t="s">
        <v>210</v>
      </c>
      <c r="B491" s="144"/>
      <c r="C491" s="145"/>
      <c r="D491" s="145"/>
      <c r="E491" s="145"/>
      <c r="F491" s="145"/>
      <c r="G491" s="145"/>
      <c r="H491" s="145"/>
      <c r="I491" s="145"/>
      <c r="J491" s="145"/>
      <c r="K491" s="145"/>
      <c r="L491" s="145"/>
      <c r="M491" s="145"/>
      <c r="P491" s="145"/>
      <c r="Q491" s="145"/>
      <c r="R491" s="145"/>
      <c r="S491" s="143"/>
      <c r="T491" s="143"/>
    </row>
    <row r="492" spans="1:20" ht="14.4" hidden="1" customHeight="1">
      <c r="A492" s="135" t="s">
        <v>138</v>
      </c>
      <c r="B492" s="138"/>
      <c r="C492" s="133">
        <v>2568</v>
      </c>
      <c r="D492" s="133"/>
      <c r="E492" s="133"/>
      <c r="F492" s="133"/>
      <c r="G492" s="133"/>
      <c r="H492" s="133"/>
      <c r="I492" s="133"/>
      <c r="J492" s="133"/>
      <c r="K492" s="133"/>
      <c r="L492" s="133"/>
      <c r="M492" s="133"/>
      <c r="P492" s="133"/>
      <c r="Q492" s="133"/>
      <c r="R492" s="133"/>
      <c r="S492" s="134"/>
      <c r="T492" s="134"/>
    </row>
    <row r="493" spans="1:20" ht="13.2" hidden="1" customHeight="1">
      <c r="A493" s="141" t="s">
        <v>130</v>
      </c>
      <c r="B493" s="131">
        <f>SUM(B492)</f>
        <v>0</v>
      </c>
      <c r="C493" s="131">
        <f t="shared" ref="C493:L493" si="142">SUM(C492)</f>
        <v>2568</v>
      </c>
      <c r="D493" s="131">
        <f t="shared" si="142"/>
        <v>0</v>
      </c>
      <c r="E493" s="131">
        <f t="shared" si="142"/>
        <v>0</v>
      </c>
      <c r="F493" s="131">
        <f t="shared" si="142"/>
        <v>0</v>
      </c>
      <c r="G493" s="131">
        <f t="shared" si="142"/>
        <v>0</v>
      </c>
      <c r="H493" s="131">
        <f>SUM(H492)</f>
        <v>0</v>
      </c>
      <c r="I493" s="131"/>
      <c r="J493" s="131"/>
      <c r="K493" s="131">
        <f t="shared" si="142"/>
        <v>0</v>
      </c>
      <c r="L493" s="131">
        <f t="shared" si="142"/>
        <v>0</v>
      </c>
      <c r="M493" s="131"/>
      <c r="P493" s="131">
        <f t="shared" ref="P493:R493" si="143">SUM(P492)</f>
        <v>0</v>
      </c>
      <c r="Q493" s="131">
        <f t="shared" si="143"/>
        <v>0</v>
      </c>
      <c r="R493" s="131">
        <f t="shared" si="143"/>
        <v>0</v>
      </c>
      <c r="S493" s="142"/>
      <c r="T493" s="142"/>
    </row>
    <row r="494" spans="1:20" ht="13.2" hidden="1" customHeight="1">
      <c r="A494" s="141"/>
      <c r="B494" s="144"/>
      <c r="C494" s="144"/>
      <c r="D494" s="144"/>
      <c r="E494" s="144"/>
      <c r="F494" s="144"/>
      <c r="G494" s="144"/>
      <c r="H494" s="144"/>
      <c r="I494" s="144"/>
      <c r="J494" s="144"/>
      <c r="K494" s="144"/>
      <c r="L494" s="144"/>
      <c r="M494" s="144"/>
      <c r="P494" s="144"/>
      <c r="Q494" s="144"/>
      <c r="R494" s="144"/>
      <c r="S494" s="142"/>
      <c r="T494" s="142"/>
    </row>
    <row r="495" spans="1:20" ht="14.4" hidden="1" customHeight="1">
      <c r="A495" s="130" t="s">
        <v>211</v>
      </c>
      <c r="B495" s="144"/>
      <c r="C495" s="145"/>
      <c r="D495" s="145"/>
      <c r="E495" s="145"/>
      <c r="F495" s="145"/>
      <c r="G495" s="145"/>
      <c r="H495" s="145"/>
      <c r="I495" s="145"/>
      <c r="J495" s="145"/>
      <c r="K495" s="145"/>
      <c r="L495" s="145"/>
      <c r="M495" s="145"/>
      <c r="P495" s="145"/>
      <c r="Q495" s="145"/>
      <c r="R495" s="145"/>
      <c r="S495" s="143"/>
      <c r="T495" s="143"/>
    </row>
    <row r="496" spans="1:20" ht="14.4" hidden="1" customHeight="1">
      <c r="A496" s="135" t="s">
        <v>26</v>
      </c>
      <c r="B496" s="136"/>
      <c r="C496" s="137"/>
      <c r="D496" s="137"/>
      <c r="E496" s="137"/>
      <c r="F496" s="137">
        <v>17582</v>
      </c>
      <c r="G496" s="137"/>
      <c r="H496" s="137"/>
      <c r="I496" s="137"/>
      <c r="J496" s="137"/>
      <c r="K496" s="137"/>
      <c r="L496" s="137"/>
      <c r="M496" s="137"/>
      <c r="P496" s="137"/>
      <c r="Q496" s="137"/>
      <c r="R496" s="137"/>
      <c r="S496" s="134"/>
      <c r="T496" s="134"/>
    </row>
    <row r="497" spans="1:20" ht="27" hidden="1" customHeight="1">
      <c r="A497" s="135" t="s">
        <v>27</v>
      </c>
      <c r="B497" s="138"/>
      <c r="C497" s="133"/>
      <c r="D497" s="133"/>
      <c r="E497" s="133"/>
      <c r="F497" s="133">
        <v>11651</v>
      </c>
      <c r="G497" s="133"/>
      <c r="H497" s="133"/>
      <c r="I497" s="133"/>
      <c r="J497" s="133"/>
      <c r="K497" s="133"/>
      <c r="L497" s="133"/>
      <c r="M497" s="133"/>
      <c r="P497" s="133"/>
      <c r="Q497" s="133"/>
      <c r="R497" s="133"/>
      <c r="S497" s="134"/>
      <c r="T497" s="134"/>
    </row>
    <row r="498" spans="1:20" ht="14.4" hidden="1" customHeight="1">
      <c r="A498" s="135" t="s">
        <v>28</v>
      </c>
      <c r="B498" s="139"/>
      <c r="C498" s="140"/>
      <c r="D498" s="140"/>
      <c r="E498" s="140"/>
      <c r="F498" s="140">
        <v>57235</v>
      </c>
      <c r="G498" s="140"/>
      <c r="H498" s="140"/>
      <c r="I498" s="140"/>
      <c r="J498" s="140"/>
      <c r="K498" s="140"/>
      <c r="L498" s="140"/>
      <c r="M498" s="140"/>
      <c r="P498" s="140"/>
      <c r="Q498" s="140"/>
      <c r="R498" s="140"/>
      <c r="S498" s="134"/>
      <c r="T498" s="134"/>
    </row>
    <row r="499" spans="1:20" ht="27" hidden="1" customHeight="1">
      <c r="A499" s="135" t="s">
        <v>29</v>
      </c>
      <c r="B499" s="139"/>
      <c r="C499" s="140"/>
      <c r="D499" s="140"/>
      <c r="E499" s="140"/>
      <c r="F499" s="140">
        <v>64209</v>
      </c>
      <c r="G499" s="140"/>
      <c r="H499" s="140"/>
      <c r="I499" s="140"/>
      <c r="J499" s="140"/>
      <c r="K499" s="140"/>
      <c r="L499" s="140"/>
      <c r="M499" s="140"/>
      <c r="P499" s="140"/>
      <c r="Q499" s="140"/>
      <c r="R499" s="140"/>
      <c r="S499" s="134"/>
      <c r="T499" s="134"/>
    </row>
    <row r="500" spans="1:20" ht="14.4" hidden="1" customHeight="1">
      <c r="A500" s="135" t="s">
        <v>30</v>
      </c>
      <c r="B500" s="139"/>
      <c r="C500" s="140"/>
      <c r="D500" s="140"/>
      <c r="E500" s="140"/>
      <c r="F500" s="140">
        <v>2148</v>
      </c>
      <c r="G500" s="140"/>
      <c r="H500" s="140"/>
      <c r="I500" s="140"/>
      <c r="J500" s="140"/>
      <c r="K500" s="140"/>
      <c r="L500" s="140"/>
      <c r="M500" s="140"/>
      <c r="P500" s="140"/>
      <c r="Q500" s="140"/>
      <c r="R500" s="140"/>
      <c r="S500" s="134"/>
      <c r="T500" s="134"/>
    </row>
    <row r="501" spans="1:20" ht="14.4" hidden="1" customHeight="1">
      <c r="A501" s="135" t="s">
        <v>129</v>
      </c>
      <c r="B501" s="139"/>
      <c r="C501" s="140"/>
      <c r="D501" s="140"/>
      <c r="E501" s="140"/>
      <c r="F501" s="140">
        <v>5695</v>
      </c>
      <c r="G501" s="140"/>
      <c r="H501" s="140"/>
      <c r="I501" s="140"/>
      <c r="J501" s="140"/>
      <c r="K501" s="140"/>
      <c r="L501" s="140"/>
      <c r="M501" s="140"/>
      <c r="P501" s="140"/>
      <c r="Q501" s="140"/>
      <c r="R501" s="140"/>
      <c r="S501" s="134"/>
      <c r="T501" s="134"/>
    </row>
    <row r="502" spans="1:20" ht="14.4" hidden="1" customHeight="1">
      <c r="A502" s="135" t="s">
        <v>32</v>
      </c>
      <c r="B502" s="139"/>
      <c r="C502" s="140"/>
      <c r="D502" s="140"/>
      <c r="E502" s="140"/>
      <c r="F502" s="140">
        <v>1277</v>
      </c>
      <c r="G502" s="140"/>
      <c r="H502" s="140"/>
      <c r="I502" s="140"/>
      <c r="J502" s="140"/>
      <c r="K502" s="140"/>
      <c r="L502" s="140"/>
      <c r="M502" s="140"/>
      <c r="P502" s="140"/>
      <c r="Q502" s="140"/>
      <c r="R502" s="140"/>
      <c r="S502" s="134"/>
      <c r="T502" s="134"/>
    </row>
    <row r="503" spans="1:20" ht="13.2" hidden="1" customHeight="1">
      <c r="A503" s="141" t="s">
        <v>130</v>
      </c>
      <c r="B503" s="131">
        <f t="shared" ref="B503:L503" si="144">SUM(B496:B502)</f>
        <v>0</v>
      </c>
      <c r="C503" s="131">
        <f t="shared" si="144"/>
        <v>0</v>
      </c>
      <c r="D503" s="131">
        <f t="shared" si="144"/>
        <v>0</v>
      </c>
      <c r="E503" s="131">
        <f t="shared" si="144"/>
        <v>0</v>
      </c>
      <c r="F503" s="131">
        <f t="shared" si="144"/>
        <v>159797</v>
      </c>
      <c r="G503" s="131">
        <f t="shared" si="144"/>
        <v>0</v>
      </c>
      <c r="H503" s="131">
        <f>SUM(H496:H502)</f>
        <v>0</v>
      </c>
      <c r="I503" s="131"/>
      <c r="J503" s="131"/>
      <c r="K503" s="131">
        <f t="shared" si="144"/>
        <v>0</v>
      </c>
      <c r="L503" s="131">
        <f t="shared" si="144"/>
        <v>0</v>
      </c>
      <c r="M503" s="131"/>
      <c r="P503" s="131">
        <f t="shared" ref="P503:R503" si="145">SUM(P496:P502)</f>
        <v>0</v>
      </c>
      <c r="Q503" s="131">
        <f t="shared" si="145"/>
        <v>0</v>
      </c>
      <c r="R503" s="131">
        <f t="shared" si="145"/>
        <v>0</v>
      </c>
      <c r="S503" s="142"/>
      <c r="T503" s="142"/>
    </row>
    <row r="504" spans="1:20" ht="13.2" hidden="1" customHeight="1">
      <c r="A504" s="141"/>
      <c r="B504" s="144"/>
      <c r="C504" s="144"/>
      <c r="D504" s="144"/>
      <c r="E504" s="144"/>
      <c r="F504" s="144"/>
      <c r="G504" s="144"/>
      <c r="H504" s="144"/>
      <c r="I504" s="144"/>
      <c r="J504" s="144"/>
      <c r="K504" s="144"/>
      <c r="L504" s="144"/>
      <c r="M504" s="144"/>
      <c r="P504" s="144"/>
      <c r="Q504" s="144"/>
      <c r="R504" s="144"/>
      <c r="S504" s="142"/>
      <c r="T504" s="142"/>
    </row>
    <row r="505" spans="1:20" ht="14.4" hidden="1" customHeight="1">
      <c r="A505" s="130" t="s">
        <v>212</v>
      </c>
      <c r="B505" s="144"/>
      <c r="C505" s="145"/>
      <c r="D505" s="145"/>
      <c r="E505" s="145"/>
      <c r="F505" s="145"/>
      <c r="G505" s="145"/>
      <c r="H505" s="145"/>
      <c r="I505" s="145"/>
      <c r="J505" s="145"/>
      <c r="K505" s="145"/>
      <c r="L505" s="145"/>
      <c r="M505" s="145"/>
      <c r="P505" s="145"/>
      <c r="Q505" s="145"/>
      <c r="R505" s="145"/>
      <c r="S505" s="143"/>
      <c r="T505" s="143"/>
    </row>
    <row r="506" spans="1:20" ht="14.4" hidden="1" customHeight="1">
      <c r="A506" s="135" t="s">
        <v>26</v>
      </c>
      <c r="B506" s="136"/>
      <c r="C506" s="137"/>
      <c r="D506" s="137"/>
      <c r="E506" s="137"/>
      <c r="F506" s="137">
        <v>1862</v>
      </c>
      <c r="G506" s="137"/>
      <c r="H506" s="137"/>
      <c r="I506" s="137"/>
      <c r="J506" s="137"/>
      <c r="K506" s="137"/>
      <c r="L506" s="137"/>
      <c r="M506" s="137"/>
      <c r="P506" s="137"/>
      <c r="Q506" s="137"/>
      <c r="R506" s="137"/>
      <c r="S506" s="134"/>
      <c r="T506" s="134"/>
    </row>
    <row r="507" spans="1:20" ht="27" hidden="1" customHeight="1">
      <c r="A507" s="135" t="s">
        <v>27</v>
      </c>
      <c r="B507" s="138"/>
      <c r="C507" s="133"/>
      <c r="D507" s="133"/>
      <c r="E507" s="133"/>
      <c r="F507" s="133">
        <v>23140</v>
      </c>
      <c r="G507" s="133"/>
      <c r="H507" s="133"/>
      <c r="I507" s="133"/>
      <c r="J507" s="133"/>
      <c r="K507" s="133"/>
      <c r="L507" s="133"/>
      <c r="M507" s="133"/>
      <c r="P507" s="133"/>
      <c r="Q507" s="133"/>
      <c r="R507" s="133"/>
      <c r="S507" s="134"/>
      <c r="T507" s="134"/>
    </row>
    <row r="508" spans="1:20" ht="14.4" hidden="1" customHeight="1">
      <c r="A508" s="135" t="s">
        <v>28</v>
      </c>
      <c r="B508" s="139"/>
      <c r="C508" s="140"/>
      <c r="D508" s="140"/>
      <c r="E508" s="140"/>
      <c r="F508" s="140"/>
      <c r="G508" s="140"/>
      <c r="H508" s="140"/>
      <c r="I508" s="140"/>
      <c r="J508" s="140"/>
      <c r="K508" s="140"/>
      <c r="L508" s="140"/>
      <c r="M508" s="140"/>
      <c r="P508" s="140"/>
      <c r="Q508" s="140"/>
      <c r="R508" s="140"/>
      <c r="S508" s="134"/>
      <c r="T508" s="134"/>
    </row>
    <row r="509" spans="1:20" ht="27" hidden="1" customHeight="1">
      <c r="A509" s="135" t="s">
        <v>29</v>
      </c>
      <c r="B509" s="139"/>
      <c r="C509" s="140"/>
      <c r="D509" s="140"/>
      <c r="E509" s="140"/>
      <c r="F509" s="140"/>
      <c r="G509" s="140"/>
      <c r="H509" s="140"/>
      <c r="I509" s="140"/>
      <c r="J509" s="140"/>
      <c r="K509" s="140"/>
      <c r="L509" s="140"/>
      <c r="M509" s="140"/>
      <c r="P509" s="140"/>
      <c r="Q509" s="140"/>
      <c r="R509" s="140"/>
      <c r="S509" s="134"/>
      <c r="T509" s="134"/>
    </row>
    <row r="510" spans="1:20" ht="14.4" hidden="1" customHeight="1">
      <c r="A510" s="135" t="s">
        <v>30</v>
      </c>
      <c r="B510" s="139"/>
      <c r="C510" s="140"/>
      <c r="D510" s="140"/>
      <c r="E510" s="140"/>
      <c r="F510" s="140">
        <v>2333</v>
      </c>
      <c r="G510" s="140"/>
      <c r="H510" s="140"/>
      <c r="I510" s="140"/>
      <c r="J510" s="140"/>
      <c r="K510" s="140"/>
      <c r="L510" s="140"/>
      <c r="M510" s="140"/>
      <c r="P510" s="140"/>
      <c r="Q510" s="140"/>
      <c r="R510" s="140"/>
      <c r="S510" s="134"/>
      <c r="T510" s="134"/>
    </row>
    <row r="511" spans="1:20" ht="14.4" hidden="1" customHeight="1">
      <c r="A511" s="135" t="s">
        <v>129</v>
      </c>
      <c r="B511" s="139"/>
      <c r="C511" s="140"/>
      <c r="D511" s="140"/>
      <c r="E511" s="140"/>
      <c r="F511" s="140">
        <v>23013</v>
      </c>
      <c r="G511" s="140"/>
      <c r="H511" s="140"/>
      <c r="I511" s="140"/>
      <c r="J511" s="140"/>
      <c r="K511" s="140"/>
      <c r="L511" s="140"/>
      <c r="M511" s="140"/>
      <c r="P511" s="140"/>
      <c r="Q511" s="140"/>
      <c r="R511" s="140"/>
      <c r="S511" s="134"/>
      <c r="T511" s="134"/>
    </row>
    <row r="512" spans="1:20" ht="14.4" hidden="1" customHeight="1">
      <c r="A512" s="135" t="s">
        <v>32</v>
      </c>
      <c r="B512" s="139"/>
      <c r="C512" s="140"/>
      <c r="D512" s="140"/>
      <c r="E512" s="140"/>
      <c r="F512" s="140"/>
      <c r="G512" s="140"/>
      <c r="H512" s="140"/>
      <c r="I512" s="140"/>
      <c r="J512" s="140"/>
      <c r="K512" s="140"/>
      <c r="L512" s="140"/>
      <c r="M512" s="140"/>
      <c r="P512" s="140"/>
      <c r="Q512" s="140"/>
      <c r="R512" s="140"/>
      <c r="S512" s="134"/>
      <c r="T512" s="134"/>
    </row>
    <row r="513" spans="1:20" ht="13.2" hidden="1" customHeight="1">
      <c r="A513" s="141" t="s">
        <v>130</v>
      </c>
      <c r="B513" s="131">
        <f t="shared" ref="B513:L513" si="146">SUM(B506:B512)</f>
        <v>0</v>
      </c>
      <c r="C513" s="131">
        <f t="shared" si="146"/>
        <v>0</v>
      </c>
      <c r="D513" s="131">
        <f t="shared" si="146"/>
        <v>0</v>
      </c>
      <c r="E513" s="131">
        <f t="shared" si="146"/>
        <v>0</v>
      </c>
      <c r="F513" s="131">
        <f t="shared" si="146"/>
        <v>50348</v>
      </c>
      <c r="G513" s="131">
        <f t="shared" si="146"/>
        <v>0</v>
      </c>
      <c r="H513" s="131">
        <f>SUM(H506:H512)</f>
        <v>0</v>
      </c>
      <c r="I513" s="131"/>
      <c r="J513" s="131"/>
      <c r="K513" s="131">
        <f t="shared" si="146"/>
        <v>0</v>
      </c>
      <c r="L513" s="131">
        <f t="shared" si="146"/>
        <v>0</v>
      </c>
      <c r="M513" s="131"/>
      <c r="P513" s="131">
        <f t="shared" ref="P513:R513" si="147">SUM(P506:P512)</f>
        <v>0</v>
      </c>
      <c r="Q513" s="131">
        <f t="shared" si="147"/>
        <v>0</v>
      </c>
      <c r="R513" s="131">
        <f t="shared" si="147"/>
        <v>0</v>
      </c>
      <c r="S513" s="142"/>
      <c r="T513" s="142"/>
    </row>
    <row r="514" spans="1:20" ht="13.2" hidden="1" customHeight="1">
      <c r="A514" s="141"/>
      <c r="B514" s="144"/>
      <c r="C514" s="144"/>
      <c r="D514" s="144"/>
      <c r="E514" s="144"/>
      <c r="F514" s="144"/>
      <c r="G514" s="144"/>
      <c r="H514" s="144"/>
      <c r="I514" s="144"/>
      <c r="J514" s="144"/>
      <c r="K514" s="144"/>
      <c r="L514" s="144"/>
      <c r="M514" s="144"/>
      <c r="P514" s="144"/>
      <c r="Q514" s="144"/>
      <c r="R514" s="144"/>
      <c r="S514" s="142"/>
      <c r="T514" s="142"/>
    </row>
    <row r="515" spans="1:20" ht="14.4" hidden="1" customHeight="1">
      <c r="A515" s="130" t="s">
        <v>213</v>
      </c>
      <c r="B515" s="144"/>
      <c r="C515" s="145"/>
      <c r="D515" s="145"/>
      <c r="E515" s="145"/>
      <c r="F515" s="145"/>
      <c r="G515" s="145"/>
      <c r="H515" s="145"/>
      <c r="I515" s="145"/>
      <c r="J515" s="145"/>
      <c r="K515" s="145"/>
      <c r="L515" s="145"/>
      <c r="M515" s="145"/>
      <c r="P515" s="145"/>
      <c r="Q515" s="145"/>
      <c r="R515" s="145"/>
      <c r="S515" s="143"/>
      <c r="T515" s="143"/>
    </row>
    <row r="516" spans="1:20" ht="14.4" hidden="1" customHeight="1">
      <c r="A516" s="135" t="s">
        <v>26</v>
      </c>
      <c r="B516" s="136"/>
      <c r="C516" s="137"/>
      <c r="D516" s="137"/>
      <c r="E516" s="137"/>
      <c r="F516" s="137">
        <v>413</v>
      </c>
      <c r="G516" s="137"/>
      <c r="H516" s="137"/>
      <c r="I516" s="137"/>
      <c r="J516" s="137"/>
      <c r="K516" s="137"/>
      <c r="L516" s="137"/>
      <c r="M516" s="137"/>
      <c r="P516" s="137"/>
      <c r="Q516" s="137"/>
      <c r="R516" s="137"/>
      <c r="S516" s="134"/>
      <c r="T516" s="134"/>
    </row>
    <row r="517" spans="1:20" ht="27" hidden="1" customHeight="1">
      <c r="A517" s="135" t="s">
        <v>27</v>
      </c>
      <c r="B517" s="138"/>
      <c r="C517" s="133"/>
      <c r="D517" s="133"/>
      <c r="E517" s="133"/>
      <c r="F517" s="133">
        <v>4735</v>
      </c>
      <c r="G517" s="133"/>
      <c r="H517" s="133"/>
      <c r="I517" s="133"/>
      <c r="J517" s="133"/>
      <c r="K517" s="133"/>
      <c r="L517" s="133"/>
      <c r="M517" s="133"/>
      <c r="P517" s="133"/>
      <c r="Q517" s="133"/>
      <c r="R517" s="133"/>
      <c r="S517" s="134"/>
      <c r="T517" s="134"/>
    </row>
    <row r="518" spans="1:20" ht="14.4" hidden="1" customHeight="1">
      <c r="A518" s="135" t="s">
        <v>28</v>
      </c>
      <c r="B518" s="139"/>
      <c r="C518" s="140"/>
      <c r="D518" s="140"/>
      <c r="E518" s="140"/>
      <c r="F518" s="140">
        <v>47</v>
      </c>
      <c r="G518" s="140"/>
      <c r="H518" s="140"/>
      <c r="I518" s="140"/>
      <c r="J518" s="140"/>
      <c r="K518" s="140"/>
      <c r="L518" s="140"/>
      <c r="M518" s="140"/>
      <c r="P518" s="140"/>
      <c r="Q518" s="140"/>
      <c r="R518" s="140"/>
      <c r="S518" s="134"/>
      <c r="T518" s="134"/>
    </row>
    <row r="519" spans="1:20" ht="27" hidden="1" customHeight="1">
      <c r="A519" s="135" t="s">
        <v>29</v>
      </c>
      <c r="B519" s="139"/>
      <c r="C519" s="140"/>
      <c r="D519" s="140"/>
      <c r="E519" s="140"/>
      <c r="F519" s="140"/>
      <c r="G519" s="140"/>
      <c r="H519" s="140"/>
      <c r="I519" s="140"/>
      <c r="J519" s="140"/>
      <c r="K519" s="140"/>
      <c r="L519" s="140"/>
      <c r="M519" s="140"/>
      <c r="P519" s="140"/>
      <c r="Q519" s="140"/>
      <c r="R519" s="140"/>
      <c r="S519" s="134"/>
      <c r="T519" s="134"/>
    </row>
    <row r="520" spans="1:20" ht="14.4" hidden="1" customHeight="1">
      <c r="A520" s="135" t="s">
        <v>30</v>
      </c>
      <c r="B520" s="139"/>
      <c r="C520" s="140"/>
      <c r="D520" s="140"/>
      <c r="E520" s="140"/>
      <c r="F520" s="140">
        <v>4423</v>
      </c>
      <c r="G520" s="140"/>
      <c r="H520" s="140"/>
      <c r="I520" s="140"/>
      <c r="J520" s="140"/>
      <c r="K520" s="140"/>
      <c r="L520" s="140"/>
      <c r="M520" s="140"/>
      <c r="P520" s="140"/>
      <c r="Q520" s="140"/>
      <c r="R520" s="140"/>
      <c r="S520" s="134"/>
      <c r="T520" s="134"/>
    </row>
    <row r="521" spans="1:20" ht="14.4" hidden="1" customHeight="1">
      <c r="A521" s="135" t="s">
        <v>129</v>
      </c>
      <c r="B521" s="139"/>
      <c r="C521" s="140"/>
      <c r="D521" s="140"/>
      <c r="E521" s="140"/>
      <c r="F521" s="140">
        <v>1738</v>
      </c>
      <c r="G521" s="140"/>
      <c r="H521" s="140"/>
      <c r="I521" s="140"/>
      <c r="J521" s="140"/>
      <c r="K521" s="140"/>
      <c r="L521" s="140"/>
      <c r="M521" s="140"/>
      <c r="P521" s="140"/>
      <c r="Q521" s="140"/>
      <c r="R521" s="140"/>
      <c r="S521" s="134"/>
      <c r="T521" s="134"/>
    </row>
    <row r="522" spans="1:20" ht="14.4" hidden="1" customHeight="1">
      <c r="A522" s="135" t="s">
        <v>32</v>
      </c>
      <c r="B522" s="139"/>
      <c r="C522" s="140"/>
      <c r="D522" s="140"/>
      <c r="E522" s="140"/>
      <c r="F522" s="140">
        <v>1431</v>
      </c>
      <c r="G522" s="140"/>
      <c r="H522" s="140"/>
      <c r="I522" s="140"/>
      <c r="J522" s="140"/>
      <c r="K522" s="140"/>
      <c r="L522" s="140"/>
      <c r="M522" s="140"/>
      <c r="P522" s="140"/>
      <c r="Q522" s="140"/>
      <c r="R522" s="140"/>
      <c r="S522" s="134"/>
      <c r="T522" s="134"/>
    </row>
    <row r="523" spans="1:20" ht="13.2" hidden="1" customHeight="1">
      <c r="A523" s="141" t="s">
        <v>130</v>
      </c>
      <c r="B523" s="131">
        <f t="shared" ref="B523:L523" si="148">SUM(B516:B522)</f>
        <v>0</v>
      </c>
      <c r="C523" s="131">
        <f t="shared" si="148"/>
        <v>0</v>
      </c>
      <c r="D523" s="131">
        <f t="shared" si="148"/>
        <v>0</v>
      </c>
      <c r="E523" s="131">
        <f t="shared" si="148"/>
        <v>0</v>
      </c>
      <c r="F523" s="131">
        <f t="shared" si="148"/>
        <v>12787</v>
      </c>
      <c r="G523" s="131">
        <f t="shared" si="148"/>
        <v>0</v>
      </c>
      <c r="H523" s="131">
        <f>SUM(H516:H522)</f>
        <v>0</v>
      </c>
      <c r="I523" s="131"/>
      <c r="J523" s="131"/>
      <c r="K523" s="131">
        <f t="shared" si="148"/>
        <v>0</v>
      </c>
      <c r="L523" s="131">
        <f t="shared" si="148"/>
        <v>0</v>
      </c>
      <c r="M523" s="131"/>
      <c r="P523" s="131">
        <f t="shared" ref="P523:R523" si="149">SUM(P516:P522)</f>
        <v>0</v>
      </c>
      <c r="Q523" s="131">
        <f t="shared" si="149"/>
        <v>0</v>
      </c>
      <c r="R523" s="131">
        <f t="shared" si="149"/>
        <v>0</v>
      </c>
      <c r="S523" s="142"/>
      <c r="T523" s="142"/>
    </row>
    <row r="524" spans="1:20" ht="13.2" hidden="1" customHeight="1">
      <c r="A524" s="141"/>
      <c r="B524" s="144"/>
      <c r="C524" s="144"/>
      <c r="D524" s="144"/>
      <c r="E524" s="144"/>
      <c r="F524" s="144"/>
      <c r="G524" s="144"/>
      <c r="H524" s="144"/>
      <c r="I524" s="144"/>
      <c r="J524" s="144"/>
      <c r="K524" s="144"/>
      <c r="L524" s="144"/>
      <c r="M524" s="144"/>
      <c r="P524" s="144"/>
      <c r="Q524" s="144"/>
      <c r="R524" s="144"/>
      <c r="S524" s="142"/>
      <c r="T524" s="142"/>
    </row>
    <row r="525" spans="1:20" ht="14.4" hidden="1" customHeight="1">
      <c r="A525" s="130" t="s">
        <v>214</v>
      </c>
      <c r="B525" s="144"/>
      <c r="C525" s="145"/>
      <c r="D525" s="145"/>
      <c r="E525" s="145"/>
      <c r="F525" s="145"/>
      <c r="G525" s="145"/>
      <c r="H525" s="145"/>
      <c r="I525" s="145"/>
      <c r="J525" s="145"/>
      <c r="K525" s="145"/>
      <c r="L525" s="145"/>
      <c r="M525" s="145"/>
      <c r="P525" s="145"/>
      <c r="Q525" s="145"/>
      <c r="R525" s="145"/>
      <c r="S525" s="143"/>
      <c r="T525" s="143"/>
    </row>
    <row r="526" spans="1:20" ht="14.4" hidden="1" customHeight="1">
      <c r="A526" s="135" t="s">
        <v>26</v>
      </c>
      <c r="B526" s="136"/>
      <c r="C526" s="137"/>
      <c r="D526" s="137"/>
      <c r="E526" s="137"/>
      <c r="F526" s="137">
        <v>65</v>
      </c>
      <c r="G526" s="137"/>
      <c r="H526" s="137"/>
      <c r="I526" s="137"/>
      <c r="J526" s="137"/>
      <c r="K526" s="137"/>
      <c r="L526" s="137"/>
      <c r="M526" s="137"/>
      <c r="P526" s="137"/>
      <c r="Q526" s="137"/>
      <c r="R526" s="137"/>
      <c r="S526" s="134"/>
      <c r="T526" s="134"/>
    </row>
    <row r="527" spans="1:20" ht="27" hidden="1" customHeight="1">
      <c r="A527" s="135" t="s">
        <v>27</v>
      </c>
      <c r="B527" s="138"/>
      <c r="C527" s="133"/>
      <c r="D527" s="133"/>
      <c r="E527" s="133"/>
      <c r="F527" s="133">
        <v>50</v>
      </c>
      <c r="G527" s="133"/>
      <c r="H527" s="133"/>
      <c r="I527" s="133"/>
      <c r="J527" s="133"/>
      <c r="K527" s="133"/>
      <c r="L527" s="133"/>
      <c r="M527" s="133"/>
      <c r="P527" s="133"/>
      <c r="Q527" s="133"/>
      <c r="R527" s="133"/>
      <c r="S527" s="134"/>
      <c r="T527" s="134"/>
    </row>
    <row r="528" spans="1:20" ht="14.4" hidden="1" customHeight="1">
      <c r="A528" s="135" t="s">
        <v>28</v>
      </c>
      <c r="B528" s="139"/>
      <c r="C528" s="140"/>
      <c r="D528" s="140"/>
      <c r="E528" s="140"/>
      <c r="F528" s="140"/>
      <c r="G528" s="140"/>
      <c r="H528" s="140"/>
      <c r="I528" s="140"/>
      <c r="J528" s="140"/>
      <c r="K528" s="140"/>
      <c r="L528" s="140"/>
      <c r="M528" s="140"/>
      <c r="P528" s="140"/>
      <c r="Q528" s="140"/>
      <c r="R528" s="140"/>
      <c r="S528" s="134"/>
      <c r="T528" s="134"/>
    </row>
    <row r="529" spans="1:20" ht="27" hidden="1" customHeight="1">
      <c r="A529" s="135" t="s">
        <v>29</v>
      </c>
      <c r="B529" s="139"/>
      <c r="C529" s="140"/>
      <c r="D529" s="140"/>
      <c r="E529" s="140"/>
      <c r="F529" s="140"/>
      <c r="G529" s="140"/>
      <c r="H529" s="140"/>
      <c r="I529" s="140"/>
      <c r="J529" s="140"/>
      <c r="K529" s="140"/>
      <c r="L529" s="140"/>
      <c r="M529" s="140"/>
      <c r="P529" s="140"/>
      <c r="Q529" s="140"/>
      <c r="R529" s="140"/>
      <c r="S529" s="134"/>
      <c r="T529" s="134"/>
    </row>
    <row r="530" spans="1:20" ht="14.4" hidden="1" customHeight="1">
      <c r="A530" s="135" t="s">
        <v>30</v>
      </c>
      <c r="B530" s="139"/>
      <c r="C530" s="140"/>
      <c r="D530" s="140"/>
      <c r="E530" s="140"/>
      <c r="F530" s="140">
        <v>4483</v>
      </c>
      <c r="G530" s="140"/>
      <c r="H530" s="140"/>
      <c r="I530" s="140"/>
      <c r="J530" s="140"/>
      <c r="K530" s="140"/>
      <c r="L530" s="140"/>
      <c r="M530" s="140"/>
      <c r="P530" s="140"/>
      <c r="Q530" s="140"/>
      <c r="R530" s="140"/>
      <c r="S530" s="134"/>
      <c r="T530" s="134"/>
    </row>
    <row r="531" spans="1:20" ht="14.4" hidden="1" customHeight="1">
      <c r="A531" s="135" t="s">
        <v>129</v>
      </c>
      <c r="B531" s="139"/>
      <c r="C531" s="140"/>
      <c r="D531" s="140"/>
      <c r="E531" s="140"/>
      <c r="F531" s="140">
        <v>1328</v>
      </c>
      <c r="G531" s="140"/>
      <c r="H531" s="140"/>
      <c r="I531" s="140"/>
      <c r="J531" s="140"/>
      <c r="K531" s="140"/>
      <c r="L531" s="140"/>
      <c r="M531" s="140"/>
      <c r="P531" s="140"/>
      <c r="Q531" s="140"/>
      <c r="R531" s="140"/>
      <c r="S531" s="134"/>
      <c r="T531" s="134"/>
    </row>
    <row r="532" spans="1:20" ht="14.4" hidden="1" customHeight="1">
      <c r="A532" s="135" t="s">
        <v>32</v>
      </c>
      <c r="B532" s="139"/>
      <c r="C532" s="140"/>
      <c r="D532" s="140"/>
      <c r="E532" s="140"/>
      <c r="F532" s="140">
        <v>104</v>
      </c>
      <c r="G532" s="140"/>
      <c r="H532" s="140"/>
      <c r="I532" s="140"/>
      <c r="J532" s="140"/>
      <c r="K532" s="140"/>
      <c r="L532" s="140"/>
      <c r="M532" s="140"/>
      <c r="P532" s="140"/>
      <c r="Q532" s="140"/>
      <c r="R532" s="140"/>
      <c r="S532" s="134"/>
      <c r="T532" s="134"/>
    </row>
    <row r="533" spans="1:20" ht="13.2" hidden="1" customHeight="1">
      <c r="A533" s="141" t="s">
        <v>130</v>
      </c>
      <c r="B533" s="131">
        <f t="shared" ref="B533:L533" si="150">SUM(B526:B532)</f>
        <v>0</v>
      </c>
      <c r="C533" s="131">
        <f t="shared" si="150"/>
        <v>0</v>
      </c>
      <c r="D533" s="131">
        <f t="shared" si="150"/>
        <v>0</v>
      </c>
      <c r="E533" s="131">
        <f t="shared" si="150"/>
        <v>0</v>
      </c>
      <c r="F533" s="131">
        <f t="shared" si="150"/>
        <v>6030</v>
      </c>
      <c r="G533" s="131">
        <f t="shared" si="150"/>
        <v>0</v>
      </c>
      <c r="H533" s="131">
        <f>SUM(H526:H532)</f>
        <v>0</v>
      </c>
      <c r="I533" s="131"/>
      <c r="J533" s="131"/>
      <c r="K533" s="131">
        <f t="shared" si="150"/>
        <v>0</v>
      </c>
      <c r="L533" s="131">
        <f t="shared" si="150"/>
        <v>0</v>
      </c>
      <c r="M533" s="131"/>
      <c r="P533" s="131">
        <f t="shared" ref="P533:R533" si="151">SUM(P526:P532)</f>
        <v>0</v>
      </c>
      <c r="Q533" s="131">
        <f t="shared" si="151"/>
        <v>0</v>
      </c>
      <c r="R533" s="131">
        <f t="shared" si="151"/>
        <v>0</v>
      </c>
      <c r="S533" s="142"/>
      <c r="T533" s="142"/>
    </row>
    <row r="534" spans="1:20" ht="13.2" hidden="1" customHeight="1">
      <c r="A534" s="141"/>
      <c r="B534" s="144"/>
      <c r="C534" s="144"/>
      <c r="D534" s="144"/>
      <c r="E534" s="144"/>
      <c r="F534" s="144"/>
      <c r="G534" s="144"/>
      <c r="H534" s="144"/>
      <c r="I534" s="144"/>
      <c r="J534" s="144"/>
      <c r="K534" s="144"/>
      <c r="L534" s="144"/>
      <c r="M534" s="144"/>
      <c r="P534" s="144"/>
      <c r="Q534" s="144"/>
      <c r="R534" s="144"/>
      <c r="S534" s="142"/>
      <c r="T534" s="142"/>
    </row>
    <row r="535" spans="1:20" ht="27" hidden="1" customHeight="1">
      <c r="A535" s="130" t="s">
        <v>215</v>
      </c>
      <c r="B535" s="144"/>
      <c r="C535" s="145"/>
      <c r="D535" s="145"/>
      <c r="E535" s="145"/>
      <c r="F535" s="145"/>
      <c r="G535" s="145"/>
      <c r="H535" s="145"/>
      <c r="I535" s="145"/>
      <c r="J535" s="145"/>
      <c r="K535" s="145"/>
      <c r="L535" s="145"/>
      <c r="M535" s="145"/>
      <c r="P535" s="145"/>
      <c r="Q535" s="145"/>
      <c r="R535" s="145"/>
      <c r="S535" s="143"/>
      <c r="T535" s="143"/>
    </row>
    <row r="536" spans="1:20" ht="14.4" hidden="1" customHeight="1">
      <c r="A536" s="135" t="s">
        <v>26</v>
      </c>
      <c r="B536" s="136"/>
      <c r="C536" s="137"/>
      <c r="D536" s="137"/>
      <c r="E536" s="137"/>
      <c r="F536" s="133">
        <v>1217</v>
      </c>
      <c r="G536" s="137"/>
      <c r="H536" s="137"/>
      <c r="I536" s="137"/>
      <c r="J536" s="137"/>
      <c r="K536" s="137"/>
      <c r="L536" s="137"/>
      <c r="M536" s="137"/>
      <c r="P536" s="137"/>
      <c r="Q536" s="137"/>
      <c r="R536" s="137"/>
      <c r="S536" s="134"/>
      <c r="T536" s="134"/>
    </row>
    <row r="537" spans="1:20" ht="27" hidden="1" customHeight="1">
      <c r="A537" s="135" t="s">
        <v>27</v>
      </c>
      <c r="B537" s="138"/>
      <c r="C537" s="133"/>
      <c r="D537" s="133"/>
      <c r="E537" s="133"/>
      <c r="F537" s="137">
        <v>924</v>
      </c>
      <c r="G537" s="133"/>
      <c r="H537" s="133"/>
      <c r="I537" s="133"/>
      <c r="J537" s="133"/>
      <c r="K537" s="133"/>
      <c r="L537" s="133"/>
      <c r="M537" s="133"/>
      <c r="P537" s="133"/>
      <c r="Q537" s="133"/>
      <c r="R537" s="133"/>
      <c r="S537" s="134"/>
      <c r="T537" s="134"/>
    </row>
    <row r="538" spans="1:20" ht="14.4" hidden="1" customHeight="1">
      <c r="A538" s="135" t="s">
        <v>28</v>
      </c>
      <c r="B538" s="139"/>
      <c r="C538" s="140"/>
      <c r="D538" s="140"/>
      <c r="E538" s="140"/>
      <c r="F538" s="133">
        <v>170</v>
      </c>
      <c r="G538" s="140"/>
      <c r="H538" s="140"/>
      <c r="I538" s="140"/>
      <c r="J538" s="140"/>
      <c r="K538" s="140"/>
      <c r="L538" s="140"/>
      <c r="M538" s="140"/>
      <c r="P538" s="140"/>
      <c r="Q538" s="140"/>
      <c r="R538" s="140"/>
      <c r="S538" s="134"/>
      <c r="T538" s="134"/>
    </row>
    <row r="539" spans="1:20" ht="27" hidden="1" customHeight="1">
      <c r="A539" s="135" t="s">
        <v>29</v>
      </c>
      <c r="B539" s="139"/>
      <c r="C539" s="140"/>
      <c r="D539" s="140"/>
      <c r="E539" s="140"/>
      <c r="F539" s="140">
        <v>44382</v>
      </c>
      <c r="G539" s="140"/>
      <c r="H539" s="140"/>
      <c r="I539" s="140"/>
      <c r="J539" s="140"/>
      <c r="K539" s="140"/>
      <c r="L539" s="140"/>
      <c r="M539" s="140"/>
      <c r="P539" s="140"/>
      <c r="Q539" s="140"/>
      <c r="R539" s="140"/>
      <c r="S539" s="134"/>
      <c r="T539" s="134"/>
    </row>
    <row r="540" spans="1:20" ht="14.4" hidden="1" customHeight="1">
      <c r="A540" s="135" t="s">
        <v>30</v>
      </c>
      <c r="B540" s="139"/>
      <c r="C540" s="140"/>
      <c r="D540" s="140"/>
      <c r="E540" s="140"/>
      <c r="F540" s="140">
        <v>74</v>
      </c>
      <c r="G540" s="140"/>
      <c r="H540" s="140"/>
      <c r="I540" s="140"/>
      <c r="J540" s="140"/>
      <c r="K540" s="140"/>
      <c r="L540" s="140"/>
      <c r="M540" s="140"/>
      <c r="P540" s="140"/>
      <c r="Q540" s="140"/>
      <c r="R540" s="140"/>
      <c r="S540" s="134"/>
      <c r="T540" s="134"/>
    </row>
    <row r="541" spans="1:20" ht="14.4" hidden="1" customHeight="1">
      <c r="A541" s="135" t="s">
        <v>129</v>
      </c>
      <c r="B541" s="139"/>
      <c r="C541" s="140"/>
      <c r="D541" s="140"/>
      <c r="E541" s="140"/>
      <c r="F541" s="140">
        <v>22550</v>
      </c>
      <c r="G541" s="140"/>
      <c r="H541" s="140"/>
      <c r="I541" s="140"/>
      <c r="J541" s="140"/>
      <c r="K541" s="140"/>
      <c r="L541" s="140"/>
      <c r="M541" s="140"/>
      <c r="P541" s="140"/>
      <c r="Q541" s="140"/>
      <c r="R541" s="140"/>
      <c r="S541" s="134"/>
      <c r="T541" s="134"/>
    </row>
    <row r="542" spans="1:20" ht="14.4" hidden="1" customHeight="1">
      <c r="A542" s="135" t="s">
        <v>32</v>
      </c>
      <c r="B542" s="139"/>
      <c r="C542" s="140"/>
      <c r="D542" s="140"/>
      <c r="E542" s="140"/>
      <c r="F542" s="140"/>
      <c r="G542" s="140"/>
      <c r="H542" s="140"/>
      <c r="I542" s="140"/>
      <c r="J542" s="140"/>
      <c r="K542" s="140"/>
      <c r="L542" s="140"/>
      <c r="M542" s="140"/>
      <c r="P542" s="140"/>
      <c r="Q542" s="140"/>
      <c r="R542" s="140"/>
      <c r="S542" s="134"/>
      <c r="T542" s="134"/>
    </row>
    <row r="543" spans="1:20" ht="13.2" hidden="1" customHeight="1">
      <c r="A543" s="141" t="s">
        <v>130</v>
      </c>
      <c r="B543" s="131">
        <f t="shared" ref="B543:L543" si="152">SUM(B536:B542)</f>
        <v>0</v>
      </c>
      <c r="C543" s="131">
        <f t="shared" si="152"/>
        <v>0</v>
      </c>
      <c r="D543" s="131">
        <f t="shared" si="152"/>
        <v>0</v>
      </c>
      <c r="E543" s="131">
        <f t="shared" si="152"/>
        <v>0</v>
      </c>
      <c r="F543" s="131">
        <f t="shared" si="152"/>
        <v>69317</v>
      </c>
      <c r="G543" s="131">
        <f t="shared" si="152"/>
        <v>0</v>
      </c>
      <c r="H543" s="131">
        <f>SUM(H536:H542)</f>
        <v>0</v>
      </c>
      <c r="I543" s="131"/>
      <c r="J543" s="131"/>
      <c r="K543" s="131">
        <f t="shared" si="152"/>
        <v>0</v>
      </c>
      <c r="L543" s="131">
        <f t="shared" si="152"/>
        <v>0</v>
      </c>
      <c r="M543" s="131"/>
      <c r="P543" s="131">
        <f t="shared" ref="P543:R543" si="153">SUM(P536:P542)</f>
        <v>0</v>
      </c>
      <c r="Q543" s="131">
        <f t="shared" si="153"/>
        <v>0</v>
      </c>
      <c r="R543" s="131">
        <f t="shared" si="153"/>
        <v>0</v>
      </c>
      <c r="S543" s="142"/>
      <c r="T543" s="142"/>
    </row>
    <row r="544" spans="1:20" ht="13.2" hidden="1" customHeight="1">
      <c r="A544" s="141"/>
      <c r="B544" s="144"/>
      <c r="C544" s="144"/>
      <c r="D544" s="144"/>
      <c r="E544" s="144"/>
      <c r="F544" s="144"/>
      <c r="G544" s="144"/>
      <c r="H544" s="144"/>
      <c r="I544" s="144"/>
      <c r="J544" s="144"/>
      <c r="K544" s="144"/>
      <c r="L544" s="144"/>
      <c r="M544" s="144"/>
      <c r="P544" s="144"/>
      <c r="Q544" s="144"/>
      <c r="R544" s="144"/>
      <c r="S544" s="142"/>
      <c r="T544" s="142"/>
    </row>
    <row r="545" spans="1:20" ht="14.4" hidden="1" customHeight="1">
      <c r="A545" s="130" t="s">
        <v>216</v>
      </c>
      <c r="B545" s="144"/>
      <c r="C545" s="145"/>
      <c r="D545" s="145"/>
      <c r="E545" s="145"/>
      <c r="F545" s="145"/>
      <c r="G545" s="145"/>
      <c r="H545" s="145"/>
      <c r="I545" s="145"/>
      <c r="J545" s="145"/>
      <c r="K545" s="145"/>
      <c r="L545" s="145"/>
      <c r="M545" s="145"/>
      <c r="P545" s="145"/>
      <c r="Q545" s="145"/>
      <c r="R545" s="145"/>
      <c r="S545" s="143"/>
      <c r="T545" s="143"/>
    </row>
    <row r="546" spans="1:20" ht="14.4" hidden="1" customHeight="1">
      <c r="A546" s="135" t="s">
        <v>26</v>
      </c>
      <c r="B546" s="136"/>
      <c r="C546" s="137"/>
      <c r="D546" s="137"/>
      <c r="E546" s="137"/>
      <c r="F546" s="137">
        <v>18424</v>
      </c>
      <c r="G546" s="137"/>
      <c r="H546" s="137"/>
      <c r="I546" s="137"/>
      <c r="J546" s="137"/>
      <c r="K546" s="137"/>
      <c r="L546" s="137"/>
      <c r="M546" s="137"/>
      <c r="P546" s="137"/>
      <c r="Q546" s="137"/>
      <c r="R546" s="137"/>
      <c r="S546" s="134"/>
      <c r="T546" s="134"/>
    </row>
    <row r="547" spans="1:20" ht="27" hidden="1" customHeight="1">
      <c r="A547" s="135" t="s">
        <v>27</v>
      </c>
      <c r="B547" s="138"/>
      <c r="C547" s="133"/>
      <c r="D547" s="133"/>
      <c r="E547" s="133"/>
      <c r="F547" s="133">
        <v>4398</v>
      </c>
      <c r="G547" s="133"/>
      <c r="H547" s="133"/>
      <c r="I547" s="133"/>
      <c r="J547" s="133"/>
      <c r="K547" s="133"/>
      <c r="L547" s="133"/>
      <c r="M547" s="133"/>
      <c r="P547" s="133"/>
      <c r="Q547" s="133"/>
      <c r="R547" s="133"/>
      <c r="S547" s="134"/>
      <c r="T547" s="134"/>
    </row>
    <row r="548" spans="1:20" ht="14.4" hidden="1" customHeight="1">
      <c r="A548" s="135" t="s">
        <v>28</v>
      </c>
      <c r="B548" s="139"/>
      <c r="C548" s="140"/>
      <c r="D548" s="140"/>
      <c r="E548" s="140"/>
      <c r="F548" s="140">
        <v>331</v>
      </c>
      <c r="G548" s="140"/>
      <c r="H548" s="140"/>
      <c r="I548" s="140"/>
      <c r="J548" s="140"/>
      <c r="K548" s="140"/>
      <c r="L548" s="140"/>
      <c r="M548" s="140"/>
      <c r="P548" s="140"/>
      <c r="Q548" s="140"/>
      <c r="R548" s="140"/>
      <c r="S548" s="134"/>
      <c r="T548" s="134"/>
    </row>
    <row r="549" spans="1:20" ht="27" hidden="1" customHeight="1">
      <c r="A549" s="135" t="s">
        <v>29</v>
      </c>
      <c r="B549" s="139"/>
      <c r="C549" s="140"/>
      <c r="D549" s="140"/>
      <c r="E549" s="140"/>
      <c r="F549" s="140">
        <v>126</v>
      </c>
      <c r="G549" s="140"/>
      <c r="H549" s="140"/>
      <c r="I549" s="140"/>
      <c r="J549" s="140"/>
      <c r="K549" s="140"/>
      <c r="L549" s="140"/>
      <c r="M549" s="140"/>
      <c r="P549" s="140"/>
      <c r="Q549" s="140"/>
      <c r="R549" s="140"/>
      <c r="S549" s="134"/>
      <c r="T549" s="134"/>
    </row>
    <row r="550" spans="1:20" ht="14.4" hidden="1" customHeight="1">
      <c r="A550" s="135" t="s">
        <v>30</v>
      </c>
      <c r="B550" s="139"/>
      <c r="C550" s="140"/>
      <c r="D550" s="140"/>
      <c r="E550" s="140"/>
      <c r="F550" s="140"/>
      <c r="G550" s="140"/>
      <c r="H550" s="140"/>
      <c r="I550" s="140"/>
      <c r="J550" s="140"/>
      <c r="K550" s="140"/>
      <c r="L550" s="140"/>
      <c r="M550" s="140"/>
      <c r="P550" s="140"/>
      <c r="Q550" s="140"/>
      <c r="R550" s="140"/>
      <c r="S550" s="134"/>
      <c r="T550" s="134"/>
    </row>
    <row r="551" spans="1:20" ht="14.4" hidden="1" customHeight="1">
      <c r="A551" s="135" t="s">
        <v>129</v>
      </c>
      <c r="B551" s="139"/>
      <c r="C551" s="140"/>
      <c r="D551" s="140"/>
      <c r="E551" s="140"/>
      <c r="F551" s="140">
        <v>811</v>
      </c>
      <c r="G551" s="140"/>
      <c r="H551" s="140"/>
      <c r="I551" s="140"/>
      <c r="J551" s="140"/>
      <c r="K551" s="140"/>
      <c r="L551" s="140"/>
      <c r="M551" s="140"/>
      <c r="P551" s="140"/>
      <c r="Q551" s="140"/>
      <c r="R551" s="140"/>
      <c r="S551" s="134"/>
      <c r="T551" s="134"/>
    </row>
    <row r="552" spans="1:20" ht="14.4" hidden="1" customHeight="1">
      <c r="A552" s="135" t="s">
        <v>32</v>
      </c>
      <c r="B552" s="139"/>
      <c r="C552" s="140"/>
      <c r="D552" s="140"/>
      <c r="E552" s="140"/>
      <c r="F552" s="140">
        <v>104</v>
      </c>
      <c r="G552" s="140"/>
      <c r="H552" s="140"/>
      <c r="I552" s="140"/>
      <c r="J552" s="140"/>
      <c r="K552" s="140"/>
      <c r="L552" s="140"/>
      <c r="M552" s="140"/>
      <c r="P552" s="140"/>
      <c r="Q552" s="140"/>
      <c r="R552" s="140"/>
      <c r="S552" s="134"/>
      <c r="T552" s="134"/>
    </row>
    <row r="553" spans="1:20" ht="13.2" hidden="1" customHeight="1">
      <c r="A553" s="141" t="s">
        <v>130</v>
      </c>
      <c r="B553" s="131">
        <f t="shared" ref="B553:L553" si="154">SUM(B546:B552)</f>
        <v>0</v>
      </c>
      <c r="C553" s="131">
        <f t="shared" si="154"/>
        <v>0</v>
      </c>
      <c r="D553" s="131">
        <f t="shared" si="154"/>
        <v>0</v>
      </c>
      <c r="E553" s="131">
        <f t="shared" si="154"/>
        <v>0</v>
      </c>
      <c r="F553" s="131">
        <f t="shared" si="154"/>
        <v>24194</v>
      </c>
      <c r="G553" s="131">
        <f t="shared" si="154"/>
        <v>0</v>
      </c>
      <c r="H553" s="131">
        <f>SUM(H546:H552)</f>
        <v>0</v>
      </c>
      <c r="I553" s="131"/>
      <c r="J553" s="131"/>
      <c r="K553" s="131">
        <f t="shared" si="154"/>
        <v>0</v>
      </c>
      <c r="L553" s="131">
        <f t="shared" si="154"/>
        <v>0</v>
      </c>
      <c r="M553" s="131"/>
      <c r="P553" s="131">
        <f t="shared" ref="P553:R553" si="155">SUM(P546:P552)</f>
        <v>0</v>
      </c>
      <c r="Q553" s="131">
        <f t="shared" si="155"/>
        <v>0</v>
      </c>
      <c r="R553" s="131">
        <f t="shared" si="155"/>
        <v>0</v>
      </c>
      <c r="S553" s="142"/>
      <c r="T553" s="142"/>
    </row>
    <row r="554" spans="1:20" ht="13.2" hidden="1" customHeight="1">
      <c r="A554" s="141"/>
      <c r="B554" s="144"/>
      <c r="C554" s="144"/>
      <c r="D554" s="144"/>
      <c r="E554" s="144"/>
      <c r="F554" s="144"/>
      <c r="G554" s="144"/>
      <c r="H554" s="144"/>
      <c r="I554" s="144"/>
      <c r="J554" s="144"/>
      <c r="K554" s="144"/>
      <c r="L554" s="144"/>
      <c r="M554" s="144"/>
      <c r="P554" s="144"/>
      <c r="Q554" s="144"/>
      <c r="R554" s="144"/>
      <c r="S554" s="142"/>
      <c r="T554" s="142"/>
    </row>
    <row r="555" spans="1:20" ht="27" hidden="1" customHeight="1">
      <c r="A555" s="130" t="s">
        <v>217</v>
      </c>
      <c r="B555" s="144"/>
      <c r="C555" s="145"/>
      <c r="D555" s="145"/>
      <c r="E555" s="145"/>
      <c r="F555" s="145"/>
      <c r="G555" s="145"/>
      <c r="H555" s="145"/>
      <c r="I555" s="145"/>
      <c r="J555" s="145"/>
      <c r="K555" s="145"/>
      <c r="L555" s="145"/>
      <c r="M555" s="145"/>
      <c r="P555" s="145"/>
      <c r="Q555" s="145"/>
      <c r="R555" s="145"/>
      <c r="S555" s="143"/>
      <c r="T555" s="143"/>
    </row>
    <row r="556" spans="1:20" ht="14.4" hidden="1" customHeight="1">
      <c r="A556" s="135" t="s">
        <v>26</v>
      </c>
      <c r="B556" s="136"/>
      <c r="C556" s="137"/>
      <c r="D556" s="137"/>
      <c r="E556" s="137"/>
      <c r="F556" s="137">
        <v>14379</v>
      </c>
      <c r="G556" s="137"/>
      <c r="H556" s="137"/>
      <c r="I556" s="137"/>
      <c r="J556" s="137"/>
      <c r="K556" s="137"/>
      <c r="L556" s="137"/>
      <c r="M556" s="137"/>
      <c r="P556" s="137"/>
      <c r="Q556" s="137"/>
      <c r="R556" s="137"/>
      <c r="S556" s="134"/>
      <c r="T556" s="134"/>
    </row>
    <row r="557" spans="1:20" ht="27" hidden="1" customHeight="1">
      <c r="A557" s="135" t="s">
        <v>27</v>
      </c>
      <c r="B557" s="138"/>
      <c r="C557" s="133"/>
      <c r="D557" s="133"/>
      <c r="E557" s="133"/>
      <c r="F557" s="133">
        <v>12628</v>
      </c>
      <c r="G557" s="133"/>
      <c r="H557" s="133"/>
      <c r="I557" s="133"/>
      <c r="J557" s="133"/>
      <c r="K557" s="133"/>
      <c r="L557" s="133"/>
      <c r="M557" s="133"/>
      <c r="P557" s="133"/>
      <c r="Q557" s="133"/>
      <c r="R557" s="133"/>
      <c r="S557" s="134"/>
      <c r="T557" s="134"/>
    </row>
    <row r="558" spans="1:20" ht="14.4" hidden="1" customHeight="1">
      <c r="A558" s="135" t="s">
        <v>28</v>
      </c>
      <c r="B558" s="139"/>
      <c r="C558" s="140"/>
      <c r="D558" s="140"/>
      <c r="E558" s="140"/>
      <c r="F558" s="140">
        <v>423</v>
      </c>
      <c r="G558" s="140"/>
      <c r="H558" s="140"/>
      <c r="I558" s="140"/>
      <c r="J558" s="140"/>
      <c r="K558" s="140"/>
      <c r="L558" s="140"/>
      <c r="M558" s="140"/>
      <c r="P558" s="140"/>
      <c r="Q558" s="140"/>
      <c r="R558" s="140"/>
      <c r="S558" s="134"/>
      <c r="T558" s="134"/>
    </row>
    <row r="559" spans="1:20" ht="27" hidden="1" customHeight="1">
      <c r="A559" s="135" t="s">
        <v>29</v>
      </c>
      <c r="B559" s="139"/>
      <c r="C559" s="140"/>
      <c r="D559" s="140"/>
      <c r="E559" s="140"/>
      <c r="F559" s="140">
        <v>11445</v>
      </c>
      <c r="G559" s="140"/>
      <c r="H559" s="140"/>
      <c r="I559" s="140"/>
      <c r="J559" s="140"/>
      <c r="K559" s="140"/>
      <c r="L559" s="140"/>
      <c r="M559" s="140"/>
      <c r="P559" s="140"/>
      <c r="Q559" s="140"/>
      <c r="R559" s="140"/>
      <c r="S559" s="134"/>
      <c r="T559" s="134"/>
    </row>
    <row r="560" spans="1:20" ht="14.4" hidden="1" customHeight="1">
      <c r="A560" s="135" t="s">
        <v>30</v>
      </c>
      <c r="B560" s="139"/>
      <c r="C560" s="140"/>
      <c r="D560" s="140"/>
      <c r="E560" s="140"/>
      <c r="F560" s="140">
        <v>40556</v>
      </c>
      <c r="G560" s="140"/>
      <c r="H560" s="140"/>
      <c r="I560" s="140"/>
      <c r="J560" s="140"/>
      <c r="K560" s="140"/>
      <c r="L560" s="140"/>
      <c r="M560" s="140"/>
      <c r="P560" s="140"/>
      <c r="Q560" s="140"/>
      <c r="R560" s="140"/>
      <c r="S560" s="134"/>
      <c r="T560" s="134"/>
    </row>
    <row r="561" spans="1:20" ht="14.4" hidden="1" customHeight="1">
      <c r="A561" s="135" t="s">
        <v>129</v>
      </c>
      <c r="B561" s="139"/>
      <c r="C561" s="140"/>
      <c r="D561" s="140"/>
      <c r="E561" s="140"/>
      <c r="F561" s="140">
        <v>11413</v>
      </c>
      <c r="G561" s="140"/>
      <c r="H561" s="140"/>
      <c r="I561" s="140"/>
      <c r="J561" s="140"/>
      <c r="K561" s="140"/>
      <c r="L561" s="140"/>
      <c r="M561" s="140"/>
      <c r="P561" s="140"/>
      <c r="Q561" s="140"/>
      <c r="R561" s="140"/>
      <c r="S561" s="134"/>
      <c r="T561" s="134"/>
    </row>
    <row r="562" spans="1:20" ht="14.4" hidden="1" customHeight="1">
      <c r="A562" s="135" t="s">
        <v>32</v>
      </c>
      <c r="B562" s="139"/>
      <c r="C562" s="140"/>
      <c r="D562" s="140"/>
      <c r="E562" s="140"/>
      <c r="F562" s="140">
        <v>3270</v>
      </c>
      <c r="G562" s="140"/>
      <c r="H562" s="140"/>
      <c r="I562" s="140"/>
      <c r="J562" s="140"/>
      <c r="K562" s="140"/>
      <c r="L562" s="140"/>
      <c r="M562" s="140"/>
      <c r="P562" s="140"/>
      <c r="Q562" s="140"/>
      <c r="R562" s="140"/>
      <c r="S562" s="134"/>
      <c r="T562" s="134"/>
    </row>
    <row r="563" spans="1:20" ht="13.2" hidden="1" customHeight="1">
      <c r="A563" s="141" t="s">
        <v>130</v>
      </c>
      <c r="B563" s="131">
        <f t="shared" ref="B563:L563" si="156">SUM(B556:B562)</f>
        <v>0</v>
      </c>
      <c r="C563" s="131">
        <f t="shared" si="156"/>
        <v>0</v>
      </c>
      <c r="D563" s="131">
        <f t="shared" si="156"/>
        <v>0</v>
      </c>
      <c r="E563" s="131">
        <f t="shared" si="156"/>
        <v>0</v>
      </c>
      <c r="F563" s="131">
        <f t="shared" si="156"/>
        <v>94114</v>
      </c>
      <c r="G563" s="131">
        <f t="shared" si="156"/>
        <v>0</v>
      </c>
      <c r="H563" s="131">
        <f>SUM(H556:H562)</f>
        <v>0</v>
      </c>
      <c r="I563" s="131"/>
      <c r="J563" s="131"/>
      <c r="K563" s="131">
        <f t="shared" si="156"/>
        <v>0</v>
      </c>
      <c r="L563" s="131">
        <f t="shared" si="156"/>
        <v>0</v>
      </c>
      <c r="M563" s="131"/>
      <c r="P563" s="131">
        <f t="shared" ref="P563:R563" si="157">SUM(P556:P562)</f>
        <v>0</v>
      </c>
      <c r="Q563" s="131">
        <f t="shared" si="157"/>
        <v>0</v>
      </c>
      <c r="R563" s="131">
        <f t="shared" si="157"/>
        <v>0</v>
      </c>
      <c r="S563" s="142"/>
      <c r="T563" s="142"/>
    </row>
    <row r="564" spans="1:20" ht="13.2" hidden="1" customHeight="1">
      <c r="A564" s="141"/>
      <c r="B564" s="144"/>
      <c r="C564" s="144"/>
      <c r="D564" s="144"/>
      <c r="E564" s="144"/>
      <c r="F564" s="144"/>
      <c r="G564" s="144"/>
      <c r="H564" s="144"/>
      <c r="I564" s="144"/>
      <c r="J564" s="144"/>
      <c r="K564" s="144"/>
      <c r="L564" s="144"/>
      <c r="M564" s="144"/>
      <c r="P564" s="144"/>
      <c r="Q564" s="144"/>
      <c r="R564" s="144"/>
      <c r="S564" s="142"/>
      <c r="T564" s="142"/>
    </row>
    <row r="565" spans="1:20" ht="14.4" hidden="1" customHeight="1">
      <c r="A565" s="130" t="s">
        <v>218</v>
      </c>
      <c r="B565" s="144"/>
      <c r="C565" s="145"/>
      <c r="D565" s="145"/>
      <c r="E565" s="145"/>
      <c r="F565" s="145"/>
      <c r="G565" s="145"/>
      <c r="H565" s="145"/>
      <c r="I565" s="145"/>
      <c r="J565" s="145"/>
      <c r="K565" s="145"/>
      <c r="L565" s="145"/>
      <c r="M565" s="145"/>
      <c r="P565" s="145"/>
      <c r="Q565" s="145"/>
      <c r="R565" s="145"/>
      <c r="S565" s="143"/>
      <c r="T565" s="143"/>
    </row>
    <row r="566" spans="1:20" ht="14.4" hidden="1" customHeight="1">
      <c r="A566" s="135" t="s">
        <v>26</v>
      </c>
      <c r="B566" s="136"/>
      <c r="C566" s="137"/>
      <c r="D566" s="137"/>
      <c r="E566" s="137"/>
      <c r="F566" s="137">
        <v>8113</v>
      </c>
      <c r="G566" s="137"/>
      <c r="H566" s="137"/>
      <c r="I566" s="137"/>
      <c r="J566" s="137"/>
      <c r="K566" s="137"/>
      <c r="L566" s="137"/>
      <c r="M566" s="137"/>
      <c r="P566" s="137"/>
      <c r="Q566" s="137"/>
      <c r="R566" s="137"/>
      <c r="S566" s="134"/>
      <c r="T566" s="134"/>
    </row>
    <row r="567" spans="1:20" ht="27" hidden="1" customHeight="1">
      <c r="A567" s="135" t="s">
        <v>27</v>
      </c>
      <c r="B567" s="138"/>
      <c r="C567" s="133"/>
      <c r="D567" s="133"/>
      <c r="E567" s="133"/>
      <c r="F567" s="133">
        <v>772</v>
      </c>
      <c r="G567" s="133"/>
      <c r="H567" s="133"/>
      <c r="I567" s="133"/>
      <c r="J567" s="133"/>
      <c r="K567" s="133"/>
      <c r="L567" s="133"/>
      <c r="M567" s="133"/>
      <c r="P567" s="133"/>
      <c r="Q567" s="133"/>
      <c r="R567" s="133"/>
      <c r="S567" s="134"/>
      <c r="T567" s="134"/>
    </row>
    <row r="568" spans="1:20" ht="14.4" hidden="1" customHeight="1">
      <c r="A568" s="135" t="s">
        <v>28</v>
      </c>
      <c r="B568" s="139"/>
      <c r="C568" s="140"/>
      <c r="D568" s="140"/>
      <c r="E568" s="140"/>
      <c r="F568" s="140">
        <v>264</v>
      </c>
      <c r="G568" s="140"/>
      <c r="H568" s="140"/>
      <c r="I568" s="140"/>
      <c r="J568" s="140"/>
      <c r="K568" s="140"/>
      <c r="L568" s="140"/>
      <c r="M568" s="140"/>
      <c r="P568" s="140"/>
      <c r="Q568" s="140"/>
      <c r="R568" s="140"/>
      <c r="S568" s="134"/>
      <c r="T568" s="134"/>
    </row>
    <row r="569" spans="1:20" ht="27" hidden="1" customHeight="1">
      <c r="A569" s="135" t="s">
        <v>29</v>
      </c>
      <c r="B569" s="139"/>
      <c r="C569" s="140"/>
      <c r="D569" s="140"/>
      <c r="E569" s="140"/>
      <c r="F569" s="140">
        <v>317</v>
      </c>
      <c r="G569" s="140"/>
      <c r="H569" s="140"/>
      <c r="I569" s="140"/>
      <c r="J569" s="140"/>
      <c r="K569" s="140"/>
      <c r="L569" s="140"/>
      <c r="M569" s="140"/>
      <c r="P569" s="140"/>
      <c r="Q569" s="140"/>
      <c r="R569" s="140"/>
      <c r="S569" s="134"/>
      <c r="T569" s="134"/>
    </row>
    <row r="570" spans="1:20" ht="14.4" hidden="1" customHeight="1">
      <c r="A570" s="135" t="s">
        <v>30</v>
      </c>
      <c r="B570" s="139"/>
      <c r="C570" s="140"/>
      <c r="D570" s="140"/>
      <c r="E570" s="140"/>
      <c r="F570" s="140">
        <v>317</v>
      </c>
      <c r="G570" s="140"/>
      <c r="H570" s="140"/>
      <c r="I570" s="140"/>
      <c r="J570" s="140"/>
      <c r="K570" s="140"/>
      <c r="L570" s="140"/>
      <c r="M570" s="140"/>
      <c r="P570" s="140"/>
      <c r="Q570" s="140"/>
      <c r="R570" s="140"/>
      <c r="S570" s="134"/>
      <c r="T570" s="134"/>
    </row>
    <row r="571" spans="1:20" ht="14.4" hidden="1" customHeight="1">
      <c r="A571" s="135" t="s">
        <v>129</v>
      </c>
      <c r="B571" s="139"/>
      <c r="C571" s="140"/>
      <c r="D571" s="140"/>
      <c r="E571" s="140"/>
      <c r="F571" s="140">
        <v>211</v>
      </c>
      <c r="G571" s="140"/>
      <c r="H571" s="140"/>
      <c r="I571" s="140"/>
      <c r="J571" s="140"/>
      <c r="K571" s="140"/>
      <c r="L571" s="140"/>
      <c r="M571" s="140"/>
      <c r="P571" s="140"/>
      <c r="Q571" s="140"/>
      <c r="R571" s="140"/>
      <c r="S571" s="134"/>
      <c r="T571" s="134"/>
    </row>
    <row r="572" spans="1:20" ht="14.4" hidden="1" customHeight="1">
      <c r="A572" s="135" t="s">
        <v>32</v>
      </c>
      <c r="B572" s="139"/>
      <c r="C572" s="140"/>
      <c r="D572" s="140"/>
      <c r="E572" s="140"/>
      <c r="F572" s="140">
        <v>493</v>
      </c>
      <c r="G572" s="140"/>
      <c r="H572" s="140"/>
      <c r="I572" s="140"/>
      <c r="J572" s="140"/>
      <c r="K572" s="140"/>
      <c r="L572" s="140"/>
      <c r="M572" s="140"/>
      <c r="P572" s="140"/>
      <c r="Q572" s="140"/>
      <c r="R572" s="140"/>
      <c r="S572" s="134"/>
      <c r="T572" s="134"/>
    </row>
    <row r="573" spans="1:20" ht="13.2" hidden="1" customHeight="1">
      <c r="A573" s="141" t="s">
        <v>130</v>
      </c>
      <c r="B573" s="131">
        <f t="shared" ref="B573:L573" si="158">SUM(B566:B572)</f>
        <v>0</v>
      </c>
      <c r="C573" s="131">
        <f t="shared" si="158"/>
        <v>0</v>
      </c>
      <c r="D573" s="131">
        <f t="shared" si="158"/>
        <v>0</v>
      </c>
      <c r="E573" s="131">
        <f t="shared" si="158"/>
        <v>0</v>
      </c>
      <c r="F573" s="131">
        <f t="shared" si="158"/>
        <v>10487</v>
      </c>
      <c r="G573" s="131">
        <f t="shared" si="158"/>
        <v>0</v>
      </c>
      <c r="H573" s="131">
        <f>SUM(H566:H572)</f>
        <v>0</v>
      </c>
      <c r="I573" s="131"/>
      <c r="J573" s="131"/>
      <c r="K573" s="131">
        <f t="shared" si="158"/>
        <v>0</v>
      </c>
      <c r="L573" s="131">
        <f t="shared" si="158"/>
        <v>0</v>
      </c>
      <c r="M573" s="131"/>
      <c r="P573" s="131">
        <f t="shared" ref="P573:R573" si="159">SUM(P566:P572)</f>
        <v>0</v>
      </c>
      <c r="Q573" s="131">
        <f t="shared" si="159"/>
        <v>0</v>
      </c>
      <c r="R573" s="131">
        <f t="shared" si="159"/>
        <v>0</v>
      </c>
      <c r="S573" s="142"/>
      <c r="T573" s="142"/>
    </row>
    <row r="574" spans="1:20" ht="13.2" hidden="1" customHeight="1">
      <c r="A574" s="141"/>
      <c r="B574" s="144"/>
      <c r="C574" s="144"/>
      <c r="D574" s="144"/>
      <c r="E574" s="144"/>
      <c r="F574" s="144"/>
      <c r="G574" s="144"/>
      <c r="H574" s="144"/>
      <c r="I574" s="144"/>
      <c r="J574" s="144"/>
      <c r="K574" s="144"/>
      <c r="L574" s="144"/>
      <c r="M574" s="144"/>
      <c r="P574" s="144"/>
      <c r="Q574" s="144"/>
      <c r="R574" s="144"/>
      <c r="S574" s="142"/>
      <c r="T574" s="142"/>
    </row>
    <row r="575" spans="1:20" ht="14.4" hidden="1" customHeight="1">
      <c r="A575" s="130" t="s">
        <v>219</v>
      </c>
      <c r="B575" s="144"/>
      <c r="C575" s="145"/>
      <c r="D575" s="145"/>
      <c r="E575" s="145"/>
      <c r="F575" s="145"/>
      <c r="G575" s="145"/>
      <c r="H575" s="145"/>
      <c r="I575" s="145"/>
      <c r="J575" s="145"/>
      <c r="K575" s="145"/>
      <c r="L575" s="145"/>
      <c r="M575" s="145"/>
      <c r="P575" s="145"/>
      <c r="Q575" s="145"/>
      <c r="R575" s="145"/>
      <c r="S575" s="143"/>
      <c r="T575" s="143"/>
    </row>
    <row r="576" spans="1:20" ht="14.4" hidden="1" customHeight="1">
      <c r="A576" s="135" t="s">
        <v>26</v>
      </c>
      <c r="B576" s="136"/>
      <c r="C576" s="137"/>
      <c r="D576" s="137"/>
      <c r="E576" s="137"/>
      <c r="F576" s="137">
        <v>1935</v>
      </c>
      <c r="G576" s="137"/>
      <c r="H576" s="137"/>
      <c r="I576" s="137"/>
      <c r="J576" s="137"/>
      <c r="K576" s="137"/>
      <c r="L576" s="137"/>
      <c r="M576" s="137"/>
      <c r="P576" s="137"/>
      <c r="Q576" s="137"/>
      <c r="R576" s="137"/>
      <c r="S576" s="134"/>
      <c r="T576" s="134"/>
    </row>
    <row r="577" spans="1:20" ht="27" hidden="1" customHeight="1">
      <c r="A577" s="135" t="s">
        <v>27</v>
      </c>
      <c r="B577" s="138"/>
      <c r="C577" s="133"/>
      <c r="D577" s="133"/>
      <c r="E577" s="133"/>
      <c r="F577" s="133">
        <v>290</v>
      </c>
      <c r="G577" s="133"/>
      <c r="H577" s="133"/>
      <c r="I577" s="133"/>
      <c r="J577" s="133"/>
      <c r="K577" s="133"/>
      <c r="L577" s="133"/>
      <c r="M577" s="133"/>
      <c r="P577" s="133"/>
      <c r="Q577" s="133"/>
      <c r="R577" s="133"/>
      <c r="S577" s="134"/>
      <c r="T577" s="134"/>
    </row>
    <row r="578" spans="1:20" ht="14.4" hidden="1" customHeight="1">
      <c r="A578" s="135" t="s">
        <v>28</v>
      </c>
      <c r="B578" s="139"/>
      <c r="C578" s="140"/>
      <c r="D578" s="140"/>
      <c r="E578" s="140"/>
      <c r="F578" s="140"/>
      <c r="G578" s="140"/>
      <c r="H578" s="140"/>
      <c r="I578" s="140"/>
      <c r="J578" s="140"/>
      <c r="K578" s="140"/>
      <c r="L578" s="140"/>
      <c r="M578" s="140"/>
      <c r="P578" s="140"/>
      <c r="Q578" s="140"/>
      <c r="R578" s="140"/>
      <c r="S578" s="134"/>
      <c r="T578" s="134"/>
    </row>
    <row r="579" spans="1:20" ht="27" hidden="1" customHeight="1">
      <c r="A579" s="135" t="s">
        <v>29</v>
      </c>
      <c r="B579" s="139"/>
      <c r="C579" s="140"/>
      <c r="D579" s="140"/>
      <c r="E579" s="140"/>
      <c r="F579" s="140"/>
      <c r="G579" s="140"/>
      <c r="H579" s="140"/>
      <c r="I579" s="140"/>
      <c r="J579" s="140"/>
      <c r="K579" s="140"/>
      <c r="L579" s="140"/>
      <c r="M579" s="140"/>
      <c r="P579" s="140"/>
      <c r="Q579" s="140"/>
      <c r="R579" s="140"/>
      <c r="S579" s="134"/>
      <c r="T579" s="134"/>
    </row>
    <row r="580" spans="1:20" ht="14.4" hidden="1" customHeight="1">
      <c r="A580" s="135" t="s">
        <v>30</v>
      </c>
      <c r="B580" s="139"/>
      <c r="C580" s="140"/>
      <c r="D580" s="140"/>
      <c r="E580" s="140"/>
      <c r="F580" s="140">
        <v>9766</v>
      </c>
      <c r="G580" s="140"/>
      <c r="H580" s="140"/>
      <c r="I580" s="140"/>
      <c r="J580" s="140"/>
      <c r="K580" s="140"/>
      <c r="L580" s="140"/>
      <c r="M580" s="140"/>
      <c r="P580" s="140"/>
      <c r="Q580" s="140"/>
      <c r="R580" s="140"/>
      <c r="S580" s="134"/>
      <c r="T580" s="134"/>
    </row>
    <row r="581" spans="1:20" ht="14.4" hidden="1" customHeight="1">
      <c r="A581" s="135" t="s">
        <v>129</v>
      </c>
      <c r="B581" s="139"/>
      <c r="C581" s="140"/>
      <c r="D581" s="140"/>
      <c r="E581" s="140"/>
      <c r="F581" s="140"/>
      <c r="G581" s="140"/>
      <c r="H581" s="140"/>
      <c r="I581" s="140"/>
      <c r="J581" s="140"/>
      <c r="K581" s="140"/>
      <c r="L581" s="140"/>
      <c r="M581" s="140"/>
      <c r="P581" s="140"/>
      <c r="Q581" s="140"/>
      <c r="R581" s="140"/>
      <c r="S581" s="134"/>
      <c r="T581" s="134"/>
    </row>
    <row r="582" spans="1:20" ht="14.4" hidden="1" customHeight="1">
      <c r="A582" s="135" t="s">
        <v>32</v>
      </c>
      <c r="B582" s="139"/>
      <c r="C582" s="140"/>
      <c r="D582" s="140"/>
      <c r="E582" s="140"/>
      <c r="F582" s="140"/>
      <c r="G582" s="140"/>
      <c r="H582" s="140"/>
      <c r="I582" s="140"/>
      <c r="J582" s="140"/>
      <c r="K582" s="140"/>
      <c r="L582" s="140"/>
      <c r="M582" s="140"/>
      <c r="P582" s="140"/>
      <c r="Q582" s="140"/>
      <c r="R582" s="140"/>
      <c r="S582" s="134"/>
      <c r="T582" s="134"/>
    </row>
    <row r="583" spans="1:20" ht="13.2" hidden="1" customHeight="1">
      <c r="A583" s="141" t="s">
        <v>130</v>
      </c>
      <c r="B583" s="131">
        <f t="shared" ref="B583:L583" si="160">SUM(B576:B582)</f>
        <v>0</v>
      </c>
      <c r="C583" s="131">
        <f t="shared" si="160"/>
        <v>0</v>
      </c>
      <c r="D583" s="131">
        <f t="shared" si="160"/>
        <v>0</v>
      </c>
      <c r="E583" s="131">
        <f t="shared" si="160"/>
        <v>0</v>
      </c>
      <c r="F583" s="131">
        <f t="shared" si="160"/>
        <v>11991</v>
      </c>
      <c r="G583" s="131">
        <f t="shared" si="160"/>
        <v>0</v>
      </c>
      <c r="H583" s="131">
        <f>SUM(H576:H582)</f>
        <v>0</v>
      </c>
      <c r="I583" s="131"/>
      <c r="J583" s="131"/>
      <c r="K583" s="131">
        <f t="shared" si="160"/>
        <v>0</v>
      </c>
      <c r="L583" s="131">
        <f t="shared" si="160"/>
        <v>0</v>
      </c>
      <c r="M583" s="131"/>
      <c r="P583" s="131">
        <f t="shared" ref="P583:R583" si="161">SUM(P576:P582)</f>
        <v>0</v>
      </c>
      <c r="Q583" s="131">
        <f t="shared" si="161"/>
        <v>0</v>
      </c>
      <c r="R583" s="131">
        <f t="shared" si="161"/>
        <v>0</v>
      </c>
      <c r="S583" s="142"/>
      <c r="T583" s="142"/>
    </row>
    <row r="584" spans="1:20" ht="13.2" hidden="1" customHeight="1">
      <c r="A584" s="141"/>
      <c r="B584" s="144"/>
      <c r="C584" s="144"/>
      <c r="D584" s="144"/>
      <c r="E584" s="144"/>
      <c r="F584" s="144"/>
      <c r="G584" s="144"/>
      <c r="H584" s="144"/>
      <c r="I584" s="144"/>
      <c r="J584" s="144"/>
      <c r="K584" s="144"/>
      <c r="L584" s="144"/>
      <c r="M584" s="144"/>
      <c r="P584" s="144"/>
      <c r="Q584" s="144"/>
      <c r="R584" s="144"/>
      <c r="S584" s="142"/>
      <c r="T584" s="142"/>
    </row>
    <row r="585" spans="1:20" ht="14.4" hidden="1" customHeight="1">
      <c r="A585" s="130" t="s">
        <v>220</v>
      </c>
      <c r="B585" s="144"/>
      <c r="C585" s="145"/>
      <c r="D585" s="145"/>
      <c r="E585" s="145"/>
      <c r="F585" s="145"/>
      <c r="G585" s="145"/>
      <c r="H585" s="145"/>
      <c r="I585" s="145"/>
      <c r="J585" s="145"/>
      <c r="K585" s="145"/>
      <c r="L585" s="145"/>
      <c r="M585" s="145"/>
      <c r="P585" s="145"/>
      <c r="Q585" s="145"/>
      <c r="R585" s="145"/>
      <c r="S585" s="143"/>
      <c r="T585" s="143"/>
    </row>
    <row r="586" spans="1:20" ht="14.4" hidden="1" customHeight="1">
      <c r="A586" s="135" t="s">
        <v>26</v>
      </c>
      <c r="B586" s="136"/>
      <c r="C586" s="137"/>
      <c r="D586" s="137"/>
      <c r="E586" s="137"/>
      <c r="F586" s="137">
        <v>1995</v>
      </c>
      <c r="G586" s="137"/>
      <c r="H586" s="137"/>
      <c r="I586" s="137"/>
      <c r="J586" s="137"/>
      <c r="K586" s="137"/>
      <c r="L586" s="137"/>
      <c r="M586" s="137"/>
      <c r="P586" s="137"/>
      <c r="Q586" s="137"/>
      <c r="R586" s="137"/>
      <c r="S586" s="134"/>
      <c r="T586" s="134"/>
    </row>
    <row r="587" spans="1:20" ht="27" hidden="1" customHeight="1">
      <c r="A587" s="135" t="s">
        <v>27</v>
      </c>
      <c r="B587" s="138"/>
      <c r="C587" s="133"/>
      <c r="D587" s="133"/>
      <c r="E587" s="133"/>
      <c r="F587" s="133">
        <v>173</v>
      </c>
      <c r="G587" s="133"/>
      <c r="H587" s="133"/>
      <c r="I587" s="133"/>
      <c r="J587" s="133"/>
      <c r="K587" s="133"/>
      <c r="L587" s="133"/>
      <c r="M587" s="133"/>
      <c r="P587" s="133"/>
      <c r="Q587" s="133"/>
      <c r="R587" s="133"/>
      <c r="S587" s="134"/>
      <c r="T587" s="134"/>
    </row>
    <row r="588" spans="1:20" ht="14.4" hidden="1" customHeight="1">
      <c r="A588" s="135" t="s">
        <v>28</v>
      </c>
      <c r="B588" s="139"/>
      <c r="C588" s="140"/>
      <c r="D588" s="140"/>
      <c r="E588" s="140"/>
      <c r="F588" s="140"/>
      <c r="G588" s="140"/>
      <c r="H588" s="140"/>
      <c r="I588" s="140"/>
      <c r="J588" s="140"/>
      <c r="K588" s="140"/>
      <c r="L588" s="140"/>
      <c r="M588" s="140"/>
      <c r="P588" s="140"/>
      <c r="Q588" s="140"/>
      <c r="R588" s="140"/>
      <c r="S588" s="134"/>
      <c r="T588" s="134"/>
    </row>
    <row r="589" spans="1:20" ht="27" hidden="1" customHeight="1">
      <c r="A589" s="135" t="s">
        <v>29</v>
      </c>
      <c r="B589" s="139"/>
      <c r="C589" s="140"/>
      <c r="D589" s="140"/>
      <c r="E589" s="140"/>
      <c r="F589" s="140"/>
      <c r="G589" s="140"/>
      <c r="H589" s="140"/>
      <c r="I589" s="140"/>
      <c r="J589" s="140"/>
      <c r="K589" s="140"/>
      <c r="L589" s="140"/>
      <c r="M589" s="140"/>
      <c r="P589" s="140"/>
      <c r="Q589" s="140"/>
      <c r="R589" s="140"/>
      <c r="S589" s="134"/>
      <c r="T589" s="134"/>
    </row>
    <row r="590" spans="1:20" ht="14.4" hidden="1" customHeight="1">
      <c r="A590" s="135" t="s">
        <v>30</v>
      </c>
      <c r="B590" s="139"/>
      <c r="C590" s="140"/>
      <c r="D590" s="140"/>
      <c r="E590" s="140"/>
      <c r="F590" s="140">
        <v>115</v>
      </c>
      <c r="G590" s="140"/>
      <c r="H590" s="140"/>
      <c r="I590" s="140"/>
      <c r="J590" s="140"/>
      <c r="K590" s="140"/>
      <c r="L590" s="140"/>
      <c r="M590" s="140"/>
      <c r="P590" s="140"/>
      <c r="Q590" s="140"/>
      <c r="R590" s="140"/>
      <c r="S590" s="134"/>
      <c r="T590" s="134"/>
    </row>
    <row r="591" spans="1:20" ht="14.4" hidden="1" customHeight="1">
      <c r="A591" s="135" t="s">
        <v>129</v>
      </c>
      <c r="B591" s="139"/>
      <c r="C591" s="140"/>
      <c r="D591" s="140"/>
      <c r="E591" s="140"/>
      <c r="F591" s="140">
        <v>462</v>
      </c>
      <c r="G591" s="140"/>
      <c r="H591" s="140"/>
      <c r="I591" s="140"/>
      <c r="J591" s="140"/>
      <c r="K591" s="140"/>
      <c r="L591" s="140"/>
      <c r="M591" s="140"/>
      <c r="P591" s="140"/>
      <c r="Q591" s="140"/>
      <c r="R591" s="140"/>
      <c r="S591" s="134"/>
      <c r="T591" s="134"/>
    </row>
    <row r="592" spans="1:20" ht="14.4" hidden="1" customHeight="1">
      <c r="A592" s="135" t="s">
        <v>32</v>
      </c>
      <c r="B592" s="139"/>
      <c r="C592" s="140"/>
      <c r="D592" s="140"/>
      <c r="E592" s="140"/>
      <c r="F592" s="140"/>
      <c r="G592" s="140"/>
      <c r="H592" s="140"/>
      <c r="I592" s="140"/>
      <c r="J592" s="140"/>
      <c r="K592" s="140"/>
      <c r="L592" s="140"/>
      <c r="M592" s="140"/>
      <c r="P592" s="140"/>
      <c r="Q592" s="140"/>
      <c r="R592" s="140"/>
      <c r="S592" s="134"/>
      <c r="T592" s="134"/>
    </row>
    <row r="593" spans="1:20" ht="13.2" hidden="1" customHeight="1">
      <c r="A593" s="141" t="s">
        <v>130</v>
      </c>
      <c r="B593" s="131">
        <f t="shared" ref="B593:L593" si="162">SUM(B586:B592)</f>
        <v>0</v>
      </c>
      <c r="C593" s="131">
        <f t="shared" si="162"/>
        <v>0</v>
      </c>
      <c r="D593" s="131">
        <f t="shared" si="162"/>
        <v>0</v>
      </c>
      <c r="E593" s="131">
        <f t="shared" si="162"/>
        <v>0</v>
      </c>
      <c r="F593" s="131">
        <f t="shared" si="162"/>
        <v>2745</v>
      </c>
      <c r="G593" s="131">
        <f t="shared" si="162"/>
        <v>0</v>
      </c>
      <c r="H593" s="131">
        <f>SUM(H586:H592)</f>
        <v>0</v>
      </c>
      <c r="I593" s="131"/>
      <c r="J593" s="131"/>
      <c r="K593" s="131">
        <f t="shared" si="162"/>
        <v>0</v>
      </c>
      <c r="L593" s="131">
        <f t="shared" si="162"/>
        <v>0</v>
      </c>
      <c r="M593" s="131"/>
      <c r="P593" s="131">
        <f t="shared" ref="P593:R593" si="163">SUM(P586:P592)</f>
        <v>0</v>
      </c>
      <c r="Q593" s="131">
        <f t="shared" si="163"/>
        <v>0</v>
      </c>
      <c r="R593" s="131">
        <f t="shared" si="163"/>
        <v>0</v>
      </c>
      <c r="S593" s="142"/>
      <c r="T593" s="142"/>
    </row>
    <row r="594" spans="1:20" ht="13.2" hidden="1" customHeight="1">
      <c r="A594" s="141"/>
      <c r="B594" s="144"/>
      <c r="C594" s="144"/>
      <c r="D594" s="144"/>
      <c r="E594" s="144"/>
      <c r="F594" s="144"/>
      <c r="G594" s="144"/>
      <c r="H594" s="144"/>
      <c r="I594" s="144"/>
      <c r="J594" s="144"/>
      <c r="K594" s="144"/>
      <c r="L594" s="144"/>
      <c r="M594" s="144"/>
      <c r="P594" s="144"/>
      <c r="Q594" s="144"/>
      <c r="R594" s="144"/>
      <c r="S594" s="142"/>
      <c r="T594" s="142"/>
    </row>
    <row r="595" spans="1:20" ht="14.4" hidden="1" customHeight="1">
      <c r="A595" s="130" t="s">
        <v>221</v>
      </c>
      <c r="B595" s="144"/>
      <c r="C595" s="145"/>
      <c r="D595" s="145"/>
      <c r="E595" s="145"/>
      <c r="F595" s="145"/>
      <c r="G595" s="145"/>
      <c r="H595" s="145"/>
      <c r="I595" s="145"/>
      <c r="J595" s="145"/>
      <c r="K595" s="145"/>
      <c r="L595" s="145"/>
      <c r="M595" s="145"/>
      <c r="P595" s="145"/>
      <c r="Q595" s="145"/>
      <c r="R595" s="145"/>
      <c r="S595" s="143"/>
      <c r="T595" s="143"/>
    </row>
    <row r="596" spans="1:20" ht="27" hidden="1" customHeight="1">
      <c r="A596" s="135" t="s">
        <v>141</v>
      </c>
      <c r="B596" s="138"/>
      <c r="C596" s="133"/>
      <c r="D596" s="133"/>
      <c r="E596" s="133">
        <v>55648</v>
      </c>
      <c r="F596" s="133"/>
      <c r="G596" s="133"/>
      <c r="H596" s="133"/>
      <c r="I596" s="133"/>
      <c r="J596" s="133"/>
      <c r="K596" s="133"/>
      <c r="L596" s="133"/>
      <c r="M596" s="133"/>
      <c r="P596" s="133"/>
      <c r="Q596" s="133"/>
      <c r="R596" s="133"/>
      <c r="S596" s="134"/>
      <c r="T596" s="134"/>
    </row>
    <row r="597" spans="1:20" ht="14.4" hidden="1" customHeight="1">
      <c r="A597" s="135" t="s">
        <v>26</v>
      </c>
      <c r="B597" s="136"/>
      <c r="C597" s="137"/>
      <c r="D597" s="137"/>
      <c r="E597" s="137">
        <v>3249</v>
      </c>
      <c r="F597" s="137"/>
      <c r="G597" s="137"/>
      <c r="H597" s="137"/>
      <c r="I597" s="137"/>
      <c r="J597" s="137"/>
      <c r="K597" s="137"/>
      <c r="L597" s="137"/>
      <c r="M597" s="137"/>
      <c r="P597" s="137"/>
      <c r="Q597" s="137"/>
      <c r="R597" s="137"/>
      <c r="S597" s="134"/>
      <c r="T597" s="134"/>
    </row>
    <row r="598" spans="1:20" ht="27" hidden="1" customHeight="1">
      <c r="A598" s="135" t="s">
        <v>27</v>
      </c>
      <c r="B598" s="138"/>
      <c r="C598" s="133"/>
      <c r="D598" s="133"/>
      <c r="E598" s="133">
        <v>624</v>
      </c>
      <c r="F598" s="133"/>
      <c r="G598" s="133"/>
      <c r="H598" s="133"/>
      <c r="I598" s="133"/>
      <c r="J598" s="133"/>
      <c r="K598" s="133"/>
      <c r="L598" s="133"/>
      <c r="M598" s="133"/>
      <c r="P598" s="133"/>
      <c r="Q598" s="133"/>
      <c r="R598" s="133"/>
      <c r="S598" s="134"/>
      <c r="T598" s="134"/>
    </row>
    <row r="599" spans="1:20" ht="14.4" hidden="1" customHeight="1">
      <c r="A599" s="135" t="s">
        <v>28</v>
      </c>
      <c r="B599" s="139"/>
      <c r="C599" s="140"/>
      <c r="D599" s="140"/>
      <c r="E599" s="140">
        <v>22</v>
      </c>
      <c r="F599" s="140"/>
      <c r="G599" s="140"/>
      <c r="H599" s="140"/>
      <c r="I599" s="140"/>
      <c r="J599" s="140"/>
      <c r="K599" s="140"/>
      <c r="L599" s="140"/>
      <c r="M599" s="140"/>
      <c r="P599" s="140"/>
      <c r="Q599" s="140"/>
      <c r="R599" s="140"/>
      <c r="S599" s="134"/>
      <c r="T599" s="134"/>
    </row>
    <row r="600" spans="1:20" ht="27" hidden="1" customHeight="1">
      <c r="A600" s="135" t="s">
        <v>29</v>
      </c>
      <c r="B600" s="139"/>
      <c r="C600" s="140"/>
      <c r="D600" s="140"/>
      <c r="E600" s="140">
        <v>40764</v>
      </c>
      <c r="F600" s="140"/>
      <c r="G600" s="140"/>
      <c r="H600" s="140"/>
      <c r="I600" s="140"/>
      <c r="J600" s="140"/>
      <c r="K600" s="140"/>
      <c r="L600" s="140"/>
      <c r="M600" s="140"/>
      <c r="P600" s="140"/>
      <c r="Q600" s="140"/>
      <c r="R600" s="140"/>
      <c r="S600" s="134"/>
      <c r="T600" s="134"/>
    </row>
    <row r="601" spans="1:20" ht="14.4" hidden="1" customHeight="1">
      <c r="A601" s="135" t="s">
        <v>30</v>
      </c>
      <c r="B601" s="139">
        <v>24158</v>
      </c>
      <c r="C601" s="140">
        <v>30696</v>
      </c>
      <c r="D601" s="140">
        <v>-2944</v>
      </c>
      <c r="E601" s="140">
        <v>18899</v>
      </c>
      <c r="F601" s="140"/>
      <c r="G601" s="140"/>
      <c r="H601" s="140"/>
      <c r="I601" s="140"/>
      <c r="J601" s="140"/>
      <c r="K601" s="140"/>
      <c r="L601" s="140"/>
      <c r="M601" s="140"/>
      <c r="P601" s="140"/>
      <c r="Q601" s="140"/>
      <c r="R601" s="140"/>
      <c r="S601" s="134"/>
      <c r="T601" s="134"/>
    </row>
    <row r="602" spans="1:20" ht="14.4" hidden="1" customHeight="1">
      <c r="A602" s="135" t="s">
        <v>129</v>
      </c>
      <c r="B602" s="139"/>
      <c r="C602" s="140"/>
      <c r="D602" s="140"/>
      <c r="E602" s="140">
        <v>7135</v>
      </c>
      <c r="F602" s="140"/>
      <c r="G602" s="140"/>
      <c r="H602" s="140"/>
      <c r="I602" s="140"/>
      <c r="J602" s="140"/>
      <c r="K602" s="140"/>
      <c r="L602" s="140"/>
      <c r="M602" s="140"/>
      <c r="P602" s="140"/>
      <c r="Q602" s="140"/>
      <c r="R602" s="140"/>
      <c r="S602" s="134"/>
      <c r="T602" s="134"/>
    </row>
    <row r="603" spans="1:20" ht="14.4" hidden="1" customHeight="1">
      <c r="A603" s="135" t="s">
        <v>32</v>
      </c>
      <c r="B603" s="139">
        <v>50000</v>
      </c>
      <c r="C603" s="140">
        <v>50000</v>
      </c>
      <c r="D603" s="140">
        <v>55395</v>
      </c>
      <c r="E603" s="140">
        <v>6571</v>
      </c>
      <c r="F603" s="140">
        <v>112118</v>
      </c>
      <c r="G603" s="140"/>
      <c r="H603" s="140"/>
      <c r="I603" s="140"/>
      <c r="J603" s="140"/>
      <c r="K603" s="140"/>
      <c r="L603" s="140"/>
      <c r="M603" s="140"/>
      <c r="P603" s="140"/>
      <c r="Q603" s="140"/>
      <c r="R603" s="140"/>
      <c r="S603" s="134"/>
      <c r="T603" s="134"/>
    </row>
    <row r="604" spans="1:20" ht="13.2" hidden="1" customHeight="1">
      <c r="A604" s="141" t="s">
        <v>130</v>
      </c>
      <c r="B604" s="131">
        <f t="shared" ref="B604:L604" si="164">SUM(B597:B603)</f>
        <v>74158</v>
      </c>
      <c r="C604" s="131">
        <f t="shared" si="164"/>
        <v>80696</v>
      </c>
      <c r="D604" s="131">
        <f t="shared" si="164"/>
        <v>52451</v>
      </c>
      <c r="E604" s="131">
        <f>SUM(E596:E603)</f>
        <v>132912</v>
      </c>
      <c r="F604" s="131">
        <f t="shared" si="164"/>
        <v>112118</v>
      </c>
      <c r="G604" s="131">
        <f t="shared" si="164"/>
        <v>0</v>
      </c>
      <c r="H604" s="131">
        <f>SUM(H597:H603)</f>
        <v>0</v>
      </c>
      <c r="I604" s="131"/>
      <c r="J604" s="131"/>
      <c r="K604" s="131">
        <f t="shared" si="164"/>
        <v>0</v>
      </c>
      <c r="L604" s="131">
        <f t="shared" si="164"/>
        <v>0</v>
      </c>
      <c r="M604" s="131"/>
      <c r="P604" s="131">
        <f t="shared" ref="P604:R604" si="165">SUM(P597:P603)</f>
        <v>0</v>
      </c>
      <c r="Q604" s="131">
        <f t="shared" si="165"/>
        <v>0</v>
      </c>
      <c r="R604" s="131">
        <f t="shared" si="165"/>
        <v>0</v>
      </c>
      <c r="S604" s="142"/>
      <c r="T604" s="142"/>
    </row>
    <row r="605" spans="1:20" ht="13.2" hidden="1" customHeight="1">
      <c r="A605" s="141"/>
      <c r="B605" s="144"/>
      <c r="C605" s="144"/>
      <c r="D605" s="144"/>
      <c r="E605" s="144"/>
      <c r="F605" s="144"/>
      <c r="G605" s="144"/>
      <c r="H605" s="144"/>
      <c r="I605" s="144"/>
      <c r="J605" s="144"/>
      <c r="K605" s="144"/>
      <c r="L605" s="144"/>
      <c r="M605" s="144"/>
      <c r="P605" s="144"/>
      <c r="Q605" s="144"/>
      <c r="R605" s="144"/>
      <c r="S605" s="142"/>
      <c r="T605" s="142"/>
    </row>
    <row r="606" spans="1:20" ht="27" hidden="1" customHeight="1">
      <c r="A606" s="130" t="s">
        <v>222</v>
      </c>
      <c r="B606" s="144"/>
      <c r="C606" s="145"/>
      <c r="D606" s="145"/>
      <c r="E606" s="145"/>
      <c r="F606" s="145"/>
      <c r="G606" s="145"/>
      <c r="H606" s="145"/>
      <c r="I606" s="145"/>
      <c r="J606" s="145"/>
      <c r="K606" s="145"/>
      <c r="L606" s="145"/>
      <c r="M606" s="145"/>
      <c r="P606" s="145"/>
      <c r="Q606" s="145"/>
      <c r="R606" s="145"/>
      <c r="S606" s="143"/>
      <c r="T606" s="143"/>
    </row>
    <row r="607" spans="1:20" ht="14.4" hidden="1" customHeight="1">
      <c r="A607" s="135" t="s">
        <v>138</v>
      </c>
      <c r="B607" s="136">
        <v>1015100</v>
      </c>
      <c r="C607" s="137">
        <v>283194</v>
      </c>
      <c r="D607" s="137"/>
      <c r="E607" s="137"/>
      <c r="F607" s="133"/>
      <c r="G607" s="137"/>
      <c r="H607" s="137"/>
      <c r="I607" s="137"/>
      <c r="J607" s="137"/>
      <c r="K607" s="137"/>
      <c r="L607" s="137"/>
      <c r="M607" s="137"/>
      <c r="P607" s="137"/>
      <c r="Q607" s="137"/>
      <c r="R607" s="137"/>
      <c r="S607" s="134"/>
      <c r="T607" s="134"/>
    </row>
    <row r="608" spans="1:20" ht="27" hidden="1" customHeight="1">
      <c r="A608" s="135" t="s">
        <v>141</v>
      </c>
      <c r="B608" s="138"/>
      <c r="C608" s="133"/>
      <c r="D608" s="133"/>
      <c r="E608" s="133"/>
      <c r="F608" s="137">
        <v>47957</v>
      </c>
      <c r="G608" s="133"/>
      <c r="H608" s="133"/>
      <c r="I608" s="133"/>
      <c r="J608" s="133"/>
      <c r="K608" s="133"/>
      <c r="L608" s="133"/>
      <c r="M608" s="133"/>
      <c r="P608" s="133"/>
      <c r="Q608" s="133"/>
      <c r="R608" s="133"/>
      <c r="S608" s="134"/>
      <c r="T608" s="134"/>
    </row>
    <row r="609" spans="1:20" ht="14.4" hidden="1" customHeight="1">
      <c r="A609" s="135" t="s">
        <v>26</v>
      </c>
      <c r="B609" s="136"/>
      <c r="C609" s="137"/>
      <c r="D609" s="137">
        <v>-65358</v>
      </c>
      <c r="E609" s="137">
        <v>9011</v>
      </c>
      <c r="F609" s="133">
        <v>-105818</v>
      </c>
      <c r="G609" s="137"/>
      <c r="H609" s="137"/>
      <c r="I609" s="137"/>
      <c r="J609" s="137"/>
      <c r="K609" s="137"/>
      <c r="L609" s="137"/>
      <c r="M609" s="137"/>
      <c r="P609" s="137"/>
      <c r="Q609" s="137"/>
      <c r="R609" s="137"/>
      <c r="S609" s="134"/>
      <c r="T609" s="134"/>
    </row>
    <row r="610" spans="1:20" ht="27" hidden="1" customHeight="1">
      <c r="A610" s="135" t="s">
        <v>27</v>
      </c>
      <c r="B610" s="138"/>
      <c r="C610" s="133"/>
      <c r="D610" s="133">
        <v>-69910</v>
      </c>
      <c r="E610" s="133">
        <v>11906</v>
      </c>
      <c r="F610" s="140">
        <v>-59036</v>
      </c>
      <c r="G610" s="133"/>
      <c r="H610" s="133"/>
      <c r="I610" s="133"/>
      <c r="J610" s="133"/>
      <c r="K610" s="133"/>
      <c r="L610" s="133"/>
      <c r="M610" s="133"/>
      <c r="P610" s="133"/>
      <c r="Q610" s="133"/>
      <c r="R610" s="133"/>
      <c r="S610" s="134"/>
      <c r="T610" s="134"/>
    </row>
    <row r="611" spans="1:20" ht="14.4" hidden="1" customHeight="1">
      <c r="A611" s="135" t="s">
        <v>28</v>
      </c>
      <c r="B611" s="139"/>
      <c r="C611" s="140"/>
      <c r="D611" s="140">
        <v>-7472</v>
      </c>
      <c r="E611" s="140">
        <v>1990</v>
      </c>
      <c r="F611" s="140">
        <v>-13339</v>
      </c>
      <c r="G611" s="140"/>
      <c r="H611" s="140"/>
      <c r="I611" s="140"/>
      <c r="J611" s="140"/>
      <c r="K611" s="140"/>
      <c r="L611" s="140"/>
      <c r="M611" s="140"/>
      <c r="P611" s="140"/>
      <c r="Q611" s="140"/>
      <c r="R611" s="140"/>
      <c r="S611" s="134"/>
      <c r="T611" s="134"/>
    </row>
    <row r="612" spans="1:20" ht="27" hidden="1" customHeight="1">
      <c r="A612" s="135" t="s">
        <v>29</v>
      </c>
      <c r="B612" s="139"/>
      <c r="C612" s="140"/>
      <c r="D612" s="140">
        <v>-57711</v>
      </c>
      <c r="E612" s="140">
        <v>78</v>
      </c>
      <c r="F612" s="140">
        <v>10694</v>
      </c>
      <c r="G612" s="140"/>
      <c r="H612" s="140"/>
      <c r="I612" s="140"/>
      <c r="J612" s="140"/>
      <c r="K612" s="140"/>
      <c r="L612" s="140"/>
      <c r="M612" s="140"/>
      <c r="P612" s="140"/>
      <c r="Q612" s="140"/>
      <c r="R612" s="140"/>
      <c r="S612" s="134"/>
      <c r="T612" s="134"/>
    </row>
    <row r="613" spans="1:20" ht="14.4" hidden="1" customHeight="1">
      <c r="A613" s="135" t="s">
        <v>30</v>
      </c>
      <c r="B613" s="139"/>
      <c r="C613" s="140"/>
      <c r="D613" s="140">
        <v>-85665</v>
      </c>
      <c r="E613" s="140">
        <v>257</v>
      </c>
      <c r="F613" s="140">
        <v>-72048</v>
      </c>
      <c r="G613" s="140"/>
      <c r="H613" s="140"/>
      <c r="I613" s="140"/>
      <c r="J613" s="140"/>
      <c r="K613" s="140"/>
      <c r="L613" s="140"/>
      <c r="M613" s="140"/>
      <c r="P613" s="140"/>
      <c r="Q613" s="140"/>
      <c r="R613" s="140"/>
      <c r="S613" s="134"/>
      <c r="T613" s="134"/>
    </row>
    <row r="614" spans="1:20" ht="14.4" hidden="1" customHeight="1">
      <c r="A614" s="135" t="s">
        <v>129</v>
      </c>
      <c r="B614" s="139"/>
      <c r="C614" s="140"/>
      <c r="D614" s="140">
        <v>-40406</v>
      </c>
      <c r="E614" s="140">
        <v>-109</v>
      </c>
      <c r="F614" s="140">
        <v>-63683</v>
      </c>
      <c r="G614" s="140"/>
      <c r="H614" s="140"/>
      <c r="I614" s="140"/>
      <c r="J614" s="140"/>
      <c r="K614" s="140"/>
      <c r="L614" s="140"/>
      <c r="M614" s="140"/>
      <c r="P614" s="140"/>
      <c r="Q614" s="140"/>
      <c r="R614" s="140"/>
      <c r="S614" s="134"/>
      <c r="T614" s="134"/>
    </row>
    <row r="615" spans="1:20" ht="14.4" hidden="1" customHeight="1">
      <c r="A615" s="135" t="s">
        <v>32</v>
      </c>
      <c r="B615" s="139"/>
      <c r="C615" s="140"/>
      <c r="D615" s="140">
        <v>-3023</v>
      </c>
      <c r="E615" s="140">
        <v>60</v>
      </c>
      <c r="F615" s="140">
        <f>18262-12854</f>
        <v>5408</v>
      </c>
      <c r="G615" s="140"/>
      <c r="H615" s="140"/>
      <c r="I615" s="140"/>
      <c r="J615" s="140"/>
      <c r="K615" s="140"/>
      <c r="L615" s="140"/>
      <c r="M615" s="140"/>
      <c r="P615" s="140"/>
      <c r="Q615" s="140"/>
      <c r="R615" s="140"/>
      <c r="S615" s="134"/>
      <c r="T615" s="134"/>
    </row>
    <row r="616" spans="1:20" ht="13.2" hidden="1" customHeight="1">
      <c r="A616" s="141" t="s">
        <v>130</v>
      </c>
      <c r="B616" s="131">
        <f>SUM(B607:B615)</f>
        <v>1015100</v>
      </c>
      <c r="C616" s="131">
        <f>SUM(C607:C615)</f>
        <v>283194</v>
      </c>
      <c r="D616" s="131">
        <f>SUM(D607:D615)</f>
        <v>-329545</v>
      </c>
      <c r="E616" s="131">
        <f t="shared" ref="E616:L616" si="166">SUM(E609:E615)</f>
        <v>23193</v>
      </c>
      <c r="F616" s="131">
        <f>SUM(F608:F615)</f>
        <v>-249865</v>
      </c>
      <c r="G616" s="131">
        <f t="shared" si="166"/>
        <v>0</v>
      </c>
      <c r="H616" s="131">
        <f>SUM(H609:H615)</f>
        <v>0</v>
      </c>
      <c r="I616" s="131"/>
      <c r="J616" s="131"/>
      <c r="K616" s="131">
        <f t="shared" si="166"/>
        <v>0</v>
      </c>
      <c r="L616" s="131">
        <f t="shared" si="166"/>
        <v>0</v>
      </c>
      <c r="M616" s="131"/>
      <c r="P616" s="131">
        <f t="shared" ref="P616:R616" si="167">SUM(P609:P615)</f>
        <v>0</v>
      </c>
      <c r="Q616" s="131">
        <f t="shared" si="167"/>
        <v>0</v>
      </c>
      <c r="R616" s="131">
        <f t="shared" si="167"/>
        <v>0</v>
      </c>
      <c r="S616" s="142"/>
      <c r="T616" s="142"/>
    </row>
    <row r="617" spans="1:20" ht="13.2" hidden="1" customHeight="1">
      <c r="A617" s="141"/>
      <c r="B617" s="144"/>
      <c r="C617" s="144"/>
      <c r="D617" s="144"/>
      <c r="E617" s="144"/>
      <c r="F617" s="144"/>
      <c r="G617" s="144"/>
      <c r="H617" s="144"/>
      <c r="I617" s="144"/>
      <c r="J617" s="144"/>
      <c r="K617" s="144"/>
      <c r="L617" s="144"/>
      <c r="M617" s="144"/>
      <c r="P617" s="144"/>
      <c r="Q617" s="144"/>
      <c r="R617" s="144"/>
      <c r="S617" s="142"/>
      <c r="T617" s="142"/>
    </row>
    <row r="618" spans="1:20" ht="14.4" hidden="1" customHeight="1">
      <c r="A618" s="130" t="s">
        <v>223</v>
      </c>
      <c r="B618" s="144"/>
      <c r="C618" s="145"/>
      <c r="D618" s="145"/>
      <c r="E618" s="145"/>
      <c r="F618" s="145"/>
      <c r="G618" s="145"/>
      <c r="H618" s="145"/>
      <c r="I618" s="145"/>
      <c r="J618" s="145"/>
      <c r="K618" s="145"/>
      <c r="L618" s="145"/>
      <c r="M618" s="145"/>
      <c r="P618" s="145"/>
      <c r="Q618" s="145"/>
      <c r="R618" s="145"/>
      <c r="S618" s="143"/>
      <c r="T618" s="143"/>
    </row>
    <row r="619" spans="1:20" ht="14.4" hidden="1" customHeight="1">
      <c r="A619" s="135" t="s">
        <v>26</v>
      </c>
      <c r="B619" s="136"/>
      <c r="C619" s="137"/>
      <c r="D619" s="137"/>
      <c r="E619" s="137"/>
      <c r="F619" s="137"/>
      <c r="G619" s="137"/>
      <c r="H619" s="137"/>
      <c r="I619" s="137"/>
      <c r="J619" s="137"/>
      <c r="K619" s="137"/>
      <c r="L619" s="137"/>
      <c r="M619" s="137"/>
      <c r="P619" s="137"/>
      <c r="Q619" s="137"/>
      <c r="R619" s="137"/>
      <c r="S619" s="134"/>
      <c r="T619" s="134"/>
    </row>
    <row r="620" spans="1:20" ht="27" hidden="1" customHeight="1">
      <c r="A620" s="135" t="s">
        <v>27</v>
      </c>
      <c r="B620" s="138"/>
      <c r="C620" s="133"/>
      <c r="D620" s="133">
        <v>1202043</v>
      </c>
      <c r="E620" s="133">
        <v>-1032464</v>
      </c>
      <c r="F620" s="133"/>
      <c r="G620" s="133"/>
      <c r="H620" s="133"/>
      <c r="I620" s="133"/>
      <c r="J620" s="133"/>
      <c r="K620" s="133"/>
      <c r="L620" s="133"/>
      <c r="M620" s="133"/>
      <c r="P620" s="133"/>
      <c r="Q620" s="133"/>
      <c r="R620" s="133"/>
      <c r="S620" s="134"/>
      <c r="T620" s="134"/>
    </row>
    <row r="621" spans="1:20" ht="14.4" hidden="1" customHeight="1">
      <c r="A621" s="135" t="s">
        <v>28</v>
      </c>
      <c r="B621" s="139"/>
      <c r="C621" s="140"/>
      <c r="D621" s="140"/>
      <c r="E621" s="140"/>
      <c r="F621" s="140"/>
      <c r="G621" s="140"/>
      <c r="H621" s="140"/>
      <c r="I621" s="140"/>
      <c r="J621" s="140"/>
      <c r="K621" s="140"/>
      <c r="L621" s="140"/>
      <c r="M621" s="140"/>
      <c r="P621" s="140"/>
      <c r="Q621" s="140"/>
      <c r="R621" s="140"/>
      <c r="S621" s="134"/>
      <c r="T621" s="134"/>
    </row>
    <row r="622" spans="1:20" ht="27" hidden="1" customHeight="1">
      <c r="A622" s="135" t="s">
        <v>29</v>
      </c>
      <c r="B622" s="139"/>
      <c r="C622" s="140"/>
      <c r="D622" s="140"/>
      <c r="E622" s="140">
        <v>1760894</v>
      </c>
      <c r="F622" s="140"/>
      <c r="G622" s="140"/>
      <c r="H622" s="140"/>
      <c r="I622" s="140"/>
      <c r="J622" s="140"/>
      <c r="K622" s="140"/>
      <c r="L622" s="140"/>
      <c r="M622" s="140"/>
      <c r="P622" s="140"/>
      <c r="Q622" s="140"/>
      <c r="R622" s="140"/>
      <c r="S622" s="134"/>
      <c r="T622" s="134"/>
    </row>
    <row r="623" spans="1:20" ht="14.4" hidden="1" customHeight="1">
      <c r="A623" s="135" t="s">
        <v>30</v>
      </c>
      <c r="B623" s="139"/>
      <c r="C623" s="140"/>
      <c r="D623" s="140"/>
      <c r="E623" s="140">
        <v>-721852</v>
      </c>
      <c r="F623" s="140"/>
      <c r="G623" s="140"/>
      <c r="H623" s="140"/>
      <c r="I623" s="140"/>
      <c r="J623" s="140"/>
      <c r="K623" s="140"/>
      <c r="L623" s="140"/>
      <c r="M623" s="140"/>
      <c r="P623" s="140"/>
      <c r="Q623" s="140"/>
      <c r="R623" s="140"/>
      <c r="S623" s="134"/>
      <c r="T623" s="134"/>
    </row>
    <row r="624" spans="1:20" ht="14.4" hidden="1" customHeight="1">
      <c r="A624" s="135" t="s">
        <v>129</v>
      </c>
      <c r="B624" s="139"/>
      <c r="C624" s="140"/>
      <c r="D624" s="140"/>
      <c r="E624" s="140"/>
      <c r="F624" s="140"/>
      <c r="G624" s="140"/>
      <c r="H624" s="140"/>
      <c r="I624" s="140"/>
      <c r="J624" s="140"/>
      <c r="K624" s="140"/>
      <c r="L624" s="140"/>
      <c r="M624" s="140"/>
      <c r="P624" s="140"/>
      <c r="Q624" s="140"/>
      <c r="R624" s="140"/>
      <c r="S624" s="134"/>
      <c r="T624" s="134"/>
    </row>
    <row r="625" spans="1:20" ht="14.4" hidden="1" customHeight="1">
      <c r="A625" s="135" t="s">
        <v>32</v>
      </c>
      <c r="B625" s="139"/>
      <c r="C625" s="140"/>
      <c r="D625" s="140"/>
      <c r="E625" s="140">
        <v>2605</v>
      </c>
      <c r="F625" s="140"/>
      <c r="G625" s="140"/>
      <c r="H625" s="140"/>
      <c r="I625" s="140"/>
      <c r="J625" s="140"/>
      <c r="K625" s="140"/>
      <c r="L625" s="140"/>
      <c r="M625" s="140"/>
      <c r="P625" s="140"/>
      <c r="Q625" s="140"/>
      <c r="R625" s="140"/>
      <c r="S625" s="134"/>
      <c r="T625" s="134"/>
    </row>
    <row r="626" spans="1:20" ht="13.2" hidden="1" customHeight="1">
      <c r="A626" s="141" t="s">
        <v>130</v>
      </c>
      <c r="B626" s="131">
        <f t="shared" ref="B626:L626" si="168">SUM(B619:B625)</f>
        <v>0</v>
      </c>
      <c r="C626" s="131">
        <f t="shared" si="168"/>
        <v>0</v>
      </c>
      <c r="D626" s="131">
        <f t="shared" si="168"/>
        <v>1202043</v>
      </c>
      <c r="E626" s="131">
        <f t="shared" si="168"/>
        <v>9183</v>
      </c>
      <c r="F626" s="131">
        <f t="shared" si="168"/>
        <v>0</v>
      </c>
      <c r="G626" s="131">
        <f t="shared" si="168"/>
        <v>0</v>
      </c>
      <c r="H626" s="131">
        <f>SUM(H619:H625)</f>
        <v>0</v>
      </c>
      <c r="I626" s="131"/>
      <c r="J626" s="131"/>
      <c r="K626" s="131">
        <f t="shared" si="168"/>
        <v>0</v>
      </c>
      <c r="L626" s="131">
        <f t="shared" si="168"/>
        <v>0</v>
      </c>
      <c r="M626" s="131"/>
      <c r="P626" s="131">
        <f t="shared" ref="P626:R626" si="169">SUM(P619:P625)</f>
        <v>0</v>
      </c>
      <c r="Q626" s="131">
        <f t="shared" si="169"/>
        <v>0</v>
      </c>
      <c r="R626" s="131">
        <f t="shared" si="169"/>
        <v>0</v>
      </c>
      <c r="S626" s="142"/>
      <c r="T626" s="142"/>
    </row>
    <row r="627" spans="1:20" ht="26.4">
      <c r="A627" s="130" t="s">
        <v>224</v>
      </c>
      <c r="B627" s="144"/>
      <c r="C627" s="144"/>
      <c r="D627" s="144"/>
      <c r="E627" s="144"/>
      <c r="F627" s="144"/>
      <c r="G627" s="144"/>
      <c r="H627" s="144"/>
      <c r="I627" s="144"/>
      <c r="J627" s="144"/>
      <c r="K627" s="144"/>
      <c r="L627" s="144"/>
      <c r="M627" s="144"/>
      <c r="P627" s="144"/>
      <c r="Q627" s="144"/>
      <c r="R627" s="144"/>
      <c r="S627" s="142"/>
      <c r="T627" s="142"/>
    </row>
    <row r="628" spans="1:20" ht="14.4">
      <c r="A628" s="135" t="s">
        <v>138</v>
      </c>
      <c r="B628" s="144"/>
      <c r="C628" s="144"/>
      <c r="D628" s="144"/>
      <c r="E628" s="144"/>
      <c r="F628" s="144"/>
      <c r="G628" s="137"/>
      <c r="H628" s="137"/>
      <c r="I628" s="137"/>
      <c r="J628" s="137"/>
      <c r="K628" s="137"/>
      <c r="L628" s="137"/>
      <c r="M628" s="137"/>
      <c r="P628" s="144"/>
      <c r="Q628" s="144"/>
      <c r="R628" s="144"/>
      <c r="S628" s="142"/>
      <c r="T628" s="142"/>
    </row>
    <row r="629" spans="1:20" ht="14.4">
      <c r="A629" s="135" t="s">
        <v>26</v>
      </c>
      <c r="B629" s="144"/>
      <c r="C629" s="144"/>
      <c r="D629" s="144"/>
      <c r="E629" s="144"/>
      <c r="F629" s="144"/>
      <c r="G629" s="133"/>
      <c r="H629" s="133"/>
      <c r="I629" s="133">
        <f>+$H$696*G685</f>
        <v>-54208.607803467858</v>
      </c>
      <c r="J629" s="133">
        <f>+I629*0.84</f>
        <v>-45535.230554912996</v>
      </c>
      <c r="K629" s="133"/>
      <c r="L629" s="133"/>
      <c r="M629" s="133"/>
      <c r="P629" s="144"/>
      <c r="Q629" s="144"/>
      <c r="R629" s="144"/>
      <c r="S629" s="142"/>
      <c r="T629" s="142"/>
    </row>
    <row r="630" spans="1:20" ht="14.4">
      <c r="A630" s="135" t="s">
        <v>27</v>
      </c>
      <c r="B630" s="144"/>
      <c r="C630" s="144"/>
      <c r="D630" s="144"/>
      <c r="E630" s="144"/>
      <c r="F630" s="144"/>
      <c r="G630" s="140"/>
      <c r="H630" s="140"/>
      <c r="I630" s="133">
        <f t="shared" ref="I630:I635" si="170">+$H$696*G686</f>
        <v>-59686.289422743816</v>
      </c>
      <c r="J630" s="133">
        <f t="shared" ref="J630:J635" si="171">+I630*0.84</f>
        <v>-50136.483115104806</v>
      </c>
      <c r="K630" s="140"/>
      <c r="L630" s="140"/>
      <c r="M630" s="140"/>
      <c r="P630" s="144"/>
      <c r="Q630" s="144"/>
      <c r="R630" s="144"/>
      <c r="S630" s="142"/>
      <c r="T630" s="142"/>
    </row>
    <row r="631" spans="1:20" ht="14.4">
      <c r="A631" s="135" t="s">
        <v>28</v>
      </c>
      <c r="B631" s="144"/>
      <c r="C631" s="144"/>
      <c r="D631" s="144"/>
      <c r="E631" s="144"/>
      <c r="F631" s="144"/>
      <c r="G631" s="140"/>
      <c r="H631" s="140"/>
      <c r="I631" s="133">
        <f t="shared" si="170"/>
        <v>-21343.756797266899</v>
      </c>
      <c r="J631" s="133">
        <f t="shared" si="171"/>
        <v>-17928.755709704194</v>
      </c>
      <c r="K631" s="140"/>
      <c r="L631" s="140"/>
      <c r="M631" s="140"/>
      <c r="P631" s="144"/>
      <c r="Q631" s="144"/>
      <c r="R631" s="144"/>
      <c r="S631" s="142"/>
      <c r="T631" s="142"/>
    </row>
    <row r="632" spans="1:20" ht="14.4">
      <c r="A632" s="135" t="s">
        <v>29</v>
      </c>
      <c r="B632" s="144"/>
      <c r="C632" s="144"/>
      <c r="D632" s="144"/>
      <c r="E632" s="144"/>
      <c r="F632" s="144"/>
      <c r="G632" s="140"/>
      <c r="H632" s="140"/>
      <c r="I632" s="133">
        <f t="shared" si="170"/>
        <v>-37806.421752961069</v>
      </c>
      <c r="J632" s="133">
        <f t="shared" si="171"/>
        <v>-31757.394272487298</v>
      </c>
      <c r="K632" s="140"/>
      <c r="L632" s="140"/>
      <c r="M632" s="140"/>
      <c r="P632" s="144"/>
      <c r="Q632" s="144"/>
      <c r="R632" s="144"/>
      <c r="S632" s="142"/>
      <c r="T632" s="142"/>
    </row>
    <row r="633" spans="1:20" ht="14.4">
      <c r="A633" s="135" t="s">
        <v>30</v>
      </c>
      <c r="B633" s="144"/>
      <c r="C633" s="144"/>
      <c r="D633" s="144"/>
      <c r="E633" s="144"/>
      <c r="F633" s="144"/>
      <c r="G633" s="140"/>
      <c r="H633" s="140"/>
      <c r="I633" s="133">
        <f t="shared" si="170"/>
        <v>-42272.025497556533</v>
      </c>
      <c r="J633" s="133">
        <f t="shared" si="171"/>
        <v>-35508.501417947489</v>
      </c>
      <c r="K633" s="140"/>
      <c r="L633" s="140"/>
      <c r="M633" s="140"/>
      <c r="P633" s="144"/>
      <c r="Q633" s="144"/>
      <c r="R633" s="144"/>
      <c r="S633" s="142"/>
      <c r="T633" s="142"/>
    </row>
    <row r="634" spans="1:20" ht="14.4">
      <c r="A634" s="135" t="s">
        <v>129</v>
      </c>
      <c r="B634" s="144"/>
      <c r="C634" s="144"/>
      <c r="D634" s="144"/>
      <c r="E634" s="144"/>
      <c r="F634" s="144"/>
      <c r="G634" s="140"/>
      <c r="H634" s="140"/>
      <c r="I634" s="133">
        <f t="shared" si="170"/>
        <v>-62356.911255523846</v>
      </c>
      <c r="J634" s="133">
        <f t="shared" si="171"/>
        <v>-52379.805454640031</v>
      </c>
      <c r="K634" s="140"/>
      <c r="L634" s="140"/>
      <c r="M634" s="140"/>
      <c r="P634" s="144"/>
      <c r="Q634" s="144"/>
      <c r="R634" s="144"/>
      <c r="S634" s="142"/>
      <c r="T634" s="142"/>
    </row>
    <row r="635" spans="1:20" ht="14.4">
      <c r="A635" s="135" t="s">
        <v>32</v>
      </c>
      <c r="B635" s="144"/>
      <c r="C635" s="144"/>
      <c r="D635" s="144"/>
      <c r="E635" s="144"/>
      <c r="F635" s="144"/>
      <c r="G635" s="131"/>
      <c r="H635" s="131"/>
      <c r="I635" s="133">
        <f t="shared" si="170"/>
        <v>-2796.7274704800079</v>
      </c>
      <c r="J635" s="133">
        <f t="shared" si="171"/>
        <v>-2349.2510752032067</v>
      </c>
      <c r="K635" s="131"/>
      <c r="L635" s="131"/>
      <c r="M635" s="131"/>
      <c r="P635" s="144"/>
      <c r="Q635" s="144"/>
      <c r="R635" s="144"/>
      <c r="S635" s="142"/>
      <c r="T635" s="142"/>
    </row>
    <row r="636" spans="1:20">
      <c r="A636" s="141" t="s">
        <v>130</v>
      </c>
      <c r="B636" s="144"/>
      <c r="C636" s="144"/>
      <c r="D636" s="144"/>
      <c r="E636" s="144"/>
      <c r="F636" s="144"/>
      <c r="G636" s="144">
        <f>SUM(G629:G635)</f>
        <v>0</v>
      </c>
      <c r="H636" s="144">
        <f>SUM(H629:H635)</f>
        <v>0</v>
      </c>
      <c r="I636" s="144">
        <f>SUM(I629:I635)</f>
        <v>-280470.74000000005</v>
      </c>
      <c r="J636" s="144">
        <f>SUM(J629:J635)</f>
        <v>-235595.42160000003</v>
      </c>
      <c r="K636" s="144">
        <f t="shared" ref="K636:M636" si="172">SUM(K629:K635)</f>
        <v>0</v>
      </c>
      <c r="L636" s="144">
        <f t="shared" si="172"/>
        <v>0</v>
      </c>
      <c r="M636" s="144">
        <f t="shared" si="172"/>
        <v>0</v>
      </c>
      <c r="P636" s="144"/>
      <c r="Q636" s="144"/>
      <c r="R636" s="144"/>
      <c r="S636" s="142"/>
      <c r="T636" s="142"/>
    </row>
    <row r="637" spans="1:20">
      <c r="A637" s="141"/>
      <c r="B637" s="144"/>
      <c r="C637" s="144"/>
      <c r="D637" s="144"/>
      <c r="E637" s="144"/>
      <c r="F637" s="144"/>
      <c r="G637" s="144"/>
      <c r="H637" s="144"/>
      <c r="I637" s="144"/>
      <c r="J637" s="144"/>
      <c r="K637" s="144"/>
      <c r="L637" s="144"/>
      <c r="M637" s="144"/>
      <c r="P637" s="144"/>
      <c r="Q637" s="144"/>
      <c r="R637" s="144"/>
      <c r="S637" s="142"/>
      <c r="T637" s="142"/>
    </row>
    <row r="638" spans="1:20" ht="14.4">
      <c r="A638" s="130" t="s">
        <v>225</v>
      </c>
      <c r="B638" s="144"/>
      <c r="C638" s="145"/>
      <c r="D638" s="145"/>
      <c r="E638" s="145"/>
      <c r="F638" s="145"/>
      <c r="G638" s="145"/>
      <c r="H638" s="145"/>
      <c r="I638" s="145"/>
      <c r="J638" s="145"/>
      <c r="K638" s="145"/>
      <c r="L638" s="145"/>
      <c r="M638" s="145"/>
      <c r="P638" s="145"/>
      <c r="Q638" s="145"/>
      <c r="R638" s="145"/>
      <c r="S638" s="143"/>
      <c r="T638" s="143"/>
    </row>
    <row r="639" spans="1:20" ht="14.4">
      <c r="A639" s="135" t="s">
        <v>21</v>
      </c>
      <c r="B639" s="136">
        <v>2443787</v>
      </c>
      <c r="C639" s="137"/>
      <c r="D639" s="137">
        <v>30908</v>
      </c>
      <c r="E639" s="137">
        <v>1843</v>
      </c>
      <c r="F639" s="137"/>
      <c r="G639" s="137">
        <v>5000</v>
      </c>
      <c r="H639" s="137">
        <v>0</v>
      </c>
      <c r="I639" s="137"/>
      <c r="J639" s="137"/>
      <c r="K639" s="137">
        <v>9000</v>
      </c>
      <c r="L639" s="137">
        <v>9000</v>
      </c>
      <c r="M639" s="137">
        <v>9000</v>
      </c>
      <c r="P639" s="137"/>
      <c r="Q639" s="137"/>
      <c r="R639" s="137"/>
      <c r="S639" s="134"/>
      <c r="T639" s="134"/>
    </row>
    <row r="640" spans="1:20" ht="14.4">
      <c r="A640" s="135" t="s">
        <v>226</v>
      </c>
      <c r="B640" s="138"/>
      <c r="C640" s="133">
        <f>16995+227058</f>
        <v>244053</v>
      </c>
      <c r="D640" s="133"/>
      <c r="E640" s="133">
        <v>7834</v>
      </c>
      <c r="F640" s="133">
        <v>10589</v>
      </c>
      <c r="G640" s="133">
        <v>5000</v>
      </c>
      <c r="H640" s="133">
        <v>2642</v>
      </c>
      <c r="I640" s="133">
        <f>+H640</f>
        <v>2642</v>
      </c>
      <c r="J640" s="133">
        <f>+I640</f>
        <v>2642</v>
      </c>
      <c r="K640" s="133">
        <v>2000</v>
      </c>
      <c r="L640" s="133">
        <v>2000</v>
      </c>
      <c r="M640" s="133">
        <v>2000</v>
      </c>
      <c r="P640" s="133"/>
      <c r="Q640" s="133"/>
      <c r="R640" s="133"/>
      <c r="S640" s="134"/>
      <c r="T640" s="134"/>
    </row>
    <row r="641" spans="1:20" ht="14.4">
      <c r="A641" s="135" t="s">
        <v>227</v>
      </c>
      <c r="B641" s="139"/>
      <c r="C641" s="140">
        <f>40015+357474</f>
        <v>397489</v>
      </c>
      <c r="D641" s="140">
        <v>24238</v>
      </c>
      <c r="E641" s="140">
        <v>14881</v>
      </c>
      <c r="F641" s="140">
        <v>45385</v>
      </c>
      <c r="G641" s="140">
        <v>22000</v>
      </c>
      <c r="H641" s="140">
        <v>9258</v>
      </c>
      <c r="I641" s="133">
        <f t="shared" ref="I641:J645" si="173">+H641</f>
        <v>9258</v>
      </c>
      <c r="J641" s="133">
        <f t="shared" si="173"/>
        <v>9258</v>
      </c>
      <c r="K641" s="140">
        <v>28600</v>
      </c>
      <c r="L641" s="140">
        <v>28600</v>
      </c>
      <c r="M641" s="140">
        <v>28600</v>
      </c>
      <c r="P641" s="140"/>
      <c r="Q641" s="140"/>
      <c r="R641" s="140"/>
      <c r="S641" s="134"/>
      <c r="T641" s="134"/>
    </row>
    <row r="642" spans="1:20" ht="14.4">
      <c r="A642" s="135" t="s">
        <v>228</v>
      </c>
      <c r="B642" s="139"/>
      <c r="C642" s="140">
        <f>317300+409572</f>
        <v>726872</v>
      </c>
      <c r="D642" s="140">
        <v>23488</v>
      </c>
      <c r="E642" s="140">
        <v>104332</v>
      </c>
      <c r="F642" s="140">
        <v>89765</v>
      </c>
      <c r="G642" s="140">
        <v>50000</v>
      </c>
      <c r="H642" s="140">
        <v>24179</v>
      </c>
      <c r="I642" s="133">
        <f t="shared" si="173"/>
        <v>24179</v>
      </c>
      <c r="J642" s="133">
        <f t="shared" si="173"/>
        <v>24179</v>
      </c>
      <c r="K642" s="140">
        <v>45000</v>
      </c>
      <c r="L642" s="140">
        <v>45000</v>
      </c>
      <c r="M642" s="140">
        <v>45000</v>
      </c>
      <c r="P642" s="140"/>
      <c r="Q642" s="140"/>
      <c r="R642" s="140"/>
      <c r="S642" s="134"/>
      <c r="T642" s="134"/>
    </row>
    <row r="643" spans="1:20" ht="14.4">
      <c r="A643" s="135" t="s">
        <v>40</v>
      </c>
      <c r="B643" s="139"/>
      <c r="C643" s="140">
        <f>54907+1563355</f>
        <v>1618262</v>
      </c>
      <c r="D643" s="140">
        <v>28862</v>
      </c>
      <c r="E643" s="140">
        <v>276547</v>
      </c>
      <c r="F643" s="140">
        <v>284250</v>
      </c>
      <c r="G643" s="140">
        <v>450000</v>
      </c>
      <c r="H643" s="140">
        <v>393169</v>
      </c>
      <c r="I643" s="133">
        <f t="shared" si="173"/>
        <v>393169</v>
      </c>
      <c r="J643" s="133">
        <f t="shared" si="173"/>
        <v>393169</v>
      </c>
      <c r="K643" s="140">
        <v>400000</v>
      </c>
      <c r="L643" s="140">
        <v>400000</v>
      </c>
      <c r="M643" s="140">
        <v>400000</v>
      </c>
      <c r="P643" s="140"/>
      <c r="Q643" s="140"/>
      <c r="R643" s="140"/>
      <c r="S643" s="134"/>
      <c r="T643" s="134"/>
    </row>
    <row r="644" spans="1:20" ht="14.4">
      <c r="A644" s="135" t="s">
        <v>41</v>
      </c>
      <c r="B644" s="139"/>
      <c r="C644" s="140">
        <f>3659+19842</f>
        <v>23501</v>
      </c>
      <c r="D644" s="140">
        <v>67436</v>
      </c>
      <c r="E644" s="140"/>
      <c r="F644" s="140"/>
      <c r="G644" s="140"/>
      <c r="H644" s="140"/>
      <c r="I644" s="140"/>
      <c r="J644" s="140"/>
      <c r="K644" s="140"/>
      <c r="L644" s="140"/>
      <c r="M644" s="140"/>
      <c r="P644" s="140"/>
      <c r="Q644" s="140"/>
      <c r="R644" s="140"/>
      <c r="S644" s="134"/>
      <c r="T644" s="134"/>
    </row>
    <row r="645" spans="1:20" ht="14.4">
      <c r="A645" s="135" t="s">
        <v>42</v>
      </c>
      <c r="B645" s="139"/>
      <c r="C645" s="140">
        <f>29764+184420</f>
        <v>214184</v>
      </c>
      <c r="D645" s="140">
        <v>27924</v>
      </c>
      <c r="E645" s="140">
        <v>36167</v>
      </c>
      <c r="F645" s="140">
        <v>18505</v>
      </c>
      <c r="G645" s="140">
        <v>72000</v>
      </c>
      <c r="H645" s="140">
        <v>15563</v>
      </c>
      <c r="I645" s="133">
        <f t="shared" si="173"/>
        <v>15563</v>
      </c>
      <c r="J645" s="133">
        <f t="shared" si="173"/>
        <v>15563</v>
      </c>
      <c r="K645" s="140">
        <v>72000</v>
      </c>
      <c r="L645" s="140">
        <v>72000</v>
      </c>
      <c r="M645" s="140">
        <v>72000</v>
      </c>
      <c r="P645" s="140"/>
      <c r="Q645" s="140"/>
      <c r="R645" s="140"/>
      <c r="S645" s="134"/>
      <c r="T645" s="134"/>
    </row>
    <row r="646" spans="1:20" ht="14.4">
      <c r="A646" s="135" t="s">
        <v>43</v>
      </c>
      <c r="B646" s="139"/>
      <c r="C646" s="140">
        <f>8278+51482</f>
        <v>59760</v>
      </c>
      <c r="D646" s="140"/>
      <c r="E646" s="140">
        <v>3379</v>
      </c>
      <c r="F646" s="140">
        <v>4405</v>
      </c>
      <c r="G646" s="140"/>
      <c r="H646" s="140"/>
      <c r="I646" s="140"/>
      <c r="J646" s="140"/>
      <c r="K646" s="140"/>
      <c r="L646" s="140"/>
      <c r="M646" s="140"/>
      <c r="P646" s="140"/>
      <c r="Q646" s="140"/>
      <c r="R646" s="140"/>
      <c r="S646" s="134"/>
      <c r="T646" s="134"/>
    </row>
    <row r="647" spans="1:20" ht="14.4">
      <c r="A647" s="135" t="s">
        <v>44</v>
      </c>
      <c r="B647" s="139"/>
      <c r="C647" s="140">
        <f>36936+30011</f>
        <v>66947</v>
      </c>
      <c r="D647" s="140">
        <v>33325</v>
      </c>
      <c r="E647" s="140"/>
      <c r="F647" s="140"/>
      <c r="G647" s="140"/>
      <c r="H647" s="140"/>
      <c r="I647" s="140"/>
      <c r="J647" s="140"/>
      <c r="K647" s="140"/>
      <c r="L647" s="140"/>
      <c r="M647" s="140"/>
      <c r="P647" s="140"/>
      <c r="Q647" s="140"/>
      <c r="R647" s="140"/>
      <c r="S647" s="134"/>
      <c r="T647" s="134"/>
    </row>
    <row r="648" spans="1:20" ht="14.4">
      <c r="A648" s="135" t="s">
        <v>45</v>
      </c>
      <c r="B648" s="139"/>
      <c r="C648" s="140">
        <f>2882+99188</f>
        <v>102070</v>
      </c>
      <c r="D648" s="140"/>
      <c r="E648" s="140">
        <v>99028</v>
      </c>
      <c r="F648" s="140"/>
      <c r="G648" s="140"/>
      <c r="H648" s="140"/>
      <c r="I648" s="140"/>
      <c r="J648" s="140"/>
      <c r="K648" s="140"/>
      <c r="L648" s="140"/>
      <c r="M648" s="140"/>
      <c r="P648" s="140"/>
      <c r="Q648" s="140"/>
      <c r="R648" s="140"/>
      <c r="S648" s="134"/>
      <c r="T648" s="134"/>
    </row>
    <row r="649" spans="1:20" ht="14.4">
      <c r="A649" s="135" t="s">
        <v>229</v>
      </c>
      <c r="B649" s="139"/>
      <c r="C649" s="140">
        <f>4933+27970</f>
        <v>32903</v>
      </c>
      <c r="D649" s="140">
        <v>4890</v>
      </c>
      <c r="E649" s="140">
        <v>5700</v>
      </c>
      <c r="F649" s="140"/>
      <c r="G649" s="140">
        <v>40000</v>
      </c>
      <c r="H649" s="140">
        <v>16125</v>
      </c>
      <c r="I649" s="133">
        <f t="shared" ref="I649:J649" si="174">+H649</f>
        <v>16125</v>
      </c>
      <c r="J649" s="133">
        <f t="shared" si="174"/>
        <v>16125</v>
      </c>
      <c r="K649" s="140">
        <v>45000</v>
      </c>
      <c r="L649" s="140">
        <v>45000</v>
      </c>
      <c r="M649" s="140">
        <v>45000</v>
      </c>
      <c r="P649" s="140"/>
      <c r="Q649" s="140"/>
      <c r="R649" s="140"/>
      <c r="S649" s="134"/>
      <c r="T649" s="134"/>
    </row>
    <row r="650" spans="1:20">
      <c r="A650" s="141" t="s">
        <v>130</v>
      </c>
      <c r="B650" s="131">
        <f>SUM(B639:B649)</f>
        <v>2443787</v>
      </c>
      <c r="C650" s="131">
        <f>SUM(C639:C649)</f>
        <v>3486041</v>
      </c>
      <c r="D650" s="131">
        <f>SUM(D639:D649)</f>
        <v>241071</v>
      </c>
      <c r="E650" s="131">
        <f>SUM(E639:E649)</f>
        <v>549711</v>
      </c>
      <c r="F650" s="131">
        <f t="shared" ref="F650" si="175">SUM(F639:F648)</f>
        <v>452899</v>
      </c>
      <c r="G650" s="131">
        <f t="shared" ref="G650:M650" si="176">SUM(G639:G649)</f>
        <v>644000</v>
      </c>
      <c r="H650" s="131">
        <f t="shared" si="176"/>
        <v>460936</v>
      </c>
      <c r="I650" s="131">
        <f t="shared" si="176"/>
        <v>460936</v>
      </c>
      <c r="J650" s="131">
        <f t="shared" si="176"/>
        <v>460936</v>
      </c>
      <c r="K650" s="131">
        <f t="shared" si="176"/>
        <v>601600</v>
      </c>
      <c r="L650" s="131">
        <f t="shared" si="176"/>
        <v>601600</v>
      </c>
      <c r="M650" s="131">
        <f t="shared" si="176"/>
        <v>601600</v>
      </c>
      <c r="P650" s="131">
        <f>SUM(P639:P649)</f>
        <v>0</v>
      </c>
      <c r="Q650" s="131">
        <f>SUM(Q639:Q649)</f>
        <v>0</v>
      </c>
      <c r="R650" s="131">
        <f>SUM(R639:R649)</f>
        <v>0</v>
      </c>
      <c r="S650" s="142"/>
      <c r="T650" s="142"/>
    </row>
    <row r="651" spans="1:20">
      <c r="A651" s="141"/>
      <c r="B651" s="131"/>
      <c r="C651" s="131"/>
      <c r="D651" s="131"/>
      <c r="E651" s="131"/>
      <c r="F651" s="131"/>
      <c r="G651" s="131"/>
      <c r="H651" s="131"/>
      <c r="I651" s="131"/>
      <c r="J651" s="131"/>
      <c r="K651" s="131"/>
      <c r="L651" s="131"/>
      <c r="M651" s="131"/>
      <c r="P651" s="131"/>
      <c r="Q651" s="131"/>
      <c r="R651" s="131"/>
      <c r="S651" s="142"/>
      <c r="T651" s="142"/>
    </row>
    <row r="652" spans="1:20" ht="15" thickBot="1">
      <c r="A652" s="135" t="s">
        <v>230</v>
      </c>
      <c r="B652" s="138"/>
      <c r="C652" s="133">
        <v>1427</v>
      </c>
      <c r="D652" s="133"/>
      <c r="E652" s="133"/>
      <c r="F652" s="133"/>
      <c r="G652" s="133"/>
      <c r="H652" s="133"/>
      <c r="I652" s="133"/>
      <c r="J652" s="133"/>
      <c r="K652" s="133"/>
      <c r="L652" s="133"/>
      <c r="M652" s="133"/>
      <c r="P652" s="133"/>
      <c r="Q652" s="133"/>
      <c r="R652" s="133"/>
      <c r="S652" s="134"/>
      <c r="T652" s="134"/>
    </row>
    <row r="653" spans="1:20" ht="14.4" thickTop="1" thickBot="1">
      <c r="A653" s="150" t="s">
        <v>0</v>
      </c>
      <c r="B653" s="151" t="e">
        <f t="shared" ref="B653:M653" si="177">SUMPRODUCT(--($A15:$A652="Sub-Total"), B$15:B$652)+B652</f>
        <v>#REF!</v>
      </c>
      <c r="C653" s="151" t="e">
        <f t="shared" si="177"/>
        <v>#REF!</v>
      </c>
      <c r="D653" s="151" t="e">
        <f t="shared" si="177"/>
        <v>#REF!</v>
      </c>
      <c r="E653" s="151" t="e">
        <f t="shared" si="177"/>
        <v>#REF!</v>
      </c>
      <c r="F653" s="151" t="e">
        <f t="shared" si="177"/>
        <v>#REF!</v>
      </c>
      <c r="G653" s="151">
        <f t="shared" si="177"/>
        <v>4892456</v>
      </c>
      <c r="H653" s="151">
        <f t="shared" si="177"/>
        <v>4010042</v>
      </c>
      <c r="I653" s="151">
        <f t="shared" si="177"/>
        <v>3729571.26</v>
      </c>
      <c r="J653" s="151">
        <f t="shared" si="177"/>
        <v>3208912.2795278621</v>
      </c>
      <c r="K653" s="151">
        <f t="shared" si="177"/>
        <v>5566081</v>
      </c>
      <c r="L653" s="151">
        <f t="shared" si="177"/>
        <v>6257620</v>
      </c>
      <c r="M653" s="151">
        <f t="shared" si="177"/>
        <v>5327781</v>
      </c>
      <c r="P653" s="151"/>
      <c r="Q653" s="151"/>
      <c r="R653" s="151"/>
      <c r="S653" s="152"/>
      <c r="T653" s="152"/>
    </row>
    <row r="654" spans="1:20" ht="15" thickBot="1">
      <c r="A654" s="153" t="s">
        <v>231</v>
      </c>
      <c r="B654" s="139">
        <f>+'[3]App.2-B_Fixed Asset Cont 2007'!F52</f>
        <v>-677549</v>
      </c>
      <c r="C654" s="140">
        <f>+'[3]App.2-B_Fixed Asset Cont 2008'!F52</f>
        <v>-892416</v>
      </c>
      <c r="D654" s="140">
        <f>+'[3]App.2-B_Fixed Asset Cont 2009'!F52</f>
        <v>-1264357.4000000001</v>
      </c>
      <c r="E654" s="140">
        <f>+'[3]App.2-B_Fixed Asset Cont 2010'!F52</f>
        <v>-287613.29000000044</v>
      </c>
      <c r="F654" s="140">
        <f>+'[3]App.2-B_Fixed Asset Cont 2011'!F52</f>
        <v>-632720.38</v>
      </c>
      <c r="G654" s="140">
        <f>+'[3]App.2-B_Fixed Asset Cont 2012'!F52</f>
        <v>-433861</v>
      </c>
      <c r="H654" s="140">
        <f>-301925*1.09090909090909</f>
        <v>-329372.727272727</v>
      </c>
      <c r="I654" s="140">
        <f>+H654</f>
        <v>-329372.727272727</v>
      </c>
      <c r="J654" s="140">
        <f>+I654</f>
        <v>-329372.727272727</v>
      </c>
      <c r="K654" s="140">
        <f>+'[3]App.2-B_Fixed Asset Cont 2013'!F52</f>
        <v>-417663</v>
      </c>
      <c r="L654" s="140">
        <v>-417663</v>
      </c>
      <c r="M654" s="140">
        <v>-373740</v>
      </c>
      <c r="P654" s="140"/>
      <c r="Q654" s="140"/>
      <c r="R654" s="140"/>
      <c r="S654" s="134"/>
      <c r="T654" s="134"/>
    </row>
    <row r="655" spans="1:20" ht="14.4" thickTop="1" thickBot="1">
      <c r="A655" s="153" t="s">
        <v>232</v>
      </c>
      <c r="B655" s="151" t="e">
        <f t="shared" ref="B655:K655" si="178">SUM(B653:B654)</f>
        <v>#REF!</v>
      </c>
      <c r="C655" s="151" t="e">
        <f t="shared" si="178"/>
        <v>#REF!</v>
      </c>
      <c r="D655" s="151" t="e">
        <f t="shared" si="178"/>
        <v>#REF!</v>
      </c>
      <c r="E655" s="151" t="e">
        <f t="shared" si="178"/>
        <v>#REF!</v>
      </c>
      <c r="F655" s="151" t="e">
        <f t="shared" si="178"/>
        <v>#REF!</v>
      </c>
      <c r="G655" s="151">
        <f t="shared" si="178"/>
        <v>4458595</v>
      </c>
      <c r="H655" s="151">
        <f>SUM(H653:H654)</f>
        <v>3680669.2727272729</v>
      </c>
      <c r="I655" s="151">
        <f t="shared" ref="I655:J655" si="179">SUM(I653:I654)</f>
        <v>3400198.5327272727</v>
      </c>
      <c r="J655" s="151">
        <f t="shared" si="179"/>
        <v>2879539.552255135</v>
      </c>
      <c r="K655" s="151">
        <f t="shared" si="178"/>
        <v>5148418</v>
      </c>
      <c r="L655" s="151">
        <f t="shared" ref="L655:M655" si="180">SUM(L653:L654)</f>
        <v>5839957</v>
      </c>
      <c r="M655" s="151">
        <f t="shared" si="180"/>
        <v>4954041</v>
      </c>
      <c r="P655" s="151"/>
      <c r="Q655" s="151"/>
      <c r="R655" s="151"/>
      <c r="S655" s="152"/>
      <c r="T655" s="152"/>
    </row>
    <row r="656" spans="1:20" ht="14.4">
      <c r="F656" s="149"/>
      <c r="G656" s="149"/>
      <c r="K656" s="149"/>
      <c r="L656" s="149"/>
      <c r="P656" s="154"/>
    </row>
    <row r="657" spans="1:13" ht="13.2" hidden="1" customHeight="1">
      <c r="A657" s="155" t="s">
        <v>56</v>
      </c>
      <c r="B657" s="149"/>
      <c r="C657" s="149"/>
      <c r="D657" s="149"/>
    </row>
    <row r="658" spans="1:13" ht="13.2" hidden="1" customHeight="1"/>
    <row r="659" spans="1:13" ht="26.25" hidden="1" customHeight="1">
      <c r="A659" s="123" t="s">
        <v>233</v>
      </c>
      <c r="B659" s="123"/>
      <c r="C659" s="123"/>
      <c r="D659" s="123"/>
      <c r="E659" s="123"/>
      <c r="F659" s="123"/>
      <c r="G659" s="123"/>
      <c r="K659" s="123"/>
    </row>
    <row r="660" spans="1:13" ht="13.2" hidden="1" customHeight="1"/>
    <row r="661" spans="1:13" ht="13.2" hidden="1" customHeight="1">
      <c r="A661" s="123" t="s">
        <v>234</v>
      </c>
      <c r="B661" s="123"/>
      <c r="C661" s="123"/>
      <c r="D661" s="123"/>
      <c r="E661" s="123"/>
      <c r="F661" s="123"/>
      <c r="G661" s="123"/>
      <c r="K661" s="123"/>
    </row>
    <row r="662" spans="1:13" ht="13.2" hidden="1" customHeight="1"/>
    <row r="663" spans="1:13" ht="13.2" hidden="1" customHeight="1">
      <c r="A663" s="155" t="s">
        <v>235</v>
      </c>
    </row>
    <row r="664" spans="1:13" ht="13.2" hidden="1" customHeight="1"/>
    <row r="665" spans="1:13" ht="26.25" hidden="1" customHeight="1">
      <c r="A665" s="123" t="s">
        <v>236</v>
      </c>
      <c r="B665" s="123"/>
      <c r="C665" s="123"/>
      <c r="D665" s="123"/>
      <c r="E665" s="123"/>
      <c r="F665" s="123"/>
      <c r="G665" s="123"/>
      <c r="K665" s="123"/>
    </row>
    <row r="666" spans="1:13" ht="13.2" hidden="1" customHeight="1"/>
    <row r="667" spans="1:13" ht="13.2" customHeight="1">
      <c r="A667" s="4" t="s">
        <v>237</v>
      </c>
    </row>
    <row r="668" spans="1:13" ht="13.2" customHeight="1">
      <c r="A668" s="135" t="s">
        <v>141</v>
      </c>
      <c r="G668" s="140"/>
      <c r="H668" s="140"/>
      <c r="I668" s="133">
        <f t="shared" ref="I668:I675" si="181">+H684+I628</f>
        <v>0</v>
      </c>
      <c r="J668" s="133">
        <f t="shared" ref="J668:J675" si="182">+J684+J628</f>
        <v>0</v>
      </c>
      <c r="K668" s="140"/>
      <c r="L668" s="140">
        <f>+L684+L628</f>
        <v>1101694</v>
      </c>
      <c r="M668" s="140">
        <f>+M684+M628</f>
        <v>983931</v>
      </c>
    </row>
    <row r="669" spans="1:13" ht="13.2" customHeight="1">
      <c r="A669" s="135" t="s">
        <v>26</v>
      </c>
      <c r="G669" s="140"/>
      <c r="H669" s="140"/>
      <c r="I669" s="133">
        <f t="shared" si="181"/>
        <v>631752.76986799459</v>
      </c>
      <c r="J669" s="133">
        <f t="shared" si="182"/>
        <v>536792.64109192044</v>
      </c>
      <c r="K669" s="140"/>
      <c r="L669" s="140">
        <f>+L685+L629</f>
        <v>905325.35622119973</v>
      </c>
      <c r="M669" s="140">
        <f>+M685+M629</f>
        <v>752391</v>
      </c>
    </row>
    <row r="670" spans="1:13" ht="13.2" customHeight="1">
      <c r="A670" s="135" t="s">
        <v>27</v>
      </c>
      <c r="G670" s="140"/>
      <c r="H670" s="140"/>
      <c r="I670" s="133">
        <f t="shared" si="181"/>
        <v>695590.24283868412</v>
      </c>
      <c r="J670" s="133">
        <f t="shared" si="182"/>
        <v>593179.76718195179</v>
      </c>
      <c r="K670" s="140"/>
      <c r="L670" s="140">
        <f t="shared" ref="L670:M675" si="183">+L686+L630</f>
        <v>928445.39300142159</v>
      </c>
      <c r="M670" s="140">
        <f t="shared" si="183"/>
        <v>768169</v>
      </c>
    </row>
    <row r="671" spans="1:13" ht="13.2" customHeight="1">
      <c r="A671" s="135" t="s">
        <v>28</v>
      </c>
      <c r="G671" s="140"/>
      <c r="H671" s="140"/>
      <c r="I671" s="133">
        <f t="shared" si="181"/>
        <v>248742.36809305404</v>
      </c>
      <c r="J671" s="133">
        <f t="shared" si="182"/>
        <v>201819.97965212681</v>
      </c>
      <c r="K671" s="140"/>
      <c r="L671" s="140">
        <f t="shared" si="183"/>
        <v>415784.07608854724</v>
      </c>
      <c r="M671" s="140">
        <f t="shared" si="183"/>
        <v>338943</v>
      </c>
    </row>
    <row r="672" spans="1:13" ht="13.2" customHeight="1">
      <c r="A672" s="135" t="s">
        <v>29</v>
      </c>
      <c r="G672" s="140"/>
      <c r="H672" s="140"/>
      <c r="I672" s="133">
        <f t="shared" si="181"/>
        <v>440599.9827153433</v>
      </c>
      <c r="J672" s="133">
        <f t="shared" si="182"/>
        <v>356491.42550046748</v>
      </c>
      <c r="K672" s="140"/>
      <c r="L672" s="140">
        <f t="shared" si="183"/>
        <v>517251.13036521524</v>
      </c>
      <c r="M672" s="140">
        <f t="shared" si="183"/>
        <v>411509</v>
      </c>
    </row>
    <row r="673" spans="1:13" ht="13.2" customHeight="1">
      <c r="A673" s="135" t="s">
        <v>30</v>
      </c>
      <c r="G673" s="140"/>
      <c r="H673" s="140"/>
      <c r="I673" s="133">
        <f t="shared" si="181"/>
        <v>492642.59456416848</v>
      </c>
      <c r="J673" s="133">
        <f t="shared" si="182"/>
        <v>421919.21326202247</v>
      </c>
      <c r="K673" s="140"/>
      <c r="L673" s="140">
        <f t="shared" si="183"/>
        <v>621432.34447865817</v>
      </c>
      <c r="M673" s="140">
        <f t="shared" si="183"/>
        <v>524480</v>
      </c>
    </row>
    <row r="674" spans="1:13" ht="13.2" customHeight="1">
      <c r="A674" s="135" t="s">
        <v>129</v>
      </c>
      <c r="G674" s="140"/>
      <c r="H674" s="140"/>
      <c r="I674" s="133">
        <f t="shared" si="181"/>
        <v>726713.94825177174</v>
      </c>
      <c r="J674" s="133">
        <f t="shared" si="182"/>
        <v>612183.4653442452</v>
      </c>
      <c r="K674" s="140"/>
      <c r="L674" s="140">
        <f t="shared" si="183"/>
        <v>669655.69984495826</v>
      </c>
      <c r="M674" s="140">
        <f t="shared" si="183"/>
        <v>539764</v>
      </c>
    </row>
    <row r="675" spans="1:13" ht="13.2" customHeight="1">
      <c r="A675" s="135" t="s">
        <v>32</v>
      </c>
      <c r="G675" s="133"/>
      <c r="H675" s="133"/>
      <c r="I675" s="133">
        <f t="shared" si="181"/>
        <v>32593.353668983662</v>
      </c>
      <c r="J675" s="133">
        <f t="shared" si="182"/>
        <v>25589.787495128239</v>
      </c>
      <c r="K675" s="133"/>
      <c r="L675" s="133">
        <f t="shared" si="183"/>
        <v>496432</v>
      </c>
      <c r="M675" s="133">
        <f t="shared" si="183"/>
        <v>406994</v>
      </c>
    </row>
    <row r="676" spans="1:13" ht="13.2" customHeight="1">
      <c r="A676" s="135" t="s">
        <v>238</v>
      </c>
      <c r="G676" s="133"/>
      <c r="H676" s="133"/>
      <c r="I676" s="176">
        <f>SUM(I668:I675)</f>
        <v>3268635.2600000002</v>
      </c>
      <c r="J676" s="176">
        <f>SUM(J668:J675)</f>
        <v>2747976.2795278626</v>
      </c>
      <c r="K676" s="176"/>
      <c r="L676" s="176">
        <f>SUM(L668:L675)</f>
        <v>5656020</v>
      </c>
      <c r="M676" s="176">
        <f>SUM(M668:M675)</f>
        <v>4726181</v>
      </c>
    </row>
    <row r="677" spans="1:13" ht="13.2" customHeight="1">
      <c r="A677" s="135" t="s">
        <v>231</v>
      </c>
      <c r="G677" s="133"/>
      <c r="H677" s="133"/>
      <c r="I677" s="133">
        <f>+I654</f>
        <v>-329372.727272727</v>
      </c>
      <c r="J677" s="133">
        <f>+J654</f>
        <v>-329372.727272727</v>
      </c>
      <c r="K677" s="133"/>
      <c r="L677" s="133">
        <f>+L654</f>
        <v>-417663</v>
      </c>
      <c r="M677" s="133">
        <f>+M654</f>
        <v>-373740</v>
      </c>
    </row>
    <row r="678" spans="1:13" ht="13.2" customHeight="1">
      <c r="A678" s="135" t="s">
        <v>225</v>
      </c>
      <c r="G678" s="133"/>
      <c r="H678" s="133"/>
      <c r="I678" s="133">
        <f>+I650</f>
        <v>460936</v>
      </c>
      <c r="J678" s="133">
        <f>+J650</f>
        <v>460936</v>
      </c>
      <c r="K678" s="133"/>
      <c r="L678" s="133">
        <f>+L650</f>
        <v>601600</v>
      </c>
      <c r="M678" s="133">
        <f>+M650</f>
        <v>601600</v>
      </c>
    </row>
    <row r="679" spans="1:13" ht="13.2" customHeight="1">
      <c r="A679" s="135" t="s">
        <v>239</v>
      </c>
      <c r="G679" s="133"/>
      <c r="H679" s="133"/>
      <c r="I679" s="176">
        <f>SUM(I676:I678)</f>
        <v>3400198.5327272732</v>
      </c>
      <c r="J679" s="176">
        <f>SUM(J676:J678)</f>
        <v>2879539.5522551355</v>
      </c>
      <c r="K679" s="176"/>
      <c r="L679" s="176">
        <f>SUM(L676:L678)</f>
        <v>5839957</v>
      </c>
      <c r="M679" s="176">
        <f>SUM(M676:M678)</f>
        <v>4954041</v>
      </c>
    </row>
    <row r="680" spans="1:13" ht="13.2" customHeight="1"/>
    <row r="681" spans="1:13" ht="13.2" hidden="1" customHeight="1"/>
    <row r="682" spans="1:13" ht="13.2" hidden="1" customHeight="1"/>
    <row r="683" spans="1:13" ht="13.2" hidden="1" customHeight="1">
      <c r="A683" s="4" t="s">
        <v>240</v>
      </c>
    </row>
    <row r="684" spans="1:13" hidden="1">
      <c r="A684" s="135" t="s">
        <v>141</v>
      </c>
      <c r="H684" s="157">
        <f t="shared" ref="H684:J686" si="184">+H15+H25+H35+H93+H162+H195+H205+H215+H225+H421</f>
        <v>0</v>
      </c>
      <c r="I684" s="157">
        <f t="shared" si="184"/>
        <v>0</v>
      </c>
      <c r="J684" s="157">
        <f t="shared" si="184"/>
        <v>0</v>
      </c>
      <c r="L684" s="157">
        <f>+L93+L107+L112+L133+L146</f>
        <v>1101694</v>
      </c>
      <c r="M684" s="157">
        <f>+M93+M107+M112+M133+M146</f>
        <v>983931</v>
      </c>
    </row>
    <row r="685" spans="1:13" hidden="1">
      <c r="A685" s="135" t="s">
        <v>26</v>
      </c>
      <c r="G685" s="158">
        <f t="shared" ref="G685:G691" si="185">+H685/$H$692</f>
        <v>0.19327723028601079</v>
      </c>
      <c r="H685" s="157">
        <f t="shared" si="184"/>
        <v>685961.37767146248</v>
      </c>
      <c r="I685" s="157">
        <f t="shared" si="184"/>
        <v>685961.37767146248</v>
      </c>
      <c r="J685" s="157">
        <f t="shared" si="184"/>
        <v>582327.87164683337</v>
      </c>
      <c r="L685" s="157">
        <f>+L16+L26+L36+L94+L163+L196+L206+L216+L226+L422</f>
        <v>905325.35622119973</v>
      </c>
      <c r="M685" s="157">
        <f>+M16+M26+M36+M94+M163+M196+M206+M216+M226+M422</f>
        <v>752391</v>
      </c>
    </row>
    <row r="686" spans="1:13" hidden="1">
      <c r="A686" s="135" t="s">
        <v>27</v>
      </c>
      <c r="G686" s="158">
        <f t="shared" si="185"/>
        <v>0.21280754428338519</v>
      </c>
      <c r="H686" s="157">
        <f t="shared" si="184"/>
        <v>755276.53226142796</v>
      </c>
      <c r="I686" s="157">
        <f t="shared" si="184"/>
        <v>755276.53226142796</v>
      </c>
      <c r="J686" s="157">
        <f t="shared" si="184"/>
        <v>643316.25029705663</v>
      </c>
      <c r="L686" s="157">
        <f>+L17+L27+L37+L95+L164+L197+L207+L217+L227+L423</f>
        <v>928445.39300142159</v>
      </c>
      <c r="M686" s="157">
        <f>+M17+M27+M37+M95+M164+M197+M207+M217+M227+M423</f>
        <v>768169</v>
      </c>
    </row>
    <row r="687" spans="1:13" hidden="1">
      <c r="A687" s="135" t="s">
        <v>28</v>
      </c>
      <c r="G687" s="158">
        <f t="shared" si="185"/>
        <v>7.609976283895746E-2</v>
      </c>
      <c r="H687" s="157">
        <f t="shared" ref="H687:J690" si="186">+H18+H28+H38+H165+H198+H208+H218+H228+H424</f>
        <v>270086.12489032093</v>
      </c>
      <c r="I687" s="157">
        <f t="shared" si="186"/>
        <v>270086.12489032093</v>
      </c>
      <c r="J687" s="157">
        <f t="shared" si="186"/>
        <v>219748.735361831</v>
      </c>
      <c r="L687" s="157">
        <f t="shared" ref="L687:M690" si="187">+L18+L28+L38+L165+L198+L208+L218+L228+L424</f>
        <v>415784.07608854724</v>
      </c>
      <c r="M687" s="157">
        <f t="shared" si="187"/>
        <v>338943</v>
      </c>
    </row>
    <row r="688" spans="1:13" hidden="1">
      <c r="A688" s="135" t="s">
        <v>29</v>
      </c>
      <c r="G688" s="158">
        <f t="shared" si="185"/>
        <v>0.13479631334434769</v>
      </c>
      <c r="H688" s="157">
        <f t="shared" si="186"/>
        <v>478406.40446830436</v>
      </c>
      <c r="I688" s="157">
        <f t="shared" si="186"/>
        <v>478406.40446830436</v>
      </c>
      <c r="J688" s="157">
        <f t="shared" si="186"/>
        <v>388248.8197729548</v>
      </c>
      <c r="L688" s="157">
        <f t="shared" si="187"/>
        <v>517251.13036521524</v>
      </c>
      <c r="M688" s="157">
        <f t="shared" si="187"/>
        <v>411509</v>
      </c>
    </row>
    <row r="689" spans="1:13" hidden="1">
      <c r="A689" s="135" t="s">
        <v>30</v>
      </c>
      <c r="G689" s="158">
        <f t="shared" si="185"/>
        <v>0.15071813016058835</v>
      </c>
      <c r="H689" s="157">
        <f t="shared" si="186"/>
        <v>534914.62006172503</v>
      </c>
      <c r="I689" s="157">
        <f t="shared" si="186"/>
        <v>534914.62006172503</v>
      </c>
      <c r="J689" s="157">
        <f t="shared" si="186"/>
        <v>457427.71467996994</v>
      </c>
      <c r="L689" s="157">
        <f t="shared" si="187"/>
        <v>621432.34447865817</v>
      </c>
      <c r="M689" s="157">
        <f t="shared" si="187"/>
        <v>524480</v>
      </c>
    </row>
    <row r="690" spans="1:13" hidden="1">
      <c r="A690" s="135" t="s">
        <v>129</v>
      </c>
      <c r="G690" s="158">
        <f t="shared" si="185"/>
        <v>0.22232947100123118</v>
      </c>
      <c r="H690" s="157">
        <f t="shared" si="186"/>
        <v>789070.85950729554</v>
      </c>
      <c r="I690" s="157">
        <f t="shared" si="186"/>
        <v>789070.85950729554</v>
      </c>
      <c r="J690" s="157">
        <f t="shared" si="186"/>
        <v>664563.27079888526</v>
      </c>
      <c r="L690" s="157">
        <f t="shared" si="187"/>
        <v>669655.69984495826</v>
      </c>
      <c r="M690" s="157">
        <f t="shared" si="187"/>
        <v>539764</v>
      </c>
    </row>
    <row r="691" spans="1:13" hidden="1">
      <c r="A691" s="135" t="s">
        <v>32</v>
      </c>
      <c r="G691" s="159">
        <f t="shared" si="185"/>
        <v>9.9715480854794623E-3</v>
      </c>
      <c r="H691" s="160">
        <f>+H22+H32+H42+H169+H202+H212+H222+H232+H428+H432</f>
        <v>35390.081139463669</v>
      </c>
      <c r="I691" s="160">
        <f>+I22+I32+I42+I169+I202+I212+I222+I232+I428+I432</f>
        <v>35390.081139463669</v>
      </c>
      <c r="J691" s="160">
        <f>+J22+J32+J42+J169+J202+J212+J222+J232+J428+J432</f>
        <v>27939.038570331446</v>
      </c>
      <c r="L691" s="160">
        <f>+L22+L32+L42+L169+L202+L212+L222+L232+L428+L432</f>
        <v>496432</v>
      </c>
      <c r="M691" s="160">
        <f>+M22+M32+M42+M169+M202+M212+M222+M232+M428+M432</f>
        <v>406994</v>
      </c>
    </row>
    <row r="692" spans="1:13" hidden="1">
      <c r="G692" s="161">
        <f>SUM(G685:G691)</f>
        <v>1</v>
      </c>
      <c r="H692" s="162">
        <f>SUM(H685:H691)</f>
        <v>3549105.9999999995</v>
      </c>
      <c r="I692" s="162">
        <f t="shared" ref="I692:J692" si="188">SUM(I685:I691)</f>
        <v>3549105.9999999995</v>
      </c>
      <c r="J692" s="162">
        <f t="shared" si="188"/>
        <v>2983571.7011278626</v>
      </c>
      <c r="L692" s="162">
        <f>SUM(L684:L691)</f>
        <v>5656020</v>
      </c>
      <c r="M692" s="162">
        <f>SUM(M684:M691)</f>
        <v>4726181</v>
      </c>
    </row>
    <row r="693" spans="1:13" hidden="1">
      <c r="L693" s="163"/>
      <c r="M693" s="164"/>
    </row>
    <row r="694" spans="1:13" hidden="1"/>
    <row r="695" spans="1:13" s="4" customFormat="1" hidden="1">
      <c r="A695" s="4" t="s">
        <v>241</v>
      </c>
    </row>
    <row r="696" spans="1:13" s="4" customFormat="1" hidden="1">
      <c r="A696" s="4" t="s">
        <v>242</v>
      </c>
      <c r="H696" s="162">
        <f>+I706</f>
        <v>-280470.74</v>
      </c>
    </row>
    <row r="697" spans="1:13" s="4" customFormat="1" hidden="1">
      <c r="A697" s="4" t="s">
        <v>243</v>
      </c>
      <c r="H697" s="162">
        <f>+H696*0.84</f>
        <v>-235595.42159999997</v>
      </c>
    </row>
    <row r="698" spans="1:13" hidden="1"/>
    <row r="699" spans="1:13" s="4" customFormat="1" hidden="1">
      <c r="A699" s="4" t="s">
        <v>241</v>
      </c>
      <c r="H699" s="4" t="s">
        <v>244</v>
      </c>
    </row>
    <row r="700" spans="1:13" hidden="1">
      <c r="A700" s="2" t="s">
        <v>245</v>
      </c>
      <c r="G700" s="165">
        <v>-779116</v>
      </c>
      <c r="H700" s="166">
        <v>0.56999999999999995</v>
      </c>
      <c r="I700" s="165">
        <v>-300000</v>
      </c>
    </row>
    <row r="701" spans="1:13" hidden="1">
      <c r="A701" s="2" t="s">
        <v>246</v>
      </c>
      <c r="G701" s="165">
        <v>26718</v>
      </c>
      <c r="H701" s="166">
        <v>0.56999999999999995</v>
      </c>
      <c r="I701" s="165">
        <f t="shared" ref="I701:I704" si="189">+G701*H701</f>
        <v>15229.259999999998</v>
      </c>
    </row>
    <row r="702" spans="1:13" hidden="1">
      <c r="A702" s="2" t="s">
        <v>247</v>
      </c>
      <c r="G702" s="167">
        <v>32000</v>
      </c>
      <c r="H702" s="166">
        <v>0.9</v>
      </c>
      <c r="I702" s="165">
        <f t="shared" si="189"/>
        <v>28800</v>
      </c>
    </row>
    <row r="703" spans="1:13" hidden="1">
      <c r="A703" s="2" t="s">
        <v>248</v>
      </c>
      <c r="G703" s="165">
        <v>-26500</v>
      </c>
      <c r="H703" s="166">
        <v>1</v>
      </c>
      <c r="I703" s="165">
        <f t="shared" si="189"/>
        <v>-26500</v>
      </c>
    </row>
    <row r="704" spans="1:13" hidden="1">
      <c r="A704" s="2" t="s">
        <v>249</v>
      </c>
      <c r="G704" s="165">
        <v>2000</v>
      </c>
      <c r="H704" s="166">
        <v>1</v>
      </c>
      <c r="I704" s="165">
        <f t="shared" si="189"/>
        <v>2000</v>
      </c>
    </row>
    <row r="705" spans="1:12" hidden="1">
      <c r="G705" s="165"/>
    </row>
    <row r="706" spans="1:12" s="4" customFormat="1" hidden="1">
      <c r="A706" s="4" t="s">
        <v>250</v>
      </c>
      <c r="G706" s="168"/>
      <c r="I706" s="169">
        <f>SUM(I700:I705)</f>
        <v>-280470.74</v>
      </c>
    </row>
    <row r="707" spans="1:12" hidden="1">
      <c r="G707" s="165"/>
    </row>
    <row r="708" spans="1:12" hidden="1">
      <c r="A708" s="170"/>
      <c r="G708" s="165"/>
    </row>
    <row r="709" spans="1:12" ht="79.2" hidden="1">
      <c r="G709" s="126" t="s">
        <v>113</v>
      </c>
      <c r="K709" s="126" t="s">
        <v>117</v>
      </c>
    </row>
    <row r="710" spans="1:12" hidden="1">
      <c r="A710" s="170" t="s">
        <v>251</v>
      </c>
      <c r="G710" s="149">
        <f>+H23</f>
        <v>1186986</v>
      </c>
      <c r="H710" s="166">
        <f t="shared" ref="H710:H725" si="190">+G710/$G$727</f>
        <v>0.33444647750729339</v>
      </c>
      <c r="K710" s="149">
        <f>+L23</f>
        <v>1404459</v>
      </c>
      <c r="L710" s="166">
        <f t="shared" ref="L710:L725" si="191">+K710/$K$727</f>
        <v>0.24831224076293931</v>
      </c>
    </row>
    <row r="711" spans="1:12" hidden="1">
      <c r="A711" s="170" t="s">
        <v>131</v>
      </c>
      <c r="G711" s="149">
        <f>+H33</f>
        <v>573418</v>
      </c>
      <c r="H711" s="166">
        <f t="shared" si="190"/>
        <v>0.16156688473097169</v>
      </c>
      <c r="K711" s="149">
        <f>+L33</f>
        <v>798956.00000000012</v>
      </c>
      <c r="L711" s="166">
        <f t="shared" si="191"/>
        <v>0.14125763345957054</v>
      </c>
    </row>
    <row r="712" spans="1:12" hidden="1">
      <c r="A712" s="170" t="s">
        <v>134</v>
      </c>
      <c r="G712" s="149">
        <f>+H43</f>
        <v>184120</v>
      </c>
      <c r="H712" s="166">
        <f t="shared" si="190"/>
        <v>5.1877853183308696E-2</v>
      </c>
      <c r="K712" s="149">
        <f>+L43</f>
        <v>245153</v>
      </c>
      <c r="L712" s="166">
        <f t="shared" si="191"/>
        <v>4.334372933617632E-2</v>
      </c>
    </row>
    <row r="713" spans="1:12" ht="26.4" hidden="1">
      <c r="A713" s="170" t="s">
        <v>144</v>
      </c>
      <c r="G713" s="149">
        <f>+H96</f>
        <v>0</v>
      </c>
      <c r="H713" s="166">
        <f t="shared" si="190"/>
        <v>0</v>
      </c>
      <c r="K713" s="149">
        <f>+L96</f>
        <v>301252</v>
      </c>
      <c r="L713" s="166">
        <f t="shared" si="191"/>
        <v>5.3262187898911247E-2</v>
      </c>
    </row>
    <row r="714" spans="1:12" hidden="1">
      <c r="A714" s="170" t="s">
        <v>147</v>
      </c>
      <c r="G714" s="149">
        <f>+H108</f>
        <v>0</v>
      </c>
      <c r="H714" s="166">
        <f t="shared" si="190"/>
        <v>0</v>
      </c>
      <c r="K714" s="149">
        <f>+L108</f>
        <v>129422</v>
      </c>
      <c r="L714" s="166">
        <f t="shared" si="191"/>
        <v>2.2882168026279962E-2</v>
      </c>
    </row>
    <row r="715" spans="1:12" hidden="1">
      <c r="A715" s="170" t="s">
        <v>148</v>
      </c>
      <c r="G715" s="149">
        <f>+H113</f>
        <v>0</v>
      </c>
      <c r="H715" s="166">
        <f t="shared" si="190"/>
        <v>0</v>
      </c>
      <c r="K715" s="149">
        <f>+L113</f>
        <v>242020</v>
      </c>
      <c r="L715" s="166">
        <f t="shared" si="191"/>
        <v>4.2789806259525248E-2</v>
      </c>
    </row>
    <row r="716" spans="1:12" ht="26.4" hidden="1">
      <c r="A716" s="170" t="s">
        <v>252</v>
      </c>
      <c r="G716" s="149">
        <f>+H134</f>
        <v>0</v>
      </c>
      <c r="H716" s="166">
        <f t="shared" si="190"/>
        <v>0</v>
      </c>
      <c r="K716" s="149">
        <f>+L134</f>
        <v>330297</v>
      </c>
      <c r="L716" s="166">
        <f t="shared" si="191"/>
        <v>5.8397424337254818E-2</v>
      </c>
    </row>
    <row r="717" spans="1:12" hidden="1">
      <c r="A717" s="170" t="s">
        <v>157</v>
      </c>
      <c r="G717" s="149">
        <f>+H147</f>
        <v>0</v>
      </c>
      <c r="H717" s="166">
        <f t="shared" si="190"/>
        <v>0</v>
      </c>
      <c r="K717" s="149">
        <f>+L147</f>
        <v>143891</v>
      </c>
      <c r="L717" s="166">
        <f t="shared" si="191"/>
        <v>2.5440327297286784E-2</v>
      </c>
    </row>
    <row r="718" spans="1:12" ht="26.4" hidden="1">
      <c r="A718" s="170" t="s">
        <v>162</v>
      </c>
      <c r="G718" s="149">
        <f>+H170</f>
        <v>490065</v>
      </c>
      <c r="H718" s="166">
        <f t="shared" si="190"/>
        <v>0.13808125201106983</v>
      </c>
      <c r="K718" s="149">
        <f>+L170</f>
        <v>741355</v>
      </c>
      <c r="L718" s="166">
        <f t="shared" si="191"/>
        <v>0.13107361713713883</v>
      </c>
    </row>
    <row r="719" spans="1:12" hidden="1">
      <c r="A719" s="170" t="s">
        <v>168</v>
      </c>
      <c r="G719" s="149">
        <f>+H203</f>
        <v>249671.00000000003</v>
      </c>
      <c r="H719" s="166">
        <f t="shared" si="190"/>
        <v>7.0347574854061845E-2</v>
      </c>
      <c r="K719" s="149">
        <f>+L203</f>
        <v>303893</v>
      </c>
      <c r="L719" s="166">
        <f t="shared" si="191"/>
        <v>5.3729124012998543E-2</v>
      </c>
    </row>
    <row r="720" spans="1:12" hidden="1">
      <c r="A720" s="170" t="s">
        <v>170</v>
      </c>
      <c r="G720" s="149">
        <f>+H213</f>
        <v>163804</v>
      </c>
      <c r="H720" s="166">
        <f t="shared" si="190"/>
        <v>4.6153594736251892E-2</v>
      </c>
      <c r="K720" s="149">
        <f>+L213</f>
        <v>259832</v>
      </c>
      <c r="L720" s="166">
        <f t="shared" si="191"/>
        <v>4.5939017188765245E-2</v>
      </c>
    </row>
    <row r="721" spans="1:12" hidden="1">
      <c r="A721" s="170" t="s">
        <v>253</v>
      </c>
      <c r="G721" s="149">
        <f>+H223</f>
        <v>6508.0000000000018</v>
      </c>
      <c r="H721" s="166">
        <f t="shared" si="190"/>
        <v>1.8337012194056762E-3</v>
      </c>
      <c r="K721" s="149">
        <f>+L223</f>
        <v>42000</v>
      </c>
      <c r="L721" s="166">
        <f t="shared" si="191"/>
        <v>7.4257163164203801E-3</v>
      </c>
    </row>
    <row r="722" spans="1:12" hidden="1">
      <c r="A722" s="170" t="s">
        <v>254</v>
      </c>
      <c r="G722" s="149">
        <f>+H233</f>
        <v>376534.00000000006</v>
      </c>
      <c r="H722" s="166">
        <f t="shared" si="190"/>
        <v>0.10609263290530067</v>
      </c>
      <c r="K722" s="149">
        <f>+L233</f>
        <v>248142</v>
      </c>
      <c r="L722" s="166">
        <f t="shared" si="191"/>
        <v>4.3872192814028238E-2</v>
      </c>
    </row>
    <row r="723" spans="1:12" hidden="1">
      <c r="A723" s="170" t="s">
        <v>255</v>
      </c>
      <c r="G723" s="149">
        <f>+H429</f>
        <v>318000</v>
      </c>
      <c r="H723" s="166">
        <f t="shared" si="190"/>
        <v>8.9600028852336339E-2</v>
      </c>
      <c r="K723" s="149">
        <f>+L429</f>
        <v>4700</v>
      </c>
      <c r="L723" s="166">
        <f t="shared" si="191"/>
        <v>8.3097301636132824E-4</v>
      </c>
    </row>
    <row r="724" spans="1:12" hidden="1">
      <c r="A724" s="170" t="s">
        <v>195</v>
      </c>
      <c r="G724" s="171">
        <f>+H433</f>
        <v>0</v>
      </c>
      <c r="H724" s="172">
        <f t="shared" si="190"/>
        <v>0</v>
      </c>
      <c r="K724" s="171">
        <f>+L433</f>
        <v>460648</v>
      </c>
      <c r="L724" s="166">
        <f t="shared" si="191"/>
        <v>8.1443842136343217E-2</v>
      </c>
    </row>
    <row r="725" spans="1:12" ht="26.4" hidden="1">
      <c r="A725" s="170" t="s">
        <v>224</v>
      </c>
      <c r="G725" s="171">
        <v>0</v>
      </c>
      <c r="H725" s="172">
        <f t="shared" si="190"/>
        <v>0</v>
      </c>
      <c r="K725" s="171">
        <v>0</v>
      </c>
      <c r="L725" s="166">
        <f t="shared" si="191"/>
        <v>0</v>
      </c>
    </row>
    <row r="726" spans="1:12" hidden="1">
      <c r="A726" s="170"/>
      <c r="G726" s="156"/>
      <c r="H726" s="173"/>
      <c r="K726" s="174"/>
      <c r="L726" s="173"/>
    </row>
    <row r="727" spans="1:12" hidden="1">
      <c r="G727" s="149">
        <f>SUM(G710:G725)</f>
        <v>3549106</v>
      </c>
      <c r="H727" s="175">
        <f>SUM(H710:H725)</f>
        <v>1</v>
      </c>
      <c r="K727" s="149">
        <f>SUM(K710:K726)</f>
        <v>5656020</v>
      </c>
      <c r="L727" s="175">
        <f>SUM(L710:L725)</f>
        <v>1</v>
      </c>
    </row>
    <row r="728" spans="1:12" hidden="1"/>
  </sheetData>
  <mergeCells count="3">
    <mergeCell ref="A9:M9"/>
    <mergeCell ref="A10:M10"/>
    <mergeCell ref="A11:M11"/>
  </mergeCells>
  <dataValidations count="1">
    <dataValidation type="list" allowBlank="1" showInputMessage="1" showErrorMessage="1" sqref="P14:T14 B14:M14">
      <formula1>"CGAAP, MIFRS, USGAAP, ASPE"</formula1>
    </dataValidation>
  </dataValidations>
  <pageMargins left="0.74803149606299213" right="0.74803149606299213" top="0.98425196850393704" bottom="0.98425196850393704" header="0.51181102362204722" footer="0.51181102362204722"/>
  <pageSetup scale="68" fitToHeight="4" orientation="portrait" r:id="rId1"/>
  <headerFooter alignWithMargins="0"/>
  <rowBreaks count="1" manualBreakCount="1">
    <brk id="655" max="12" man="1"/>
  </rowBreaks>
  <legacyDrawing r:id="rId2"/>
</worksheet>
</file>

<file path=xl/worksheets/sheet5.xml><?xml version="1.0" encoding="utf-8"?>
<worksheet xmlns="http://schemas.openxmlformats.org/spreadsheetml/2006/main" xmlns:r="http://schemas.openxmlformats.org/officeDocument/2006/relationships">
  <sheetPr>
    <pageSetUpPr fitToPage="1"/>
  </sheetPr>
  <dimension ref="B3:K37"/>
  <sheetViews>
    <sheetView showGridLines="0" tabSelected="1" zoomScale="76" zoomScaleNormal="76" workbookViewId="0">
      <selection activeCell="S23" sqref="S23"/>
    </sheetView>
  </sheetViews>
  <sheetFormatPr defaultRowHeight="14.4"/>
  <cols>
    <col min="1" max="1" width="3.21875" customWidth="1"/>
    <col min="2" max="2" width="64.33203125" customWidth="1"/>
    <col min="3" max="3" width="11.44140625" customWidth="1"/>
    <col min="4" max="4" width="11.88671875" customWidth="1"/>
    <col min="5" max="5" width="10.5546875" customWidth="1"/>
    <col min="6" max="8" width="0" hidden="1" customWidth="1"/>
    <col min="9" max="9" width="34.88671875" customWidth="1"/>
    <col min="10" max="10" width="24.109375" style="197" customWidth="1"/>
    <col min="11" max="11" width="15.33203125" style="197" customWidth="1"/>
  </cols>
  <sheetData>
    <row r="3" spans="2:11">
      <c r="B3" s="177"/>
      <c r="C3" s="177"/>
      <c r="D3" s="177"/>
      <c r="E3" s="177"/>
      <c r="I3" s="205" t="s">
        <v>258</v>
      </c>
      <c r="J3" s="205"/>
      <c r="K3" s="206"/>
    </row>
    <row r="4" spans="2:11" ht="28.8">
      <c r="B4" s="178"/>
      <c r="C4" s="179" t="s">
        <v>259</v>
      </c>
      <c r="D4" s="179" t="s">
        <v>260</v>
      </c>
      <c r="E4" s="179" t="s">
        <v>261</v>
      </c>
      <c r="I4" s="180" t="s">
        <v>262</v>
      </c>
      <c r="J4" s="181" t="s">
        <v>263</v>
      </c>
      <c r="K4" s="181" t="s">
        <v>264</v>
      </c>
    </row>
    <row r="5" spans="2:11" ht="8.25" customHeight="1">
      <c r="B5" s="178"/>
      <c r="C5" s="179"/>
      <c r="D5" s="179"/>
      <c r="E5" s="179"/>
      <c r="I5" s="182"/>
      <c r="J5" s="183"/>
      <c r="K5" s="183"/>
    </row>
    <row r="6" spans="2:11">
      <c r="B6" s="184" t="s">
        <v>265</v>
      </c>
      <c r="C6" s="185">
        <v>222000</v>
      </c>
      <c r="D6" s="185">
        <v>241000</v>
      </c>
      <c r="E6" s="185">
        <v>-19000</v>
      </c>
      <c r="F6" s="186">
        <v>241000</v>
      </c>
      <c r="G6" s="186">
        <v>270915</v>
      </c>
      <c r="H6" s="186">
        <v>-29915</v>
      </c>
      <c r="I6" s="187" t="s">
        <v>266</v>
      </c>
      <c r="J6" s="188"/>
      <c r="K6" s="188"/>
    </row>
    <row r="7" spans="2:11">
      <c r="B7" s="184" t="s">
        <v>267</v>
      </c>
      <c r="C7" s="185">
        <v>124000</v>
      </c>
      <c r="D7" s="185">
        <v>107000</v>
      </c>
      <c r="E7" s="185">
        <v>17000</v>
      </c>
      <c r="F7" s="186">
        <v>107000</v>
      </c>
      <c r="G7" s="186">
        <v>102204</v>
      </c>
      <c r="H7" s="186">
        <v>4796</v>
      </c>
      <c r="I7" s="187" t="s">
        <v>268</v>
      </c>
      <c r="J7" s="187" t="s">
        <v>269</v>
      </c>
      <c r="K7" s="188"/>
    </row>
    <row r="8" spans="2:11">
      <c r="B8" s="184" t="s">
        <v>270</v>
      </c>
      <c r="C8" s="185">
        <v>216000</v>
      </c>
      <c r="D8" s="185">
        <v>193000</v>
      </c>
      <c r="E8" s="185">
        <v>23000</v>
      </c>
      <c r="F8" s="186">
        <v>193000</v>
      </c>
      <c r="G8" s="186">
        <v>193401</v>
      </c>
      <c r="H8" s="186">
        <v>-401</v>
      </c>
      <c r="I8" s="187" t="s">
        <v>271</v>
      </c>
      <c r="J8" s="187"/>
      <c r="K8" s="188"/>
    </row>
    <row r="9" spans="2:11">
      <c r="B9" s="184" t="s">
        <v>272</v>
      </c>
      <c r="C9" s="185">
        <v>113000</v>
      </c>
      <c r="D9" s="185">
        <v>81000</v>
      </c>
      <c r="E9" s="185">
        <v>32000</v>
      </c>
      <c r="F9" s="186">
        <v>81000</v>
      </c>
      <c r="G9" s="186">
        <v>71983</v>
      </c>
      <c r="H9" s="186">
        <v>9017</v>
      </c>
      <c r="I9" s="187" t="s">
        <v>273</v>
      </c>
      <c r="J9" s="187" t="s">
        <v>274</v>
      </c>
      <c r="K9" s="188"/>
    </row>
    <row r="10" spans="2:11">
      <c r="B10" s="184" t="s">
        <v>275</v>
      </c>
      <c r="C10" s="185">
        <v>5000</v>
      </c>
      <c r="D10" s="185">
        <v>15000</v>
      </c>
      <c r="E10" s="185">
        <v>-10000</v>
      </c>
      <c r="F10" s="186">
        <v>15000</v>
      </c>
      <c r="G10" s="186">
        <v>1454</v>
      </c>
      <c r="H10" s="186">
        <v>13546</v>
      </c>
      <c r="I10" s="187" t="s">
        <v>276</v>
      </c>
      <c r="J10" s="187"/>
      <c r="K10" s="188"/>
    </row>
    <row r="11" spans="2:11">
      <c r="B11" s="184" t="s">
        <v>277</v>
      </c>
      <c r="C11" s="185">
        <v>18000</v>
      </c>
      <c r="D11" s="185">
        <v>18000</v>
      </c>
      <c r="E11" s="185">
        <v>0</v>
      </c>
      <c r="F11" s="186">
        <v>18000</v>
      </c>
      <c r="G11" s="186">
        <v>16906</v>
      </c>
      <c r="H11" s="186">
        <v>1094</v>
      </c>
      <c r="I11" s="187" t="s">
        <v>276</v>
      </c>
      <c r="J11" s="187" t="s">
        <v>278</v>
      </c>
      <c r="K11" s="188"/>
    </row>
    <row r="12" spans="2:11">
      <c r="B12" s="184" t="s">
        <v>279</v>
      </c>
      <c r="C12" s="185">
        <v>146000</v>
      </c>
      <c r="D12" s="185">
        <v>110000</v>
      </c>
      <c r="E12" s="185">
        <v>36000</v>
      </c>
      <c r="F12" s="186">
        <v>110000</v>
      </c>
      <c r="G12" s="186">
        <v>75811</v>
      </c>
      <c r="H12" s="186">
        <v>34189</v>
      </c>
      <c r="I12" s="187" t="s">
        <v>280</v>
      </c>
      <c r="J12" s="187" t="s">
        <v>281</v>
      </c>
      <c r="K12" s="188"/>
    </row>
    <row r="13" spans="2:11">
      <c r="B13" s="184" t="s">
        <v>282</v>
      </c>
      <c r="C13" s="185">
        <v>141000</v>
      </c>
      <c r="D13" s="185">
        <v>124000</v>
      </c>
      <c r="E13" s="185">
        <v>17000</v>
      </c>
      <c r="F13" s="184"/>
      <c r="G13" s="184"/>
      <c r="H13" s="184"/>
      <c r="I13" s="187" t="s">
        <v>283</v>
      </c>
      <c r="J13" s="187"/>
      <c r="K13" s="188"/>
    </row>
    <row r="14" spans="2:11">
      <c r="B14" s="184" t="s">
        <v>284</v>
      </c>
      <c r="C14" s="185">
        <v>134000</v>
      </c>
      <c r="D14" s="185">
        <v>111000</v>
      </c>
      <c r="E14" s="185">
        <v>23000</v>
      </c>
      <c r="F14" s="186">
        <v>111000</v>
      </c>
      <c r="G14" s="186">
        <v>81891</v>
      </c>
      <c r="H14" s="186">
        <v>29109</v>
      </c>
      <c r="I14" s="187" t="s">
        <v>285</v>
      </c>
      <c r="J14" s="187" t="s">
        <v>286</v>
      </c>
      <c r="K14" s="188"/>
    </row>
    <row r="15" spans="2:11">
      <c r="B15" s="184" t="s">
        <v>287</v>
      </c>
      <c r="C15" s="185">
        <v>195000</v>
      </c>
      <c r="D15" s="185">
        <v>183000</v>
      </c>
      <c r="E15" s="185">
        <v>12000</v>
      </c>
      <c r="F15" s="186">
        <v>183000</v>
      </c>
      <c r="G15" s="186">
        <v>230736</v>
      </c>
      <c r="H15" s="186">
        <v>-47736</v>
      </c>
      <c r="I15" s="187" t="s">
        <v>288</v>
      </c>
      <c r="J15" s="187"/>
      <c r="K15" s="188"/>
    </row>
    <row r="16" spans="2:11">
      <c r="B16" s="184" t="s">
        <v>289</v>
      </c>
      <c r="C16" s="185">
        <v>447000</v>
      </c>
      <c r="D16" s="185">
        <v>431000</v>
      </c>
      <c r="E16" s="185">
        <v>16000</v>
      </c>
      <c r="F16" s="184"/>
      <c r="G16" s="184"/>
      <c r="H16" s="184"/>
      <c r="I16" s="187" t="s">
        <v>290</v>
      </c>
      <c r="J16" s="187" t="s">
        <v>291</v>
      </c>
      <c r="K16" s="187" t="s">
        <v>292</v>
      </c>
    </row>
    <row r="17" spans="2:11">
      <c r="B17" s="184" t="s">
        <v>293</v>
      </c>
      <c r="C17" s="185">
        <v>71000</v>
      </c>
      <c r="D17" s="185">
        <v>42000</v>
      </c>
      <c r="E17" s="185">
        <v>29000</v>
      </c>
      <c r="F17" s="186">
        <v>42000</v>
      </c>
      <c r="G17" s="186">
        <v>39006</v>
      </c>
      <c r="H17" s="186">
        <v>2994</v>
      </c>
      <c r="I17" s="187" t="s">
        <v>294</v>
      </c>
      <c r="J17" s="187" t="s">
        <v>295</v>
      </c>
      <c r="K17" s="188"/>
    </row>
    <row r="18" spans="2:11">
      <c r="B18" s="184" t="s">
        <v>296</v>
      </c>
      <c r="C18" s="185">
        <v>18000</v>
      </c>
      <c r="D18" s="185">
        <v>18000</v>
      </c>
      <c r="E18" s="185">
        <v>0</v>
      </c>
      <c r="F18" s="186">
        <v>18000</v>
      </c>
      <c r="G18" s="186">
        <v>16906</v>
      </c>
      <c r="H18" s="186">
        <v>1094</v>
      </c>
      <c r="I18" s="187" t="s">
        <v>294</v>
      </c>
      <c r="J18" s="187"/>
      <c r="K18" s="188"/>
    </row>
    <row r="19" spans="2:11" ht="28.8">
      <c r="B19" s="184" t="s">
        <v>297</v>
      </c>
      <c r="C19" s="185">
        <v>276000</v>
      </c>
      <c r="D19" s="185">
        <v>272000</v>
      </c>
      <c r="E19" s="185">
        <v>4000</v>
      </c>
      <c r="F19" s="186">
        <v>272000</v>
      </c>
      <c r="G19" s="186">
        <v>272000</v>
      </c>
      <c r="H19" s="186">
        <v>0</v>
      </c>
      <c r="I19" s="187" t="s">
        <v>298</v>
      </c>
      <c r="J19" s="187" t="s">
        <v>299</v>
      </c>
      <c r="K19" s="189" t="s">
        <v>300</v>
      </c>
    </row>
    <row r="20" spans="2:11">
      <c r="B20" s="184" t="s">
        <v>301</v>
      </c>
      <c r="C20" s="185">
        <v>356000</v>
      </c>
      <c r="D20" s="185">
        <v>352000</v>
      </c>
      <c r="E20" s="185">
        <v>4000</v>
      </c>
      <c r="F20" s="186">
        <v>352000</v>
      </c>
      <c r="G20" s="186">
        <v>367868</v>
      </c>
      <c r="H20" s="186">
        <v>-15868</v>
      </c>
      <c r="I20" s="187" t="s">
        <v>302</v>
      </c>
      <c r="J20" s="187"/>
      <c r="K20" s="188"/>
    </row>
    <row r="21" spans="2:11">
      <c r="B21" s="184" t="s">
        <v>303</v>
      </c>
      <c r="C21" s="185">
        <v>435000</v>
      </c>
      <c r="D21" s="185">
        <v>392000</v>
      </c>
      <c r="E21" s="185">
        <v>43000</v>
      </c>
      <c r="F21" s="186">
        <v>392000</v>
      </c>
      <c r="G21" s="186">
        <v>398059</v>
      </c>
      <c r="H21" s="186">
        <v>-6059</v>
      </c>
      <c r="I21" s="187" t="s">
        <v>304</v>
      </c>
      <c r="J21" s="187"/>
      <c r="K21" s="188"/>
    </row>
    <row r="22" spans="2:11" ht="28.8">
      <c r="B22" s="190" t="s">
        <v>305</v>
      </c>
      <c r="C22" s="191">
        <v>37000</v>
      </c>
      <c r="D22" s="191">
        <v>34000</v>
      </c>
      <c r="E22" s="191">
        <v>3000</v>
      </c>
      <c r="F22" s="192">
        <v>34000</v>
      </c>
      <c r="G22" s="192">
        <v>0</v>
      </c>
      <c r="H22" s="192">
        <v>34000</v>
      </c>
      <c r="I22" s="193" t="s">
        <v>306</v>
      </c>
      <c r="J22" s="187"/>
      <c r="K22" s="188"/>
    </row>
    <row r="23" spans="2:11">
      <c r="B23" s="184" t="s">
        <v>307</v>
      </c>
      <c r="C23" s="185">
        <v>69000</v>
      </c>
      <c r="D23" s="185">
        <v>62000</v>
      </c>
      <c r="E23" s="185">
        <v>7000</v>
      </c>
      <c r="F23" s="186">
        <v>62000</v>
      </c>
      <c r="G23" s="186">
        <v>70517</v>
      </c>
      <c r="H23" s="186">
        <v>-8517</v>
      </c>
      <c r="I23" s="187" t="s">
        <v>308</v>
      </c>
      <c r="J23" s="187" t="s">
        <v>309</v>
      </c>
      <c r="K23" s="188"/>
    </row>
    <row r="24" spans="2:11">
      <c r="B24" s="184" t="s">
        <v>310</v>
      </c>
      <c r="C24" s="185">
        <v>25000</v>
      </c>
      <c r="D24" s="185">
        <v>25000</v>
      </c>
      <c r="E24" s="185">
        <v>0</v>
      </c>
      <c r="F24" s="186">
        <v>25000</v>
      </c>
      <c r="G24" s="186">
        <v>0</v>
      </c>
      <c r="H24" s="186">
        <v>25000</v>
      </c>
      <c r="I24" s="187" t="s">
        <v>311</v>
      </c>
      <c r="J24" s="187" t="s">
        <v>312</v>
      </c>
      <c r="K24" s="187" t="s">
        <v>313</v>
      </c>
    </row>
    <row r="25" spans="2:11">
      <c r="B25" s="184" t="s">
        <v>314</v>
      </c>
      <c r="C25" s="185">
        <v>14000</v>
      </c>
      <c r="D25" s="185">
        <v>14000</v>
      </c>
      <c r="E25" s="185">
        <v>0</v>
      </c>
      <c r="F25" s="186">
        <v>14000</v>
      </c>
      <c r="G25" s="186">
        <v>12288</v>
      </c>
      <c r="H25" s="186">
        <v>1712</v>
      </c>
      <c r="I25" s="187" t="s">
        <v>315</v>
      </c>
      <c r="J25" s="187"/>
      <c r="K25" s="188"/>
    </row>
    <row r="26" spans="2:11">
      <c r="B26" s="184" t="s">
        <v>316</v>
      </c>
      <c r="C26" s="185">
        <v>7000</v>
      </c>
      <c r="D26" s="185">
        <v>6000</v>
      </c>
      <c r="E26" s="185">
        <v>1000</v>
      </c>
      <c r="F26" s="186">
        <v>6000</v>
      </c>
      <c r="G26" s="186">
        <v>0</v>
      </c>
      <c r="H26" s="186">
        <v>6000</v>
      </c>
      <c r="I26" s="187" t="s">
        <v>317</v>
      </c>
      <c r="J26" s="187"/>
      <c r="K26" s="188"/>
    </row>
    <row r="27" spans="2:11">
      <c r="B27" s="184" t="s">
        <v>318</v>
      </c>
      <c r="C27" s="185">
        <v>525000</v>
      </c>
      <c r="D27" s="185">
        <v>542000</v>
      </c>
      <c r="E27" s="185">
        <v>-17000</v>
      </c>
      <c r="F27" s="186"/>
      <c r="G27" s="186"/>
      <c r="H27" s="186"/>
      <c r="I27" s="187" t="s">
        <v>319</v>
      </c>
      <c r="J27" s="187"/>
      <c r="K27" s="188"/>
    </row>
    <row r="28" spans="2:11">
      <c r="B28" s="184" t="s">
        <v>320</v>
      </c>
      <c r="C28" s="185">
        <v>373000</v>
      </c>
      <c r="D28" s="185">
        <v>408000</v>
      </c>
      <c r="E28" s="185">
        <v>-35000</v>
      </c>
      <c r="F28" s="186"/>
      <c r="G28" s="186"/>
      <c r="H28" s="186"/>
      <c r="I28" s="187" t="s">
        <v>319</v>
      </c>
      <c r="J28" s="187"/>
      <c r="K28" s="188"/>
    </row>
    <row r="29" spans="2:11">
      <c r="B29" s="184" t="s">
        <v>321</v>
      </c>
      <c r="C29" s="185">
        <v>136000</v>
      </c>
      <c r="D29" s="185">
        <v>120000</v>
      </c>
      <c r="E29" s="185">
        <v>16000</v>
      </c>
      <c r="F29" s="186"/>
      <c r="G29" s="186"/>
      <c r="H29" s="186"/>
      <c r="I29" s="187" t="s">
        <v>319</v>
      </c>
      <c r="J29" s="187"/>
      <c r="K29" s="188"/>
    </row>
    <row r="30" spans="2:11">
      <c r="B30" s="184" t="s">
        <v>322</v>
      </c>
      <c r="C30" s="185">
        <v>507000</v>
      </c>
      <c r="D30" s="185">
        <v>478000</v>
      </c>
      <c r="E30" s="185">
        <v>29000</v>
      </c>
      <c r="F30" s="186"/>
      <c r="G30" s="186"/>
      <c r="H30" s="186"/>
      <c r="I30" s="187" t="s">
        <v>323</v>
      </c>
      <c r="J30" s="187"/>
      <c r="K30" s="188"/>
    </row>
    <row r="31" spans="2:11">
      <c r="B31" s="184" t="s">
        <v>324</v>
      </c>
      <c r="C31" s="185">
        <v>105000</v>
      </c>
      <c r="D31" s="185">
        <v>122000</v>
      </c>
      <c r="E31" s="185">
        <v>-17000</v>
      </c>
      <c r="F31" s="186">
        <v>122000</v>
      </c>
      <c r="G31" s="186">
        <v>116789</v>
      </c>
      <c r="H31" s="186">
        <v>5211</v>
      </c>
      <c r="I31" s="187" t="s">
        <v>325</v>
      </c>
      <c r="J31" s="187"/>
      <c r="K31" s="188"/>
    </row>
    <row r="32" spans="2:11">
      <c r="B32" s="184" t="s">
        <v>326</v>
      </c>
      <c r="C32" s="185">
        <v>132500</v>
      </c>
      <c r="D32" s="185">
        <v>117500</v>
      </c>
      <c r="E32" s="185">
        <v>15000</v>
      </c>
      <c r="F32" s="186">
        <v>117500</v>
      </c>
      <c r="G32" s="186">
        <v>116652</v>
      </c>
      <c r="H32" s="186">
        <v>848</v>
      </c>
      <c r="I32" s="187" t="s">
        <v>327</v>
      </c>
      <c r="J32" s="187"/>
      <c r="K32" s="188"/>
    </row>
    <row r="33" spans="2:11">
      <c r="B33" s="184" t="s">
        <v>328</v>
      </c>
      <c r="C33" s="185">
        <v>0</v>
      </c>
      <c r="D33" s="185">
        <v>0</v>
      </c>
      <c r="E33" s="185">
        <v>0</v>
      </c>
      <c r="F33" s="186">
        <v>0</v>
      </c>
      <c r="G33" s="186">
        <v>5771</v>
      </c>
      <c r="H33" s="186">
        <v>-5771</v>
      </c>
      <c r="I33" s="187" t="s">
        <v>329</v>
      </c>
      <c r="J33" s="187"/>
      <c r="K33" s="188"/>
    </row>
    <row r="34" spans="2:11">
      <c r="B34" s="184" t="s">
        <v>330</v>
      </c>
      <c r="C34" s="185">
        <v>37000</v>
      </c>
      <c r="D34" s="185">
        <v>37000</v>
      </c>
      <c r="E34" s="185">
        <v>0</v>
      </c>
      <c r="F34" s="186">
        <v>37000</v>
      </c>
      <c r="G34" s="186">
        <v>33812</v>
      </c>
      <c r="H34" s="186">
        <v>3188</v>
      </c>
      <c r="I34" s="187" t="s">
        <v>331</v>
      </c>
      <c r="J34" s="187"/>
      <c r="K34" s="188"/>
    </row>
    <row r="35" spans="2:11">
      <c r="B35" s="184" t="s">
        <v>332</v>
      </c>
      <c r="C35" s="185">
        <v>85000</v>
      </c>
      <c r="D35" s="185">
        <v>85000</v>
      </c>
      <c r="E35" s="185">
        <v>0</v>
      </c>
      <c r="F35" s="186">
        <v>85000</v>
      </c>
      <c r="G35" s="186">
        <v>69211</v>
      </c>
      <c r="H35" s="186">
        <v>15789</v>
      </c>
      <c r="I35" s="187" t="s">
        <v>333</v>
      </c>
      <c r="J35" s="188"/>
      <c r="K35" s="188"/>
    </row>
    <row r="36" spans="2:11">
      <c r="B36" s="194" t="s">
        <v>334</v>
      </c>
      <c r="C36" s="186">
        <f>SUM(C6:C35)</f>
        <v>4969500</v>
      </c>
      <c r="D36" s="186">
        <f>SUM(D6:D35)</f>
        <v>4740500</v>
      </c>
      <c r="E36" s="195">
        <f>SUM(E6:E35)</f>
        <v>229000</v>
      </c>
      <c r="F36" s="186"/>
      <c r="G36" s="186"/>
      <c r="H36" s="186"/>
      <c r="I36" s="186"/>
      <c r="J36" s="188"/>
      <c r="K36" s="188"/>
    </row>
    <row r="37" spans="2:11">
      <c r="C37" s="196"/>
      <c r="D37" s="196"/>
      <c r="E37" s="196"/>
      <c r="F37" s="196"/>
      <c r="G37" s="196"/>
      <c r="H37" s="196"/>
    </row>
  </sheetData>
  <mergeCells count="1">
    <mergeCell ref="I3:K3"/>
  </mergeCells>
  <pageMargins left="0.70866141732283472" right="0.70866141732283472" top="0.74803149606299213" bottom="0.74803149606299213" header="0.31496062992125984" footer="0.31496062992125984"/>
  <pageSetup scale="70"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2:P37"/>
  <sheetViews>
    <sheetView topLeftCell="A10" zoomScale="85" workbookViewId="0">
      <selection activeCell="N38" sqref="N38"/>
    </sheetView>
  </sheetViews>
  <sheetFormatPr defaultColWidth="9.109375" defaultRowHeight="13.2"/>
  <cols>
    <col min="1" max="1" width="44.33203125" style="67" customWidth="1"/>
    <col min="2" max="2" width="14.6640625" style="67" bestFit="1" customWidth="1"/>
    <col min="3" max="5" width="12.88671875" style="67" bestFit="1" customWidth="1"/>
    <col min="6" max="13" width="12.5546875" style="67" bestFit="1" customWidth="1"/>
    <col min="14" max="14" width="14" style="67" bestFit="1" customWidth="1"/>
    <col min="15" max="15" width="9.109375" style="67"/>
    <col min="16" max="16" width="12.6640625" style="67" customWidth="1"/>
    <col min="17" max="16384" width="9.109375" style="67"/>
  </cols>
  <sheetData>
    <row r="2" spans="1:6" ht="15.6">
      <c r="A2" s="66" t="s">
        <v>69</v>
      </c>
      <c r="F2" s="68"/>
    </row>
    <row r="3" spans="1:6" ht="13.8" thickBot="1">
      <c r="E3" s="68"/>
    </row>
    <row r="4" spans="1:6" s="72" customFormat="1" ht="21" customHeight="1" thickBot="1">
      <c r="A4" s="69" t="s">
        <v>70</v>
      </c>
      <c r="B4" s="70">
        <v>2010</v>
      </c>
      <c r="C4" s="70">
        <v>2011</v>
      </c>
      <c r="D4" s="71">
        <v>2012</v>
      </c>
    </row>
    <row r="5" spans="1:6" s="76" customFormat="1">
      <c r="A5" s="73" t="s">
        <v>71</v>
      </c>
      <c r="B5" s="74">
        <v>470297718</v>
      </c>
      <c r="C5" s="74">
        <v>471649879</v>
      </c>
      <c r="D5" s="75">
        <v>459796451</v>
      </c>
    </row>
    <row r="6" spans="1:6" s="76" customFormat="1">
      <c r="A6" s="73"/>
      <c r="B6" s="74"/>
      <c r="C6" s="74"/>
      <c r="D6" s="75"/>
    </row>
    <row r="7" spans="1:6" s="76" customFormat="1">
      <c r="A7" s="73" t="s">
        <v>72</v>
      </c>
      <c r="B7" s="74">
        <v>882501</v>
      </c>
      <c r="C7" s="74">
        <v>885975.06185567006</v>
      </c>
      <c r="D7" s="75">
        <v>856966.0209580838</v>
      </c>
    </row>
    <row r="8" spans="1:6" s="76" customFormat="1">
      <c r="A8" s="73" t="s">
        <v>73</v>
      </c>
      <c r="B8" s="74">
        <v>57733</v>
      </c>
      <c r="C8" s="74">
        <v>58077</v>
      </c>
      <c r="D8" s="75">
        <v>55830.992798353902</v>
      </c>
    </row>
    <row r="9" spans="1:6" s="76" customFormat="1" ht="13.8" thickBot="1">
      <c r="A9" s="77"/>
      <c r="B9" s="78"/>
      <c r="C9" s="78"/>
      <c r="D9" s="79"/>
    </row>
    <row r="10" spans="1:6" s="76" customFormat="1">
      <c r="B10" s="80"/>
      <c r="C10" s="80"/>
      <c r="D10" s="68"/>
    </row>
    <row r="11" spans="1:6" s="76" customFormat="1">
      <c r="C11" s="80"/>
      <c r="D11" s="80"/>
      <c r="E11" s="68"/>
    </row>
    <row r="12" spans="1:6" s="76" customFormat="1" ht="13.8" thickBot="1">
      <c r="A12" s="81"/>
      <c r="C12" s="80"/>
      <c r="D12" s="80"/>
      <c r="E12" s="68"/>
    </row>
    <row r="13" spans="1:6" s="76" customFormat="1" ht="27" customHeight="1" thickBot="1">
      <c r="A13" s="82" t="s">
        <v>74</v>
      </c>
      <c r="B13" s="83"/>
      <c r="C13" s="84">
        <v>2010</v>
      </c>
      <c r="D13" s="84">
        <v>2011</v>
      </c>
      <c r="E13" s="71">
        <v>2012</v>
      </c>
      <c r="F13" s="85" t="s">
        <v>75</v>
      </c>
    </row>
    <row r="14" spans="1:6" s="76" customFormat="1">
      <c r="A14" s="73" t="s">
        <v>76</v>
      </c>
      <c r="B14" s="86"/>
      <c r="C14" s="87">
        <f>B7/$B$5</f>
        <v>1.876473064238853E-3</v>
      </c>
      <c r="D14" s="87">
        <f>C7/$C$5</f>
        <v>1.878459215836394E-3</v>
      </c>
      <c r="E14" s="87">
        <f>D7/$D$5</f>
        <v>1.8637943357202725E-3</v>
      </c>
      <c r="F14" s="88">
        <f>AVERAGE(C14:D14)</f>
        <v>1.8774661400376234E-3</v>
      </c>
    </row>
    <row r="15" spans="1:6" s="76" customFormat="1">
      <c r="A15" s="73" t="s">
        <v>77</v>
      </c>
      <c r="B15" s="89"/>
      <c r="C15" s="90">
        <f>B8/$B$5</f>
        <v>1.2275840981222877E-4</v>
      </c>
      <c r="D15" s="90">
        <f>C8/$C$5</f>
        <v>1.2313583144161051E-4</v>
      </c>
      <c r="E15" s="90">
        <f>D8/$D$5</f>
        <v>1.2142545397409756E-4</v>
      </c>
      <c r="F15" s="91">
        <f>AVERAGE(C15:D15)</f>
        <v>1.2294712062691963E-4</v>
      </c>
    </row>
    <row r="16" spans="1:6" s="76" customFormat="1" ht="13.8" thickBot="1">
      <c r="A16" s="92"/>
      <c r="B16" s="93"/>
      <c r="C16" s="94"/>
      <c r="D16" s="94"/>
      <c r="E16" s="94"/>
      <c r="F16" s="95"/>
    </row>
    <row r="19" spans="1:16" ht="15.6">
      <c r="A19" s="66" t="s">
        <v>78</v>
      </c>
    </row>
    <row r="20" spans="1:16" ht="13.8" thickBot="1"/>
    <row r="21" spans="1:16" ht="24.75" customHeight="1" thickBot="1">
      <c r="A21" s="96"/>
      <c r="B21" s="97" t="s">
        <v>79</v>
      </c>
      <c r="C21" s="97" t="s">
        <v>80</v>
      </c>
      <c r="D21" s="97" t="s">
        <v>81</v>
      </c>
      <c r="E21" s="97" t="s">
        <v>82</v>
      </c>
      <c r="F21" s="97" t="s">
        <v>83</v>
      </c>
      <c r="G21" s="97" t="s">
        <v>84</v>
      </c>
      <c r="H21" s="97" t="s">
        <v>85</v>
      </c>
      <c r="I21" s="97" t="s">
        <v>86</v>
      </c>
      <c r="J21" s="97" t="s">
        <v>87</v>
      </c>
      <c r="K21" s="97" t="s">
        <v>88</v>
      </c>
      <c r="L21" s="97" t="s">
        <v>89</v>
      </c>
      <c r="M21" s="97" t="s">
        <v>90</v>
      </c>
      <c r="N21" s="98" t="s">
        <v>0</v>
      </c>
      <c r="P21" s="99"/>
    </row>
    <row r="22" spans="1:16" s="103" customFormat="1">
      <c r="A22" s="100" t="s">
        <v>91</v>
      </c>
      <c r="B22" s="101">
        <f>B23*$N$22</f>
        <v>46256206.477748081</v>
      </c>
      <c r="C22" s="101">
        <f t="shared" ref="C22:M22" si="0">C23*$N$22</f>
        <v>49102137.757623725</v>
      </c>
      <c r="D22" s="101">
        <f t="shared" si="0"/>
        <v>46315041.653736293</v>
      </c>
      <c r="E22" s="101">
        <f t="shared" si="0"/>
        <v>42260797.317782454</v>
      </c>
      <c r="F22" s="101">
        <f t="shared" si="0"/>
        <v>35832600.523258045</v>
      </c>
      <c r="G22" s="101">
        <f t="shared" si="0"/>
        <v>29893819.858971704</v>
      </c>
      <c r="H22" s="101">
        <f t="shared" si="0"/>
        <v>36709624.737813085</v>
      </c>
      <c r="I22" s="101">
        <f t="shared" si="0"/>
        <v>36796705.303226158</v>
      </c>
      <c r="J22" s="101">
        <f t="shared" si="0"/>
        <v>37381846.97350844</v>
      </c>
      <c r="K22" s="101">
        <f t="shared" si="0"/>
        <v>34366306.330524288</v>
      </c>
      <c r="L22" s="101">
        <f t="shared" si="0"/>
        <v>35156195.589690894</v>
      </c>
      <c r="M22" s="101">
        <f t="shared" si="0"/>
        <v>38190489.476116858</v>
      </c>
      <c r="N22" s="102">
        <v>468261772</v>
      </c>
      <c r="P22" s="121"/>
    </row>
    <row r="23" spans="1:16" s="103" customFormat="1">
      <c r="A23" s="100" t="s">
        <v>92</v>
      </c>
      <c r="B23" s="104">
        <v>9.8782794675257163E-2</v>
      </c>
      <c r="C23" s="104">
        <v>0.10486044493425725</v>
      </c>
      <c r="D23" s="104">
        <v>9.8908440584247165E-2</v>
      </c>
      <c r="E23" s="104">
        <v>9.0250368158993038E-2</v>
      </c>
      <c r="F23" s="104">
        <v>7.6522583447743084E-2</v>
      </c>
      <c r="G23" s="104">
        <v>6.3839975087634754E-2</v>
      </c>
      <c r="H23" s="104">
        <v>7.8395519200771063E-2</v>
      </c>
      <c r="I23" s="104">
        <v>7.858148476665773E-2</v>
      </c>
      <c r="J23" s="104">
        <v>7.9831088525220126E-2</v>
      </c>
      <c r="K23" s="104">
        <v>7.3391227696725764E-2</v>
      </c>
      <c r="L23" s="104">
        <v>7.5078081730940216E-2</v>
      </c>
      <c r="M23" s="104">
        <v>8.1557991191552701E-2</v>
      </c>
      <c r="N23" s="105">
        <f>SUM(B23:M23)</f>
        <v>1</v>
      </c>
      <c r="P23" s="106"/>
    </row>
    <row r="24" spans="1:16" s="103" customFormat="1">
      <c r="A24" s="100"/>
      <c r="B24" s="101"/>
      <c r="C24" s="101"/>
      <c r="D24" s="101"/>
      <c r="E24" s="101"/>
      <c r="F24" s="101"/>
      <c r="G24" s="101"/>
      <c r="H24" s="101"/>
      <c r="I24" s="101"/>
      <c r="J24" s="101"/>
      <c r="K24" s="101"/>
      <c r="L24" s="101"/>
      <c r="M24" s="101"/>
      <c r="N24" s="102"/>
      <c r="P24" s="106"/>
    </row>
    <row r="25" spans="1:16" s="103" customFormat="1">
      <c r="A25" s="100" t="s">
        <v>93</v>
      </c>
      <c r="B25" s="101">
        <f>$F$14*B22</f>
        <v>86844.461428561001</v>
      </c>
      <c r="C25" s="101">
        <f t="shared" ref="C25:M25" si="1">$F$14*C22</f>
        <v>92187.601043401461</v>
      </c>
      <c r="D25" s="101">
        <f t="shared" si="1"/>
        <v>86954.92247932202</v>
      </c>
      <c r="E25" s="101">
        <f t="shared" si="1"/>
        <v>79343.216015129365</v>
      </c>
      <c r="F25" s="101">
        <f t="shared" si="1"/>
        <v>67274.494191911406</v>
      </c>
      <c r="G25" s="101">
        <f t="shared" si="1"/>
        <v>56124.634581603656</v>
      </c>
      <c r="H25" s="101">
        <f t="shared" si="1"/>
        <v>68921.077458731583</v>
      </c>
      <c r="I25" s="101">
        <f t="shared" si="1"/>
        <v>69084.568271749959</v>
      </c>
      <c r="J25" s="101">
        <f t="shared" si="1"/>
        <v>70183.15194483001</v>
      </c>
      <c r="K25" s="101">
        <f t="shared" si="1"/>
        <v>64521.576493719978</v>
      </c>
      <c r="L25" s="101">
        <f t="shared" si="1"/>
        <v>66004.566832184675</v>
      </c>
      <c r="M25" s="101">
        <f t="shared" si="1"/>
        <v>71701.350862872598</v>
      </c>
      <c r="N25" s="102"/>
    </row>
    <row r="26" spans="1:16" s="109" customFormat="1">
      <c r="A26" s="100" t="s">
        <v>94</v>
      </c>
      <c r="B26" s="107">
        <v>0.67500000000000004</v>
      </c>
      <c r="C26" s="107">
        <v>0.67500000000000004</v>
      </c>
      <c r="D26" s="107">
        <v>0.67500000000000004</v>
      </c>
      <c r="E26" s="107">
        <v>0.67500000000000004</v>
      </c>
      <c r="F26" s="107">
        <v>0.67500000000000004</v>
      </c>
      <c r="G26" s="107">
        <v>0.67500000000000004</v>
      </c>
      <c r="H26" s="107">
        <v>0.67500000000000004</v>
      </c>
      <c r="I26" s="107">
        <v>0.67500000000000004</v>
      </c>
      <c r="J26" s="107">
        <v>0.67500000000000004</v>
      </c>
      <c r="K26" s="107">
        <v>0.67500000000000004</v>
      </c>
      <c r="L26" s="107">
        <v>0.67500000000000004</v>
      </c>
      <c r="M26" s="107">
        <v>0.67500000000000004</v>
      </c>
      <c r="N26" s="108"/>
    </row>
    <row r="27" spans="1:16" s="112" customFormat="1">
      <c r="A27" s="100" t="s">
        <v>95</v>
      </c>
      <c r="B27" s="110">
        <f>B26*B25</f>
        <v>58620.011464278679</v>
      </c>
      <c r="C27" s="110">
        <f t="shared" ref="C27:M27" si="2">C26*C25</f>
        <v>62226.630704295989</v>
      </c>
      <c r="D27" s="110">
        <f t="shared" si="2"/>
        <v>58694.572673542367</v>
      </c>
      <c r="E27" s="110">
        <f t="shared" si="2"/>
        <v>53556.670810212323</v>
      </c>
      <c r="F27" s="110">
        <f t="shared" si="2"/>
        <v>45410.283579540199</v>
      </c>
      <c r="G27" s="110">
        <f t="shared" si="2"/>
        <v>37884.128342582473</v>
      </c>
      <c r="H27" s="110">
        <f t="shared" si="2"/>
        <v>46521.727284643821</v>
      </c>
      <c r="I27" s="110">
        <f t="shared" si="2"/>
        <v>46632.083583431224</v>
      </c>
      <c r="J27" s="110">
        <f t="shared" si="2"/>
        <v>47373.627562760259</v>
      </c>
      <c r="K27" s="110">
        <f t="shared" si="2"/>
        <v>43552.064133260988</v>
      </c>
      <c r="L27" s="110">
        <f t="shared" si="2"/>
        <v>44553.082611724662</v>
      </c>
      <c r="M27" s="110">
        <f t="shared" si="2"/>
        <v>48398.411832439007</v>
      </c>
      <c r="N27" s="111">
        <f>SUM(B27:M27)</f>
        <v>593423.294582712</v>
      </c>
    </row>
    <row r="28" spans="1:16">
      <c r="A28" s="100"/>
      <c r="B28" s="113"/>
      <c r="C28" s="113"/>
      <c r="D28" s="113"/>
      <c r="E28" s="113"/>
      <c r="F28" s="113"/>
      <c r="G28" s="113"/>
      <c r="H28" s="113"/>
      <c r="I28" s="113"/>
      <c r="J28" s="113"/>
      <c r="K28" s="113"/>
      <c r="L28" s="113"/>
      <c r="M28" s="113"/>
      <c r="N28" s="114"/>
    </row>
    <row r="29" spans="1:16" s="103" customFormat="1">
      <c r="A29" s="100" t="s">
        <v>96</v>
      </c>
      <c r="B29" s="101">
        <f>B22*$F$15</f>
        <v>5687.0673975633945</v>
      </c>
      <c r="C29" s="101">
        <f t="shared" ref="C29:M29" si="3">C22*$F$15</f>
        <v>6036.9664539261885</v>
      </c>
      <c r="D29" s="101">
        <f t="shared" si="3"/>
        <v>5694.3010130427228</v>
      </c>
      <c r="E29" s="101">
        <f t="shared" si="3"/>
        <v>5195.8433456192006</v>
      </c>
      <c r="F29" s="101">
        <f t="shared" si="3"/>
        <v>4405.51505890923</v>
      </c>
      <c r="G29" s="101">
        <f t="shared" si="3"/>
        <v>3675.3590762003996</v>
      </c>
      <c r="H29" s="101">
        <f t="shared" si="3"/>
        <v>4513.3426608088585</v>
      </c>
      <c r="I29" s="101">
        <f t="shared" si="3"/>
        <v>4524.0489655889596</v>
      </c>
      <c r="J29" s="101">
        <f t="shared" si="3"/>
        <v>4595.9904491089928</v>
      </c>
      <c r="K29" s="101">
        <f t="shared" si="3"/>
        <v>4225.2384099206411</v>
      </c>
      <c r="L29" s="101">
        <f t="shared" si="3"/>
        <v>4322.3530199493061</v>
      </c>
      <c r="M29" s="101">
        <f t="shared" si="3"/>
        <v>4695.4107164212437</v>
      </c>
      <c r="N29" s="102"/>
    </row>
    <row r="30" spans="1:16" s="109" customFormat="1">
      <c r="A30" s="100" t="s">
        <v>97</v>
      </c>
      <c r="B30" s="107">
        <v>1.9650000000000001</v>
      </c>
      <c r="C30" s="107">
        <v>1.9650000000000001</v>
      </c>
      <c r="D30" s="107">
        <v>1.9650000000000001</v>
      </c>
      <c r="E30" s="107">
        <v>1.9650000000000001</v>
      </c>
      <c r="F30" s="107">
        <v>1.9650000000000001</v>
      </c>
      <c r="G30" s="107">
        <v>1.9650000000000001</v>
      </c>
      <c r="H30" s="107">
        <v>1.9650000000000001</v>
      </c>
      <c r="I30" s="107">
        <v>1.9650000000000001</v>
      </c>
      <c r="J30" s="107">
        <v>1.9650000000000001</v>
      </c>
      <c r="K30" s="107">
        <v>1.9650000000000001</v>
      </c>
      <c r="L30" s="107">
        <v>1.9650000000000001</v>
      </c>
      <c r="M30" s="107">
        <v>1.9650000000000001</v>
      </c>
      <c r="N30" s="108"/>
    </row>
    <row r="31" spans="1:16" s="112" customFormat="1">
      <c r="A31" s="100" t="s">
        <v>98</v>
      </c>
      <c r="B31" s="110">
        <f>B30*B29</f>
        <v>11175.08743621207</v>
      </c>
      <c r="C31" s="110">
        <f t="shared" ref="C31:M31" si="4">C30*C29</f>
        <v>11862.63908196496</v>
      </c>
      <c r="D31" s="110">
        <f t="shared" si="4"/>
        <v>11189.30149062895</v>
      </c>
      <c r="E31" s="110">
        <f t="shared" si="4"/>
        <v>10209.832174141729</v>
      </c>
      <c r="F31" s="110">
        <f t="shared" si="4"/>
        <v>8656.8370907566368</v>
      </c>
      <c r="G31" s="110">
        <f t="shared" si="4"/>
        <v>7222.0805847337851</v>
      </c>
      <c r="H31" s="110">
        <f t="shared" si="4"/>
        <v>8868.7183284894072</v>
      </c>
      <c r="I31" s="110">
        <f t="shared" si="4"/>
        <v>8889.7562173823062</v>
      </c>
      <c r="J31" s="110">
        <f t="shared" si="4"/>
        <v>9031.121232499172</v>
      </c>
      <c r="K31" s="110">
        <f t="shared" si="4"/>
        <v>8302.5934754940608</v>
      </c>
      <c r="L31" s="110">
        <f t="shared" si="4"/>
        <v>8493.4236842003866</v>
      </c>
      <c r="M31" s="110">
        <f t="shared" si="4"/>
        <v>9226.4820577677438</v>
      </c>
      <c r="N31" s="111">
        <f>SUM(B31:M31)</f>
        <v>113127.87285427123</v>
      </c>
    </row>
    <row r="32" spans="1:16">
      <c r="A32" s="100"/>
      <c r="B32" s="113"/>
      <c r="C32" s="113"/>
      <c r="D32" s="113"/>
      <c r="E32" s="113"/>
      <c r="F32" s="113"/>
      <c r="G32" s="113"/>
      <c r="H32" s="113"/>
      <c r="I32" s="113"/>
      <c r="J32" s="113"/>
      <c r="K32" s="113"/>
      <c r="L32" s="113"/>
      <c r="M32" s="113"/>
      <c r="N32" s="115"/>
    </row>
    <row r="33" spans="1:14" s="109" customFormat="1">
      <c r="A33" s="100" t="s">
        <v>99</v>
      </c>
      <c r="B33" s="107">
        <v>295.68</v>
      </c>
      <c r="C33" s="107">
        <v>295.68</v>
      </c>
      <c r="D33" s="107">
        <v>295.68</v>
      </c>
      <c r="E33" s="107">
        <v>295.68</v>
      </c>
      <c r="F33" s="107">
        <v>295.68</v>
      </c>
      <c r="G33" s="107">
        <v>295.68</v>
      </c>
      <c r="H33" s="107">
        <v>295.68</v>
      </c>
      <c r="I33" s="107">
        <v>295.68</v>
      </c>
      <c r="J33" s="107">
        <v>295.68</v>
      </c>
      <c r="K33" s="107">
        <v>295.68</v>
      </c>
      <c r="L33" s="107">
        <v>295.68</v>
      </c>
      <c r="M33" s="107">
        <v>295.68</v>
      </c>
      <c r="N33" s="108"/>
    </row>
    <row r="34" spans="1:14" s="112" customFormat="1">
      <c r="A34" s="100" t="s">
        <v>100</v>
      </c>
      <c r="B34" s="110">
        <f>B33*20</f>
        <v>5913.6</v>
      </c>
      <c r="C34" s="110">
        <f t="shared" ref="C34:M34" si="5">C33*20</f>
        <v>5913.6</v>
      </c>
      <c r="D34" s="110">
        <f t="shared" si="5"/>
        <v>5913.6</v>
      </c>
      <c r="E34" s="110">
        <f t="shared" si="5"/>
        <v>5913.6</v>
      </c>
      <c r="F34" s="110">
        <f t="shared" si="5"/>
        <v>5913.6</v>
      </c>
      <c r="G34" s="110">
        <f t="shared" si="5"/>
        <v>5913.6</v>
      </c>
      <c r="H34" s="110">
        <f t="shared" si="5"/>
        <v>5913.6</v>
      </c>
      <c r="I34" s="110">
        <f t="shared" si="5"/>
        <v>5913.6</v>
      </c>
      <c r="J34" s="110">
        <f t="shared" si="5"/>
        <v>5913.6</v>
      </c>
      <c r="K34" s="110">
        <f t="shared" si="5"/>
        <v>5913.6</v>
      </c>
      <c r="L34" s="110">
        <f t="shared" si="5"/>
        <v>5913.6</v>
      </c>
      <c r="M34" s="110">
        <f t="shared" si="5"/>
        <v>5913.6</v>
      </c>
      <c r="N34" s="111">
        <f>SUM(B34:M34)</f>
        <v>70963.199999999997</v>
      </c>
    </row>
    <row r="35" spans="1:14">
      <c r="A35" s="100"/>
      <c r="B35" s="113"/>
      <c r="C35" s="113"/>
      <c r="D35" s="113"/>
      <c r="E35" s="113"/>
      <c r="F35" s="113"/>
      <c r="G35" s="113"/>
      <c r="H35" s="113"/>
      <c r="I35" s="113"/>
      <c r="J35" s="113"/>
      <c r="K35" s="113"/>
      <c r="L35" s="113"/>
      <c r="M35" s="113"/>
      <c r="N35" s="111"/>
    </row>
    <row r="36" spans="1:14" s="81" customFormat="1" ht="13.8" thickBot="1">
      <c r="A36" s="100" t="s">
        <v>101</v>
      </c>
      <c r="B36" s="116">
        <f>SUM(B27,B31,B34)</f>
        <v>75708.698900490752</v>
      </c>
      <c r="C36" s="116">
        <f t="shared" ref="C36:N36" si="6">SUM(C27,C31,C34)</f>
        <v>80002.869786260955</v>
      </c>
      <c r="D36" s="116">
        <f t="shared" si="6"/>
        <v>75797.474164171319</v>
      </c>
      <c r="E36" s="116">
        <f t="shared" si="6"/>
        <v>69680.10298435406</v>
      </c>
      <c r="F36" s="116">
        <f t="shared" si="6"/>
        <v>59980.720670296832</v>
      </c>
      <c r="G36" s="116">
        <f t="shared" si="6"/>
        <v>51019.808927316255</v>
      </c>
      <c r="H36" s="116">
        <f t="shared" si="6"/>
        <v>61304.045613133225</v>
      </c>
      <c r="I36" s="116">
        <f t="shared" si="6"/>
        <v>61435.439800813525</v>
      </c>
      <c r="J36" s="116">
        <f t="shared" si="6"/>
        <v>62318.34879525943</v>
      </c>
      <c r="K36" s="116">
        <f t="shared" si="6"/>
        <v>57768.257608755048</v>
      </c>
      <c r="L36" s="116">
        <f t="shared" si="6"/>
        <v>58960.106295925048</v>
      </c>
      <c r="M36" s="116">
        <f t="shared" si="6"/>
        <v>63538.493890206752</v>
      </c>
      <c r="N36" s="117">
        <f t="shared" si="6"/>
        <v>777514.36743698316</v>
      </c>
    </row>
    <row r="37" spans="1:14" ht="14.4" thickTop="1" thickBot="1">
      <c r="A37" s="118"/>
      <c r="B37" s="119"/>
      <c r="C37" s="119"/>
      <c r="D37" s="119"/>
      <c r="E37" s="119"/>
      <c r="F37" s="119"/>
      <c r="G37" s="119"/>
      <c r="H37" s="119"/>
      <c r="I37" s="119"/>
      <c r="J37" s="119"/>
      <c r="K37" s="119"/>
      <c r="L37" s="119"/>
      <c r="M37" s="119"/>
      <c r="N37" s="120"/>
    </row>
  </sheetData>
  <pageMargins left="0.51181102362204722" right="0.51181102362204722" top="0.98425196850393704" bottom="0.51181102362204722" header="0.51181102362204722" footer="0.51181102362204722"/>
  <pageSetup scale="61"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3:P21"/>
  <sheetViews>
    <sheetView zoomScale="85" workbookViewId="0">
      <selection activeCell="P31" sqref="P31"/>
    </sheetView>
  </sheetViews>
  <sheetFormatPr defaultColWidth="9.109375" defaultRowHeight="13.2"/>
  <cols>
    <col min="1" max="1" width="44.33203125" style="67" customWidth="1"/>
    <col min="2" max="2" width="14.6640625" style="67" bestFit="1" customWidth="1"/>
    <col min="3" max="5" width="12.88671875" style="67" bestFit="1" customWidth="1"/>
    <col min="6" max="13" width="12.5546875" style="67" bestFit="1" customWidth="1"/>
    <col min="14" max="14" width="14" style="67" bestFit="1" customWidth="1"/>
    <col min="15" max="15" width="9.109375" style="67"/>
    <col min="16" max="16" width="12.6640625" style="67" customWidth="1"/>
    <col min="17" max="16384" width="9.109375" style="67"/>
  </cols>
  <sheetData>
    <row r="3" spans="1:16" ht="15.6">
      <c r="A3" s="66" t="s">
        <v>102</v>
      </c>
    </row>
    <row r="4" spans="1:16" ht="13.8" thickBot="1"/>
    <row r="5" spans="1:16" ht="24.75" customHeight="1" thickBot="1">
      <c r="A5" s="96"/>
      <c r="B5" s="97" t="s">
        <v>79</v>
      </c>
      <c r="C5" s="97" t="s">
        <v>80</v>
      </c>
      <c r="D5" s="97" t="s">
        <v>81</v>
      </c>
      <c r="E5" s="97" t="s">
        <v>82</v>
      </c>
      <c r="F5" s="97" t="s">
        <v>83</v>
      </c>
      <c r="G5" s="97" t="s">
        <v>84</v>
      </c>
      <c r="H5" s="97" t="s">
        <v>85</v>
      </c>
      <c r="I5" s="97" t="s">
        <v>86</v>
      </c>
      <c r="J5" s="97" t="s">
        <v>87</v>
      </c>
      <c r="K5" s="97" t="s">
        <v>88</v>
      </c>
      <c r="L5" s="97" t="s">
        <v>89</v>
      </c>
      <c r="M5" s="97" t="s">
        <v>90</v>
      </c>
      <c r="N5" s="98" t="s">
        <v>0</v>
      </c>
      <c r="P5" s="99"/>
    </row>
    <row r="6" spans="1:16" s="103" customFormat="1">
      <c r="A6" s="100" t="s">
        <v>103</v>
      </c>
      <c r="B6" s="101"/>
      <c r="C6" s="101"/>
      <c r="D6" s="101"/>
      <c r="E6" s="101"/>
      <c r="F6" s="101"/>
      <c r="G6" s="101"/>
      <c r="H6" s="101"/>
      <c r="I6" s="101"/>
      <c r="J6" s="101"/>
      <c r="K6" s="101"/>
      <c r="L6" s="101"/>
      <c r="M6" s="101"/>
      <c r="N6" s="102"/>
      <c r="P6" s="101"/>
    </row>
    <row r="7" spans="1:16" s="103" customFormat="1">
      <c r="A7" s="100" t="s">
        <v>92</v>
      </c>
      <c r="B7" s="104"/>
      <c r="C7" s="104"/>
      <c r="D7" s="104"/>
      <c r="E7" s="104"/>
      <c r="F7" s="104"/>
      <c r="G7" s="104"/>
      <c r="H7" s="104"/>
      <c r="I7" s="104"/>
      <c r="J7" s="104"/>
      <c r="K7" s="104"/>
      <c r="L7" s="104"/>
      <c r="M7" s="104"/>
      <c r="N7" s="105"/>
    </row>
    <row r="8" spans="1:16" s="103" customFormat="1">
      <c r="A8" s="100"/>
      <c r="B8" s="101"/>
      <c r="C8" s="101"/>
      <c r="D8" s="101"/>
      <c r="E8" s="101"/>
      <c r="F8" s="101"/>
      <c r="G8" s="101"/>
      <c r="H8" s="101"/>
      <c r="I8" s="101"/>
      <c r="J8" s="101"/>
      <c r="K8" s="101"/>
      <c r="L8" s="101"/>
      <c r="M8" s="101"/>
      <c r="N8" s="102"/>
    </row>
    <row r="9" spans="1:16" s="103" customFormat="1">
      <c r="A9" s="100" t="s">
        <v>104</v>
      </c>
      <c r="B9" s="101">
        <v>89954</v>
      </c>
      <c r="C9" s="101">
        <v>81132.979041916158</v>
      </c>
      <c r="D9" s="101">
        <v>77211.002994011986</v>
      </c>
      <c r="E9" s="101">
        <v>72720.01497005987</v>
      </c>
      <c r="F9" s="101">
        <v>62115</v>
      </c>
      <c r="G9" s="101">
        <v>62460</v>
      </c>
      <c r="H9" s="101">
        <v>70996.002994011971</v>
      </c>
      <c r="I9" s="101">
        <v>71558.008982035928</v>
      </c>
      <c r="J9" s="101">
        <v>63274.999999999993</v>
      </c>
      <c r="K9" s="101">
        <v>61652.005988023942</v>
      </c>
      <c r="L9" s="101">
        <v>68729.999999999985</v>
      </c>
      <c r="M9" s="101">
        <v>75162.005988023942</v>
      </c>
      <c r="N9" s="102"/>
    </row>
    <row r="10" spans="1:16" s="109" customFormat="1">
      <c r="A10" s="100" t="s">
        <v>94</v>
      </c>
      <c r="B10" s="107">
        <v>0.67500000000000004</v>
      </c>
      <c r="C10" s="107">
        <v>0.67500000000000004</v>
      </c>
      <c r="D10" s="107">
        <v>0.67500000000000004</v>
      </c>
      <c r="E10" s="107">
        <v>0.67500000000000004</v>
      </c>
      <c r="F10" s="107">
        <v>0.67500000000000004</v>
      </c>
      <c r="G10" s="107">
        <v>0.67500000000000004</v>
      </c>
      <c r="H10" s="107">
        <v>0.67500000000000004</v>
      </c>
      <c r="I10" s="107">
        <v>0.67500000000000004</v>
      </c>
      <c r="J10" s="107">
        <v>0.67500000000000004</v>
      </c>
      <c r="K10" s="107">
        <v>0.67500000000000004</v>
      </c>
      <c r="L10" s="107">
        <v>0.67500000000000004</v>
      </c>
      <c r="M10" s="107">
        <v>0.67500000000000004</v>
      </c>
      <c r="N10" s="108"/>
    </row>
    <row r="11" spans="1:16" s="112" customFormat="1">
      <c r="A11" s="100" t="s">
        <v>95</v>
      </c>
      <c r="B11" s="110">
        <f>B10*B9</f>
        <v>60718.950000000004</v>
      </c>
      <c r="C11" s="110">
        <f t="shared" ref="C11:M11" si="0">C10*C9</f>
        <v>54764.76085329341</v>
      </c>
      <c r="D11" s="110">
        <f t="shared" si="0"/>
        <v>52117.427020958094</v>
      </c>
      <c r="E11" s="110">
        <f t="shared" si="0"/>
        <v>49086.010104790417</v>
      </c>
      <c r="F11" s="110">
        <f t="shared" si="0"/>
        <v>41927.625</v>
      </c>
      <c r="G11" s="110">
        <f t="shared" si="0"/>
        <v>42160.5</v>
      </c>
      <c r="H11" s="110">
        <f t="shared" si="0"/>
        <v>47922.302020958086</v>
      </c>
      <c r="I11" s="110">
        <f t="shared" si="0"/>
        <v>48301.656062874252</v>
      </c>
      <c r="J11" s="110">
        <f t="shared" si="0"/>
        <v>42710.625</v>
      </c>
      <c r="K11" s="110">
        <f t="shared" si="0"/>
        <v>41615.104041916165</v>
      </c>
      <c r="L11" s="110">
        <f t="shared" si="0"/>
        <v>46392.749999999993</v>
      </c>
      <c r="M11" s="110">
        <f t="shared" si="0"/>
        <v>50734.354041916165</v>
      </c>
      <c r="N11" s="111">
        <f>SUM(B11:M11)</f>
        <v>578452.0641467066</v>
      </c>
    </row>
    <row r="12" spans="1:16">
      <c r="A12" s="100"/>
      <c r="B12" s="113"/>
      <c r="C12" s="113"/>
      <c r="D12" s="113"/>
      <c r="E12" s="113"/>
      <c r="F12" s="113"/>
      <c r="G12" s="113"/>
      <c r="H12" s="113"/>
      <c r="I12" s="113"/>
      <c r="J12" s="113"/>
      <c r="K12" s="113"/>
      <c r="L12" s="113"/>
      <c r="M12" s="113"/>
      <c r="N12" s="114"/>
    </row>
    <row r="13" spans="1:16" s="103" customFormat="1">
      <c r="A13" s="100" t="s">
        <v>105</v>
      </c>
      <c r="B13" s="101">
        <v>5855</v>
      </c>
      <c r="C13" s="101">
        <v>5683.9969135802476</v>
      </c>
      <c r="D13" s="101">
        <v>5497.9989711934159</v>
      </c>
      <c r="E13" s="101">
        <v>4832.9989711934149</v>
      </c>
      <c r="F13" s="101">
        <v>4173.0041152263375</v>
      </c>
      <c r="G13" s="101">
        <v>3691.995884773663</v>
      </c>
      <c r="H13" s="101">
        <v>4061.9958847736625</v>
      </c>
      <c r="I13" s="101">
        <v>4278.0041152263375</v>
      </c>
      <c r="J13" s="101">
        <v>3693.0041152263375</v>
      </c>
      <c r="K13" s="101">
        <v>4123.9969135802467</v>
      </c>
      <c r="L13" s="101">
        <v>4666.9958847736616</v>
      </c>
      <c r="M13" s="101">
        <v>5272.0010288065841</v>
      </c>
      <c r="N13" s="102"/>
    </row>
    <row r="14" spans="1:16" s="109" customFormat="1">
      <c r="A14" s="100" t="s">
        <v>106</v>
      </c>
      <c r="B14" s="107">
        <v>1.9650000000000001</v>
      </c>
      <c r="C14" s="107">
        <v>1.9650000000000001</v>
      </c>
      <c r="D14" s="107">
        <v>1.9650000000000001</v>
      </c>
      <c r="E14" s="107">
        <v>1.9650000000000001</v>
      </c>
      <c r="F14" s="107">
        <v>1.9650000000000001</v>
      </c>
      <c r="G14" s="107">
        <v>1.9650000000000001</v>
      </c>
      <c r="H14" s="107">
        <v>1.9650000000000001</v>
      </c>
      <c r="I14" s="107">
        <v>1.9650000000000001</v>
      </c>
      <c r="J14" s="107">
        <v>1.9650000000000001</v>
      </c>
      <c r="K14" s="107">
        <v>1.9650000000000001</v>
      </c>
      <c r="L14" s="107">
        <v>1.9650000000000001</v>
      </c>
      <c r="M14" s="107">
        <v>1.9650000000000001</v>
      </c>
      <c r="N14" s="108"/>
    </row>
    <row r="15" spans="1:16" s="112" customFormat="1">
      <c r="A15" s="100" t="s">
        <v>107</v>
      </c>
      <c r="B15" s="110">
        <f>B14*B13</f>
        <v>11505.075000000001</v>
      </c>
      <c r="C15" s="110">
        <f t="shared" ref="C15:M15" si="1">C14*C13</f>
        <v>11169.053935185188</v>
      </c>
      <c r="D15" s="110">
        <f t="shared" si="1"/>
        <v>10803.567978395062</v>
      </c>
      <c r="E15" s="110">
        <f t="shared" si="1"/>
        <v>9496.8429783950614</v>
      </c>
      <c r="F15" s="110">
        <f t="shared" si="1"/>
        <v>8199.9530864197532</v>
      </c>
      <c r="G15" s="110">
        <f t="shared" si="1"/>
        <v>7254.7719135802481</v>
      </c>
      <c r="H15" s="110">
        <f t="shared" si="1"/>
        <v>7981.8219135802474</v>
      </c>
      <c r="I15" s="110">
        <f t="shared" si="1"/>
        <v>8406.2780864197539</v>
      </c>
      <c r="J15" s="110">
        <f t="shared" si="1"/>
        <v>7256.7530864197533</v>
      </c>
      <c r="K15" s="110">
        <f t="shared" si="1"/>
        <v>8103.6539351851852</v>
      </c>
      <c r="L15" s="110">
        <f t="shared" si="1"/>
        <v>9170.6469135802454</v>
      </c>
      <c r="M15" s="110">
        <f t="shared" si="1"/>
        <v>10359.482021604937</v>
      </c>
      <c r="N15" s="111">
        <f>SUM(B15:M15)</f>
        <v>109707.90084876544</v>
      </c>
    </row>
    <row r="16" spans="1:16">
      <c r="A16" s="100"/>
      <c r="B16" s="113"/>
      <c r="C16" s="113"/>
      <c r="D16" s="113"/>
      <c r="E16" s="113"/>
      <c r="F16" s="113"/>
      <c r="G16" s="113"/>
      <c r="H16" s="113"/>
      <c r="I16" s="113"/>
      <c r="J16" s="113"/>
      <c r="K16" s="113"/>
      <c r="L16" s="113"/>
      <c r="M16" s="113"/>
      <c r="N16" s="115"/>
    </row>
    <row r="17" spans="1:14" s="109" customFormat="1">
      <c r="A17" s="100" t="s">
        <v>99</v>
      </c>
      <c r="B17" s="107">
        <v>295.68</v>
      </c>
      <c r="C17" s="107">
        <v>295.68</v>
      </c>
      <c r="D17" s="107">
        <v>295.68</v>
      </c>
      <c r="E17" s="107">
        <v>295.68</v>
      </c>
      <c r="F17" s="107">
        <v>295.68</v>
      </c>
      <c r="G17" s="107">
        <v>295.68</v>
      </c>
      <c r="H17" s="107">
        <v>295.68</v>
      </c>
      <c r="I17" s="107">
        <v>295.68</v>
      </c>
      <c r="J17" s="107">
        <v>295.68</v>
      </c>
      <c r="K17" s="107">
        <v>295.68</v>
      </c>
      <c r="L17" s="107">
        <v>295.68</v>
      </c>
      <c r="M17" s="107">
        <v>295.68</v>
      </c>
      <c r="N17" s="108"/>
    </row>
    <row r="18" spans="1:14" s="112" customFormat="1">
      <c r="A18" s="100" t="s">
        <v>100</v>
      </c>
      <c r="B18" s="110">
        <f>B17*20</f>
        <v>5913.6</v>
      </c>
      <c r="C18" s="110">
        <f t="shared" ref="C18:M18" si="2">C17*20</f>
        <v>5913.6</v>
      </c>
      <c r="D18" s="110">
        <f t="shared" si="2"/>
        <v>5913.6</v>
      </c>
      <c r="E18" s="110">
        <f t="shared" si="2"/>
        <v>5913.6</v>
      </c>
      <c r="F18" s="110">
        <f t="shared" si="2"/>
        <v>5913.6</v>
      </c>
      <c r="G18" s="110">
        <f t="shared" si="2"/>
        <v>5913.6</v>
      </c>
      <c r="H18" s="110">
        <f t="shared" si="2"/>
        <v>5913.6</v>
      </c>
      <c r="I18" s="110">
        <f t="shared" si="2"/>
        <v>5913.6</v>
      </c>
      <c r="J18" s="110">
        <f t="shared" si="2"/>
        <v>5913.6</v>
      </c>
      <c r="K18" s="110">
        <f t="shared" si="2"/>
        <v>5913.6</v>
      </c>
      <c r="L18" s="110">
        <f t="shared" si="2"/>
        <v>5913.6</v>
      </c>
      <c r="M18" s="110">
        <f t="shared" si="2"/>
        <v>5913.6</v>
      </c>
      <c r="N18" s="111">
        <f>SUM(B18:M18)</f>
        <v>70963.199999999997</v>
      </c>
    </row>
    <row r="19" spans="1:14">
      <c r="A19" s="100"/>
      <c r="B19" s="113"/>
      <c r="C19" s="113"/>
      <c r="D19" s="113"/>
      <c r="E19" s="113"/>
      <c r="F19" s="113"/>
      <c r="G19" s="113"/>
      <c r="H19" s="113"/>
      <c r="I19" s="113"/>
      <c r="J19" s="113"/>
      <c r="K19" s="113"/>
      <c r="L19" s="113"/>
      <c r="M19" s="113"/>
      <c r="N19" s="111"/>
    </row>
    <row r="20" spans="1:14" s="81" customFormat="1" ht="13.8" thickBot="1">
      <c r="A20" s="100" t="s">
        <v>101</v>
      </c>
      <c r="B20" s="116">
        <f>SUM(B11,B15,B18)</f>
        <v>78137.625000000015</v>
      </c>
      <c r="C20" s="116">
        <f t="shared" ref="C20:N20" si="3">SUM(C11,C15,C18)</f>
        <v>71847.414788478607</v>
      </c>
      <c r="D20" s="116">
        <f t="shared" si="3"/>
        <v>68834.594999353154</v>
      </c>
      <c r="E20" s="116">
        <f t="shared" si="3"/>
        <v>64496.453083185479</v>
      </c>
      <c r="F20" s="116">
        <f t="shared" si="3"/>
        <v>56041.17808641975</v>
      </c>
      <c r="G20" s="116">
        <f t="shared" si="3"/>
        <v>55328.871913580246</v>
      </c>
      <c r="H20" s="116">
        <f t="shared" si="3"/>
        <v>61817.723934538335</v>
      </c>
      <c r="I20" s="116">
        <f t="shared" si="3"/>
        <v>62621.534149294006</v>
      </c>
      <c r="J20" s="116">
        <f t="shared" si="3"/>
        <v>55880.978086419753</v>
      </c>
      <c r="K20" s="116">
        <f t="shared" si="3"/>
        <v>55632.357977101346</v>
      </c>
      <c r="L20" s="116">
        <f t="shared" si="3"/>
        <v>61476.996913580238</v>
      </c>
      <c r="M20" s="116">
        <f t="shared" si="3"/>
        <v>67007.436063521105</v>
      </c>
      <c r="N20" s="117">
        <f t="shared" si="3"/>
        <v>759123.16499547195</v>
      </c>
    </row>
    <row r="21" spans="1:14" ht="14.4" thickTop="1" thickBot="1">
      <c r="A21" s="118"/>
      <c r="B21" s="119"/>
      <c r="C21" s="119"/>
      <c r="D21" s="119"/>
      <c r="E21" s="119"/>
      <c r="F21" s="119"/>
      <c r="G21" s="119"/>
      <c r="H21" s="119"/>
      <c r="I21" s="119"/>
      <c r="J21" s="119"/>
      <c r="K21" s="119"/>
      <c r="L21" s="119"/>
      <c r="M21" s="119"/>
      <c r="N21" s="120"/>
    </row>
  </sheetData>
  <pageMargins left="0.51181102362204722" right="0.51181102362204722" top="0.98425196850393704" bottom="0.51181102362204722" header="0.51181102362204722" footer="0.51181102362204722"/>
  <pageSetup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2.0-EP-41b</vt:lpstr>
      <vt:lpstr>2.0-EP-41d</vt:lpstr>
      <vt:lpstr>2.0-EP-42</vt:lpstr>
      <vt:lpstr>2.0-EP-45c</vt:lpstr>
      <vt:lpstr>4.0-Staff-76</vt:lpstr>
      <vt:lpstr>8.0-STAFF-79a-VECC-44a</vt:lpstr>
      <vt:lpstr>8.0-STAFF-79b</vt:lpstr>
      <vt:lpstr>'2.0-EP-41b'!Print_Area</vt:lpstr>
      <vt:lpstr>'2.0-EP-41d'!Print_Area</vt:lpstr>
      <vt:lpstr>'2.0-EP-45c'!Print_Area</vt:lpstr>
      <vt:lpstr>'8.0-STAFF-79a-VECC-44a'!Print_Area</vt:lpstr>
      <vt:lpstr>'8.0-STAFF-79b'!Print_Area</vt:lpstr>
      <vt:lpstr>'2.0-EP-45c'!Print_Titles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carterj</dc:creator>
  <cp:lastModifiedBy>carterj</cp:lastModifiedBy>
  <cp:lastPrinted>2013-02-12T20:02:23Z</cp:lastPrinted>
  <dcterms:created xsi:type="dcterms:W3CDTF">2013-02-03T15:41:41Z</dcterms:created>
  <dcterms:modified xsi:type="dcterms:W3CDTF">2013-02-14T16:00:26Z</dcterms:modified>
</cp:coreProperties>
</file>