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7" i="1"/>
  <c r="D29" s="1"/>
  <c r="E27"/>
  <c r="E29" s="1"/>
  <c r="C29"/>
  <c r="C35" s="1"/>
  <c r="B29"/>
  <c r="C27"/>
  <c r="C26"/>
  <c r="D26"/>
  <c r="D25"/>
  <c r="B26"/>
  <c r="B27" s="1"/>
  <c r="F26"/>
  <c r="E26"/>
  <c r="F25"/>
  <c r="F41"/>
  <c r="F43" s="1"/>
  <c r="E41"/>
  <c r="D43"/>
  <c r="E43"/>
  <c r="E7"/>
  <c r="E24" s="1"/>
  <c r="D24"/>
  <c r="F24"/>
  <c r="F27" s="1"/>
  <c r="F29" s="1"/>
  <c r="E10"/>
  <c r="F10" s="1"/>
  <c r="D10"/>
  <c r="C40"/>
  <c r="D40" s="1"/>
  <c r="E40" s="1"/>
  <c r="F40" s="1"/>
  <c r="C37"/>
  <c r="D37" s="1"/>
  <c r="E37" s="1"/>
  <c r="F37" s="1"/>
  <c r="C24"/>
  <c r="C43"/>
  <c r="B8"/>
  <c r="B11" s="1"/>
  <c r="C11"/>
  <c r="C12" s="1"/>
  <c r="C16" s="1"/>
  <c r="C19" s="1"/>
  <c r="C34" s="1"/>
  <c r="E35" l="1"/>
  <c r="F35"/>
  <c r="D35"/>
  <c r="B22"/>
  <c r="B24" s="1"/>
  <c r="B35" s="1"/>
  <c r="B12"/>
  <c r="E44"/>
  <c r="F9" s="1"/>
  <c r="F11" s="1"/>
  <c r="F12" s="1"/>
  <c r="F16" s="1"/>
  <c r="F19" s="1"/>
  <c r="F34" s="1"/>
  <c r="D44"/>
  <c r="E9" s="1"/>
  <c r="E11" s="1"/>
  <c r="E12" s="1"/>
  <c r="E16" s="1"/>
  <c r="E19" s="1"/>
  <c r="E34" s="1"/>
  <c r="F44"/>
  <c r="B16"/>
  <c r="B19" s="1"/>
  <c r="B34" s="1"/>
  <c r="C36"/>
  <c r="C38" s="1"/>
  <c r="C44"/>
  <c r="D9" s="1"/>
  <c r="D11" s="1"/>
  <c r="D12" s="1"/>
  <c r="D16" s="1"/>
  <c r="D19" s="1"/>
  <c r="D34" s="1"/>
  <c r="F36" l="1"/>
  <c r="F38" s="1"/>
  <c r="E36"/>
  <c r="E38" s="1"/>
  <c r="D36"/>
  <c r="D38" s="1"/>
  <c r="B36"/>
  <c r="B38" s="1"/>
</calcChain>
</file>

<file path=xl/sharedStrings.xml><?xml version="1.0" encoding="utf-8"?>
<sst xmlns="http://schemas.openxmlformats.org/spreadsheetml/2006/main" count="28" uniqueCount="27">
  <si>
    <t>Business limit</t>
  </si>
  <si>
    <t>Gross LCT</t>
  </si>
  <si>
    <t>Business limit reduction</t>
  </si>
  <si>
    <t>Reduced business limit</t>
  </si>
  <si>
    <t>Regulatory taxable income</t>
  </si>
  <si>
    <t>Regular provincial tax rate</t>
  </si>
  <si>
    <t>Total tax rate net of SBD</t>
  </si>
  <si>
    <t>Regular federal tax rate</t>
  </si>
  <si>
    <t>Taxable capital</t>
  </si>
  <si>
    <t>Tax rate calculation</t>
  </si>
  <si>
    <t>Small business deduction @ 16% of least of regulatory taxable income and reduced business limit</t>
  </si>
  <si>
    <t>Calculation of federal small business deduction impact</t>
  </si>
  <si>
    <t>Federal small business deduction as percent of regulatory taxable income</t>
  </si>
  <si>
    <t>Calculation of Ontario small business deduction impact</t>
  </si>
  <si>
    <t>Tax rates</t>
  </si>
  <si>
    <t>Federal small business deduction</t>
  </si>
  <si>
    <t>Ontario small buisness deduction</t>
  </si>
  <si>
    <t>Ontario business limit</t>
  </si>
  <si>
    <t>Small business deduction rate</t>
  </si>
  <si>
    <t>Small business deduction</t>
  </si>
  <si>
    <t>Ontario small business deduction as percent of regulatory taxable income</t>
  </si>
  <si>
    <t>Federal surtax</t>
  </si>
  <si>
    <t>Gross up rate</t>
  </si>
  <si>
    <t>E.L.K. Energy Inc.</t>
  </si>
  <si>
    <t>Provincial business limit</t>
  </si>
  <si>
    <t>Small business deduction claw back - surtax</t>
  </si>
  <si>
    <t>Surtax rate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</si>
</sst>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0.00%;\(0.00%\)"/>
    <numFmt numFmtId="166" formatCode="0.00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vertical="top"/>
    </xf>
    <xf numFmtId="10" fontId="0" fillId="0" borderId="0" xfId="2" applyNumberFormat="1" applyFont="1"/>
    <xf numFmtId="10" fontId="0" fillId="0" borderId="1" xfId="2" applyNumberFormat="1" applyFont="1" applyBorder="1"/>
    <xf numFmtId="165" fontId="0" fillId="0" borderId="0" xfId="2" applyNumberFormat="1" applyFont="1" applyAlignment="1">
      <alignment vertical="top"/>
    </xf>
    <xf numFmtId="166" fontId="0" fillId="0" borderId="0" xfId="2" applyNumberFormat="1" applyFont="1"/>
    <xf numFmtId="164" fontId="0" fillId="0" borderId="0" xfId="1" applyNumberFormat="1" applyFont="1" applyFill="1"/>
    <xf numFmtId="164" fontId="2" fillId="0" borderId="0" xfId="1" applyNumberFormat="1" applyFont="1" applyAlignment="1">
      <alignment wrapText="1"/>
    </xf>
    <xf numFmtId="164" fontId="0" fillId="0" borderId="0" xfId="1" applyNumberFormat="1" applyFont="1" applyFill="1" applyAlignment="1">
      <alignment vertical="top"/>
    </xf>
    <xf numFmtId="164" fontId="0" fillId="0" borderId="1" xfId="1" applyNumberFormat="1" applyFont="1" applyBorder="1"/>
    <xf numFmtId="0" fontId="2" fillId="0" borderId="0" xfId="1" applyNumberFormat="1" applyFont="1" applyFill="1"/>
    <xf numFmtId="164" fontId="0" fillId="0" borderId="1" xfId="1" applyNumberFormat="1" applyFont="1" applyFill="1" applyBorder="1"/>
    <xf numFmtId="165" fontId="0" fillId="0" borderId="0" xfId="2" applyNumberFormat="1" applyFont="1" applyFill="1" applyAlignment="1">
      <alignment vertical="top"/>
    </xf>
    <xf numFmtId="10" fontId="0" fillId="0" borderId="0" xfId="2" applyNumberFormat="1" applyFont="1" applyFill="1"/>
    <xf numFmtId="10" fontId="0" fillId="0" borderId="1" xfId="2" applyNumberFormat="1" applyFont="1" applyFill="1" applyBorder="1"/>
    <xf numFmtId="166" fontId="0" fillId="0" borderId="0" xfId="2" applyNumberFormat="1" applyFont="1" applyFill="1"/>
    <xf numFmtId="164" fontId="0" fillId="0" borderId="0" xfId="1" applyNumberFormat="1" applyFont="1" applyFill="1" applyAlignment="1">
      <alignment wrapText="1"/>
    </xf>
    <xf numFmtId="164" fontId="0" fillId="0" borderId="1" xfId="1" applyNumberFormat="1" applyFont="1" applyBorder="1" applyAlignment="1">
      <alignment vertical="top"/>
    </xf>
    <xf numFmtId="164" fontId="0" fillId="0" borderId="0" xfId="1" applyNumberFormat="1" applyFont="1" applyBorder="1" applyAlignment="1">
      <alignment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4" sqref="J24"/>
    </sheetView>
  </sheetViews>
  <sheetFormatPr defaultRowHeight="15"/>
  <cols>
    <col min="1" max="1" width="30.7109375" style="4" bestFit="1" customWidth="1"/>
    <col min="2" max="2" width="11.5703125" style="10" bestFit="1" customWidth="1"/>
    <col min="3" max="3" width="11.5703125" style="1" bestFit="1" customWidth="1"/>
    <col min="4" max="4" width="12.5703125" style="1" bestFit="1" customWidth="1"/>
    <col min="5" max="6" width="11.5703125" style="1" bestFit="1" customWidth="1"/>
    <col min="7" max="7" width="10.5703125" style="1" bestFit="1" customWidth="1"/>
    <col min="8" max="16384" width="9.140625" style="1"/>
  </cols>
  <sheetData>
    <row r="1" spans="1:6">
      <c r="A1" s="11" t="s">
        <v>23</v>
      </c>
    </row>
    <row r="2" spans="1:6">
      <c r="A2" s="11" t="s">
        <v>9</v>
      </c>
    </row>
    <row r="5" spans="1:6" s="2" customFormat="1">
      <c r="A5" s="3"/>
      <c r="B5" s="14">
        <v>2001</v>
      </c>
      <c r="C5" s="2">
        <v>2002</v>
      </c>
      <c r="D5" s="2">
        <v>2003</v>
      </c>
      <c r="E5" s="2">
        <v>2004</v>
      </c>
      <c r="F5" s="2">
        <v>2005</v>
      </c>
    </row>
    <row r="6" spans="1:6" ht="30">
      <c r="A6" s="11" t="s">
        <v>11</v>
      </c>
    </row>
    <row r="7" spans="1:6">
      <c r="A7" s="4" t="s">
        <v>4</v>
      </c>
      <c r="B7" s="10">
        <v>120726</v>
      </c>
      <c r="C7" s="1">
        <v>623099</v>
      </c>
      <c r="D7" s="1">
        <v>623099</v>
      </c>
      <c r="E7" s="1">
        <f>D7</f>
        <v>623099</v>
      </c>
      <c r="F7" s="1">
        <v>734042</v>
      </c>
    </row>
    <row r="8" spans="1:6">
      <c r="A8" s="4" t="s">
        <v>0</v>
      </c>
      <c r="B8" s="10">
        <f>200000*92/365</f>
        <v>50410.95890410959</v>
      </c>
      <c r="C8" s="1">
        <v>200000</v>
      </c>
      <c r="D8" s="1">
        <v>225000</v>
      </c>
      <c r="E8" s="1">
        <v>250000</v>
      </c>
      <c r="F8" s="1">
        <v>300000</v>
      </c>
    </row>
    <row r="9" spans="1:6">
      <c r="A9" s="4" t="s">
        <v>1</v>
      </c>
      <c r="B9" s="10">
        <v>0</v>
      </c>
      <c r="C9" s="1">
        <v>2402</v>
      </c>
      <c r="D9" s="1">
        <f>C44</f>
        <v>11647.572749999999</v>
      </c>
      <c r="E9" s="1">
        <f t="shared" ref="E9:F9" si="0">D44</f>
        <v>26177.116499999996</v>
      </c>
      <c r="F9" s="1">
        <f t="shared" si="0"/>
        <v>26712.927</v>
      </c>
    </row>
    <row r="10" spans="1:6">
      <c r="B10" s="10">
        <v>11250</v>
      </c>
      <c r="C10" s="1">
        <v>11250</v>
      </c>
      <c r="D10" s="1">
        <f>C10</f>
        <v>11250</v>
      </c>
      <c r="E10" s="1">
        <f t="shared" ref="E10:F10" si="1">D10</f>
        <v>11250</v>
      </c>
      <c r="F10" s="1">
        <f t="shared" si="1"/>
        <v>11250</v>
      </c>
    </row>
    <row r="11" spans="1:6">
      <c r="A11" s="4" t="s">
        <v>2</v>
      </c>
      <c r="B11" s="15">
        <f t="shared" ref="B11:F11" si="2">B8*B9/B10</f>
        <v>0</v>
      </c>
      <c r="C11" s="13">
        <f t="shared" si="2"/>
        <v>42702.222222222219</v>
      </c>
      <c r="D11" s="13">
        <f t="shared" si="2"/>
        <v>232951.45499999999</v>
      </c>
      <c r="E11" s="13">
        <f t="shared" si="2"/>
        <v>581713.69999999995</v>
      </c>
      <c r="F11" s="13">
        <f t="shared" si="2"/>
        <v>712344.72</v>
      </c>
    </row>
    <row r="12" spans="1:6">
      <c r="A12" s="4" t="s">
        <v>3</v>
      </c>
      <c r="B12" s="1">
        <f t="shared" ref="B12:C12" si="3">IF(B8-B11&lt;0,B8,B8-B11)</f>
        <v>50410.95890410959</v>
      </c>
      <c r="C12" s="1">
        <f t="shared" si="3"/>
        <v>157297.77777777778</v>
      </c>
      <c r="D12" s="1">
        <f>IF(D8-D11&lt;0,0,D8-D11)</f>
        <v>0</v>
      </c>
      <c r="E12" s="1">
        <f t="shared" ref="E12:F12" si="4">IF(E8-E11&lt;0,0,E8-E11)</f>
        <v>0</v>
      </c>
      <c r="F12" s="1">
        <f t="shared" si="4"/>
        <v>0</v>
      </c>
    </row>
    <row r="13" spans="1:6">
      <c r="B13" s="1"/>
    </row>
    <row r="14" spans="1:6">
      <c r="A14" s="4" t="s">
        <v>24</v>
      </c>
      <c r="B14" s="1"/>
    </row>
    <row r="16" spans="1:6" ht="60">
      <c r="A16" s="4" t="s">
        <v>10</v>
      </c>
      <c r="B16" s="12">
        <f t="shared" ref="B16:C16" si="5">IF(B12&lt;B7,B12*0.16,B7*0.16)</f>
        <v>8065.7534246575342</v>
      </c>
      <c r="C16" s="12">
        <f t="shared" si="5"/>
        <v>25167.644444444446</v>
      </c>
      <c r="D16" s="12">
        <f t="shared" ref="D16:F16" si="6">IF(D12&lt;D7,D12*0.16,D7*0.16)</f>
        <v>0</v>
      </c>
      <c r="E16" s="12">
        <f t="shared" si="6"/>
        <v>0</v>
      </c>
      <c r="F16" s="12">
        <f t="shared" si="6"/>
        <v>0</v>
      </c>
    </row>
    <row r="17" spans="1:7">
      <c r="B17" s="12"/>
      <c r="C17" s="12"/>
      <c r="D17" s="12"/>
      <c r="E17" s="12"/>
      <c r="F17" s="12"/>
    </row>
    <row r="19" spans="1:7" ht="45">
      <c r="A19" s="4" t="s">
        <v>12</v>
      </c>
      <c r="B19" s="16">
        <f>-B16/B7</f>
        <v>-6.681040889831133E-2</v>
      </c>
      <c r="C19" s="8">
        <f>-C16/C7</f>
        <v>-4.0391084634134294E-2</v>
      </c>
      <c r="D19" s="8">
        <f>-D16/D7</f>
        <v>0</v>
      </c>
      <c r="E19" s="8">
        <f>-E16/E7</f>
        <v>0</v>
      </c>
      <c r="F19" s="8">
        <f>-F16/F7</f>
        <v>0</v>
      </c>
    </row>
    <row r="20" spans="1:7">
      <c r="B20" s="16"/>
      <c r="C20" s="8"/>
    </row>
    <row r="21" spans="1:7" ht="30">
      <c r="A21" s="11" t="s">
        <v>13</v>
      </c>
      <c r="B21" s="16"/>
      <c r="C21" s="8"/>
    </row>
    <row r="22" spans="1:7">
      <c r="A22" s="4" t="s">
        <v>17</v>
      </c>
      <c r="B22" s="12">
        <f>80000*92/365+B8</f>
        <v>70575.342465753434</v>
      </c>
      <c r="C22" s="5">
        <v>280000</v>
      </c>
      <c r="D22" s="5">
        <v>200000</v>
      </c>
      <c r="E22" s="1">
        <v>400000</v>
      </c>
      <c r="F22" s="1">
        <v>400000</v>
      </c>
    </row>
    <row r="23" spans="1:7">
      <c r="A23" s="4" t="s">
        <v>18</v>
      </c>
      <c r="B23" s="16">
        <v>6.5000000000000002E-2</v>
      </c>
      <c r="C23" s="8">
        <v>6.5000000000000002E-2</v>
      </c>
      <c r="D23" s="8">
        <v>7.0000000000000007E-2</v>
      </c>
      <c r="E23" s="8">
        <v>8.5000000000000006E-2</v>
      </c>
      <c r="F23" s="8">
        <v>8.5000000000000006E-2</v>
      </c>
      <c r="G23" s="8"/>
    </row>
    <row r="24" spans="1:7">
      <c r="A24" s="4" t="s">
        <v>19</v>
      </c>
      <c r="B24" s="12">
        <f>IF(B22&lt;B7,B22*B23,B7*B23)</f>
        <v>4587.3972602739732</v>
      </c>
      <c r="C24" s="5">
        <f>IF(C22&lt;C7,C22*C23,C7*C23)</f>
        <v>18200</v>
      </c>
      <c r="D24" s="5">
        <f>IF(D22&lt;D7,D22*D23,D7*D23)</f>
        <v>14000.000000000002</v>
      </c>
      <c r="E24" s="5">
        <f>IF(E22&lt;E7,E22*E23,E7*E23)</f>
        <v>34000</v>
      </c>
      <c r="F24" s="5">
        <f>IF(F22&lt;F7,F22*F23,F7*F23)</f>
        <v>34000</v>
      </c>
      <c r="G24" s="5"/>
    </row>
    <row r="25" spans="1:7">
      <c r="A25" s="4" t="s">
        <v>26</v>
      </c>
      <c r="B25" s="8">
        <v>4.3299999999999998E-2</v>
      </c>
      <c r="C25" s="8">
        <v>6.5000000000000002E-2</v>
      </c>
      <c r="D25" s="8">
        <f>E25</f>
        <v>4.6670000000000003E-2</v>
      </c>
      <c r="E25" s="8">
        <v>4.6670000000000003E-2</v>
      </c>
      <c r="F25" s="8">
        <f>E25</f>
        <v>4.6670000000000003E-2</v>
      </c>
      <c r="G25" s="8"/>
    </row>
    <row r="26" spans="1:7" ht="30">
      <c r="A26" s="4" t="s">
        <v>25</v>
      </c>
      <c r="B26" s="5">
        <f t="shared" ref="B26" si="7">-(B7-B22)*B25</f>
        <v>-2171.5234712328761</v>
      </c>
      <c r="C26" s="5">
        <f>-(C7-C22)*C25</f>
        <v>-22301.435000000001</v>
      </c>
      <c r="D26" s="5">
        <f>-(D7-D22)*D25</f>
        <v>-19746.030330000001</v>
      </c>
      <c r="E26" s="5">
        <f>-(E7-E22)*E25</f>
        <v>-10412.030330000001</v>
      </c>
      <c r="F26" s="5">
        <f>-(F7-F22)*F25</f>
        <v>-15589.740140000002</v>
      </c>
      <c r="G26" s="22"/>
    </row>
    <row r="27" spans="1:7">
      <c r="A27" s="4" t="s">
        <v>19</v>
      </c>
      <c r="B27" s="21">
        <f>IF(B24+B26&lt;0,0,B24+B26)</f>
        <v>2415.8737890410971</v>
      </c>
      <c r="C27" s="21">
        <f>IF(C24+C26&lt;0,0,C24+C26)</f>
        <v>0</v>
      </c>
      <c r="D27" s="21">
        <f t="shared" ref="D27:F27" si="8">IF(D24+D26&lt;0,0,D24+D26)</f>
        <v>0</v>
      </c>
      <c r="E27" s="21">
        <f t="shared" si="8"/>
        <v>23587.969669999999</v>
      </c>
      <c r="F27" s="21">
        <f t="shared" si="8"/>
        <v>18410.259859999998</v>
      </c>
      <c r="G27" s="22"/>
    </row>
    <row r="28" spans="1:7">
      <c r="B28" s="16"/>
      <c r="C28" s="8"/>
      <c r="D28" s="8"/>
      <c r="E28" s="8"/>
      <c r="F28" s="8"/>
    </row>
    <row r="29" spans="1:7" ht="45">
      <c r="A29" s="4" t="s">
        <v>20</v>
      </c>
      <c r="B29" s="16">
        <f>B27/B7</f>
        <v>2.0011213732262289E-2</v>
      </c>
      <c r="C29" s="16">
        <f t="shared" ref="C29:F29" si="9">C27/C7</f>
        <v>0</v>
      </c>
      <c r="D29" s="16">
        <f t="shared" si="9"/>
        <v>0</v>
      </c>
      <c r="E29" s="16">
        <f t="shared" si="9"/>
        <v>3.7855893959065891E-2</v>
      </c>
      <c r="F29" s="16">
        <f t="shared" si="9"/>
        <v>2.5080662768615418E-2</v>
      </c>
    </row>
    <row r="30" spans="1:7">
      <c r="B30" s="16"/>
      <c r="C30" s="8"/>
    </row>
    <row r="31" spans="1:7">
      <c r="A31" s="11" t="s">
        <v>14</v>
      </c>
      <c r="B31" s="16"/>
      <c r="C31" s="8"/>
    </row>
    <row r="32" spans="1:7">
      <c r="A32" s="4" t="s">
        <v>7</v>
      </c>
      <c r="B32" s="17">
        <v>0.28120000000000001</v>
      </c>
      <c r="C32" s="6">
        <v>0.26119999999999999</v>
      </c>
      <c r="D32" s="6">
        <v>0.2412</v>
      </c>
      <c r="E32" s="6">
        <v>0.22120000000000001</v>
      </c>
      <c r="F32" s="6">
        <v>0.22120000000000001</v>
      </c>
    </row>
    <row r="33" spans="1:6">
      <c r="A33" s="4" t="s">
        <v>5</v>
      </c>
      <c r="B33" s="17">
        <v>0.125</v>
      </c>
      <c r="C33" s="6">
        <v>0.125</v>
      </c>
      <c r="D33" s="6">
        <v>0.125</v>
      </c>
      <c r="E33" s="6">
        <v>0.14000000000000001</v>
      </c>
      <c r="F33" s="6">
        <v>0.14000000000000001</v>
      </c>
    </row>
    <row r="34" spans="1:6" ht="15" customHeight="1">
      <c r="A34" s="4" t="s">
        <v>15</v>
      </c>
      <c r="B34" s="16">
        <f t="shared" ref="B34:C34" si="10">B19</f>
        <v>-6.681040889831133E-2</v>
      </c>
      <c r="C34" s="8">
        <f t="shared" si="10"/>
        <v>-4.0391084634134294E-2</v>
      </c>
      <c r="D34" s="8">
        <f t="shared" ref="D34:F34" si="11">D19</f>
        <v>0</v>
      </c>
      <c r="E34" s="8">
        <f t="shared" si="11"/>
        <v>0</v>
      </c>
      <c r="F34" s="8">
        <f t="shared" si="11"/>
        <v>0</v>
      </c>
    </row>
    <row r="35" spans="1:6" ht="13.5" customHeight="1">
      <c r="A35" s="4" t="s">
        <v>16</v>
      </c>
      <c r="B35" s="16">
        <f t="shared" ref="B35:C35" si="12">ROUND(-B29,4)</f>
        <v>-0.02</v>
      </c>
      <c r="C35" s="8">
        <f t="shared" si="12"/>
        <v>0</v>
      </c>
      <c r="D35" s="8">
        <f t="shared" ref="D35:F35" si="13">ROUND(-D29,4)</f>
        <v>0</v>
      </c>
      <c r="E35" s="8">
        <f t="shared" si="13"/>
        <v>-3.7900000000000003E-2</v>
      </c>
      <c r="F35" s="8">
        <f t="shared" si="13"/>
        <v>-2.5100000000000001E-2</v>
      </c>
    </row>
    <row r="36" spans="1:6">
      <c r="A36" s="4" t="s">
        <v>6</v>
      </c>
      <c r="B36" s="18">
        <f t="shared" ref="B36:C36" si="14">SUM(B32:B35)</f>
        <v>0.31938959110168863</v>
      </c>
      <c r="C36" s="7">
        <f t="shared" si="14"/>
        <v>0.34580891536586567</v>
      </c>
      <c r="D36" s="7">
        <f t="shared" ref="D36:F36" si="15">SUM(D32:D35)</f>
        <v>0.36619999999999997</v>
      </c>
      <c r="E36" s="7">
        <f t="shared" si="15"/>
        <v>0.32330000000000003</v>
      </c>
      <c r="F36" s="7">
        <f t="shared" si="15"/>
        <v>0.33610000000000001</v>
      </c>
    </row>
    <row r="37" spans="1:6">
      <c r="A37" s="4" t="s">
        <v>21</v>
      </c>
      <c r="B37" s="17">
        <v>1.12E-2</v>
      </c>
      <c r="C37" s="6">
        <f>B37</f>
        <v>1.12E-2</v>
      </c>
      <c r="D37" s="6">
        <f t="shared" ref="D37:F37" si="16">C37</f>
        <v>1.12E-2</v>
      </c>
      <c r="E37" s="6">
        <f t="shared" si="16"/>
        <v>1.12E-2</v>
      </c>
      <c r="F37" s="6">
        <f t="shared" si="16"/>
        <v>1.12E-2</v>
      </c>
    </row>
    <row r="38" spans="1:6">
      <c r="A38" s="4" t="s">
        <v>22</v>
      </c>
      <c r="B38" s="18">
        <f>B36-B37</f>
        <v>0.30818959110168864</v>
      </c>
      <c r="C38" s="7">
        <f t="shared" ref="C38:F38" si="17">C36-C37</f>
        <v>0.33460891536586568</v>
      </c>
      <c r="D38" s="7">
        <f t="shared" si="17"/>
        <v>0.35499999999999998</v>
      </c>
      <c r="E38" s="7">
        <f t="shared" si="17"/>
        <v>0.31210000000000004</v>
      </c>
      <c r="F38" s="7">
        <f t="shared" si="17"/>
        <v>0.32490000000000002</v>
      </c>
    </row>
    <row r="40" spans="1:6">
      <c r="B40" s="19">
        <v>2.2499999999999998E-3</v>
      </c>
      <c r="C40" s="9">
        <f>B40</f>
        <v>2.2499999999999998E-3</v>
      </c>
      <c r="D40" s="9">
        <f>C40</f>
        <v>2.2499999999999998E-3</v>
      </c>
      <c r="E40" s="9">
        <f t="shared" ref="E40:F40" si="18">D40</f>
        <v>2.2499999999999998E-3</v>
      </c>
      <c r="F40" s="9">
        <f t="shared" si="18"/>
        <v>2.2499999999999998E-3</v>
      </c>
    </row>
    <row r="41" spans="1:6" s="10" customFormat="1">
      <c r="A41" s="20" t="s">
        <v>8</v>
      </c>
      <c r="B41" s="10">
        <v>14235539</v>
      </c>
      <c r="C41" s="10">
        <v>15176699</v>
      </c>
      <c r="D41" s="10">
        <v>16611448</v>
      </c>
      <c r="E41" s="10">
        <f>11388852+5200000-990000+340419+248996+653229</f>
        <v>16841496</v>
      </c>
      <c r="F41" s="10">
        <f>12530638+889729+1517733+4550000-1128000</f>
        <v>18360100</v>
      </c>
    </row>
    <row r="42" spans="1:6">
      <c r="C42" s="1">
        <v>10000000</v>
      </c>
      <c r="D42" s="1">
        <v>4977174</v>
      </c>
      <c r="E42" s="1">
        <v>4969084</v>
      </c>
      <c r="F42" s="1">
        <v>7443322</v>
      </c>
    </row>
    <row r="43" spans="1:6">
      <c r="C43" s="1">
        <f>C41-C42</f>
        <v>5176699</v>
      </c>
      <c r="D43" s="1">
        <f t="shared" ref="D43:F43" si="19">D41-D42</f>
        <v>11634274</v>
      </c>
      <c r="E43" s="1">
        <f t="shared" si="19"/>
        <v>11872412</v>
      </c>
      <c r="F43" s="1">
        <f t="shared" si="19"/>
        <v>10916778</v>
      </c>
    </row>
    <row r="44" spans="1:6">
      <c r="C44" s="1">
        <f>C40*C43</f>
        <v>11647.572749999999</v>
      </c>
      <c r="D44" s="1">
        <f t="shared" ref="D44:F44" si="20">D40*D43</f>
        <v>26177.116499999996</v>
      </c>
      <c r="E44" s="1">
        <f t="shared" si="20"/>
        <v>26712.927</v>
      </c>
      <c r="F44" s="1">
        <f t="shared" si="20"/>
        <v>24562.750499999998</v>
      </c>
    </row>
  </sheetData>
  <pageMargins left="0.3" right="0.22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KPMG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Lois Ouellette</dc:creator>
  <cp:lastModifiedBy>Lois Ouellette</cp:lastModifiedBy>
  <cp:lastPrinted>2012-05-14T15:53:51Z</cp:lastPrinted>
  <dcterms:created xsi:type="dcterms:W3CDTF">2012-03-26T16:40:52Z</dcterms:created>
  <dcterms:modified xsi:type="dcterms:W3CDTF">2013-02-14T17:27:05Z</dcterms:modified>
</cp:coreProperties>
</file>