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40" windowHeight="12240" activeTab="0"/>
  </bookViews>
  <sheets>
    <sheet name="2001-2006 1562 Summary" sheetId="1" r:id="rId1"/>
    <sheet name="Board Approvals" sheetId="2" r:id="rId2"/>
    <sheet name="Proxy in Rates" sheetId="3" r:id="rId3"/>
    <sheet name="Pro-rated PILs proxy" sheetId="4" r:id="rId4"/>
    <sheet name="Interest" sheetId="5" r:id="rId5"/>
  </sheets>
  <definedNames>
    <definedName name="_xlnm.Print_Area" localSheetId="0">'2001-2006 1562 Summary'!$A$1:$O$75</definedName>
    <definedName name="_xlnm.Print_Area" localSheetId="4">'Interest'!$A:$I</definedName>
    <definedName name="_xlnm.Print_Titles" localSheetId="4">'Interest'!$1:$2</definedName>
  </definedNames>
  <calcPr fullCalcOnLoad="1"/>
</workbook>
</file>

<file path=xl/comments5.xml><?xml version="1.0" encoding="utf-8"?>
<comments xmlns="http://schemas.openxmlformats.org/spreadsheetml/2006/main">
  <authors>
    <author>Lois Ouellette</author>
  </authors>
  <commentList>
    <comment ref="C4" authorId="0">
      <text>
        <r>
          <rPr>
            <b/>
            <sz val="9"/>
            <rFont val="Tahoma"/>
            <family val="2"/>
          </rPr>
          <t>Lois Ouellette:</t>
        </r>
        <r>
          <rPr>
            <sz val="9"/>
            <rFont val="Tahoma"/>
            <family val="2"/>
          </rPr>
          <t xml:space="preserve">
Enter as a negative
</t>
        </r>
      </text>
    </comment>
  </commentList>
</comments>
</file>

<file path=xl/sharedStrings.xml><?xml version="1.0" encoding="utf-8"?>
<sst xmlns="http://schemas.openxmlformats.org/spreadsheetml/2006/main" count="168" uniqueCount="132">
  <si>
    <t xml:space="preserve">Analysis of PILs Tax Account 1562: </t>
  </si>
  <si>
    <t>Sign Convention: + for increase;  - for decrease</t>
  </si>
  <si>
    <t>Year start:</t>
  </si>
  <si>
    <t>Year end:</t>
  </si>
  <si>
    <t>Total</t>
  </si>
  <si>
    <t>Opening balance:</t>
  </si>
  <si>
    <t>=</t>
  </si>
  <si>
    <t>Board-approved PILs tax proxy from Decisions    (1)</t>
  </si>
  <si>
    <t>+/-</t>
  </si>
  <si>
    <t>PILs proxy from April 1, 2005 - input 9/12 of amount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</si>
  <si>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</si>
  <si>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</si>
  <si>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</si>
  <si>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</si>
  <si>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</si>
  <si>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</si>
  <si>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PILs billed to (collected from) customers             (8)</t>
  </si>
  <si>
    <t>-</t>
  </si>
  <si>
    <t xml:space="preserve">Ending balance: # 1562 </t>
  </si>
  <si>
    <t>Uncollected PILs</t>
  </si>
  <si>
    <r>
      <t>NOTE:</t>
    </r>
    <r>
      <rPr>
        <sz val="11"/>
        <color theme="1"/>
        <rFont val="Calibri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</si>
  <si>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</si>
  <si>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</si>
  <si>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>Method 1 (I.e. Alternative 1 per APH FAQ April 2003 Q.1)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</si>
  <si>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</si>
  <si>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</si>
  <si>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        If the Board gave more than one decision in the year, calculate a weighted average proxy. </t>
  </si>
  <si>
    <t xml:space="preserve">     (ii) 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</si>
  <si>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</si>
  <si>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</si>
  <si>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</si>
  <si>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</si>
  <si>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</si>
  <si>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</si>
  <si>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</si>
  <si>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</si>
  <si>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</si>
  <si>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</si>
  <si>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</si>
  <si>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</si>
  <si>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</si>
  <si>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</si>
  <si>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</si>
  <si>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</si>
  <si>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    The 2005 PILs tax proxy is being recovered on a volumetric basis by class.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</si>
  <si>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</si>
  <si>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</si>
  <si>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</si>
  <si>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</si>
  <si>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</si>
  <si>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</si>
  <si>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</si>
  <si>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</si>
  <si>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>(9) Any interim PILs recovery from Board Decisions will be recorded in APH Account # 1590.  Final reconciliation of PILs proxy taxes</t>
  </si>
  <si>
    <t xml:space="preserve">     will have to include amounts from 1562 and from 1590.</t>
  </si>
  <si>
    <t xml:space="preserve"> </t>
  </si>
  <si>
    <t>Board Approved Proxy</t>
  </si>
  <si>
    <t>Case</t>
  </si>
  <si>
    <t>Decision</t>
  </si>
  <si>
    <t xml:space="preserve">Effective </t>
  </si>
  <si>
    <t>Reference</t>
  </si>
  <si>
    <t>Date</t>
  </si>
  <si>
    <t xml:space="preserve">Date of </t>
  </si>
  <si>
    <t>Rates</t>
  </si>
  <si>
    <t>2001 Proxy</t>
  </si>
  <si>
    <t>2002 Proxy</t>
  </si>
  <si>
    <t>2005 Proxy</t>
  </si>
  <si>
    <t>EB-XXXX-XX</t>
  </si>
  <si>
    <t>Utility Name: Niagara-on-the-Lake Hydro Inc.</t>
  </si>
  <si>
    <t>Amount</t>
  </si>
  <si>
    <t>Proxy</t>
  </si>
  <si>
    <t>Board</t>
  </si>
  <si>
    <t>Adjustments</t>
  </si>
  <si>
    <t>Approved</t>
  </si>
  <si>
    <t>Submitted</t>
  </si>
  <si>
    <t xml:space="preserve">Number </t>
  </si>
  <si>
    <t xml:space="preserve">Year  </t>
  </si>
  <si>
    <t>APH</t>
  </si>
  <si>
    <t>Included in Rates for the Year Shown</t>
  </si>
  <si>
    <t>of months</t>
  </si>
  <si>
    <t>of recovery</t>
  </si>
  <si>
    <t>Included</t>
  </si>
  <si>
    <t>of proxy</t>
  </si>
  <si>
    <t>of</t>
  </si>
  <si>
    <t>in Rates</t>
  </si>
  <si>
    <t>Collection</t>
  </si>
  <si>
    <t>2001 Fourth Quarter Proxy</t>
  </si>
  <si>
    <t xml:space="preserve">NOTES: </t>
  </si>
  <si>
    <t>2)  For APH purposes, the 4th quarter 2001 PILs proxy starts on October 1, 2001.</t>
  </si>
  <si>
    <t>3)  For APH purposes, the 2002 PILs proxy starts on January 1, 2002.</t>
  </si>
  <si>
    <t>Totals</t>
  </si>
  <si>
    <t>Proxy Amount by Recovery Year</t>
  </si>
  <si>
    <t xml:space="preserve">1)  Rate recovery is based on a monthly rate derived for a 12-month period. </t>
  </si>
  <si>
    <t>Month</t>
  </si>
  <si>
    <t>Billed Amount</t>
  </si>
  <si>
    <t>Checksum</t>
  </si>
  <si>
    <t>Subtotal</t>
  </si>
  <si>
    <t>Interest Rate</t>
  </si>
  <si>
    <t>Annual</t>
  </si>
  <si>
    <t/>
  </si>
  <si>
    <t>PILs Proxy Accrual</t>
  </si>
  <si>
    <t>True-up Variance Adjustment</t>
  </si>
  <si>
    <t>Deferral Account Variance Adjustment</t>
  </si>
  <si>
    <t>Ending Balance</t>
  </si>
  <si>
    <t>Carrying Charge</t>
  </si>
  <si>
    <t>Opening Balance</t>
  </si>
  <si>
    <t>Period</t>
  </si>
  <si>
    <t>GRAND TOTAL TO DEC 2006</t>
  </si>
  <si>
    <t>Balance at April 30, 2012</t>
  </si>
  <si>
    <t>RP-2005-0013/
EB2005-0021</t>
  </si>
  <si>
    <t>2004 Proxy</t>
  </si>
  <si>
    <t>RP-2004-0040/
EB-2004-0026</t>
  </si>
  <si>
    <t>RP-2002-0055/
EB-2002-0064</t>
  </si>
  <si>
    <t>Unbilled @ April/06</t>
  </si>
  <si>
    <t>PILs TAXES</t>
  </si>
  <si>
    <t>Utility name:  E.L.K. Energy Inc.</t>
  </si>
  <si>
    <t>Reporting period:  2001 to 2006</t>
  </si>
  <si>
    <t>E.L.K. Energy Inc.</t>
  </si>
  <si>
    <t>Pro-rated PILs Proxy</t>
  </si>
  <si>
    <t>Period from May 1/02 to Feb 28/04</t>
  </si>
  <si>
    <t>2001 PILs proxy</t>
  </si>
  <si>
    <t>2002 PILs proxy</t>
  </si>
  <si>
    <t xml:space="preserve">Total </t>
  </si>
  <si>
    <t>Pro-rated PILs proxy per month</t>
  </si>
  <si>
    <t>Pro-rated PILs proxy May 1/02 to Feb 28/04</t>
  </si>
  <si>
    <t>Full proxy before proration May 1/02 to Feb 28/04</t>
  </si>
  <si>
    <t>Difference adjusted in 2002 proxy</t>
  </si>
  <si>
    <t>Monthly adjustment</t>
  </si>
  <si>
    <t>Monthly 2002 before proration</t>
  </si>
  <si>
    <t>Pro-rated monthly 2002 proxy</t>
  </si>
  <si>
    <t># of months from May 1/02 to Mar 31/04</t>
  </si>
  <si>
    <t xml:space="preserve">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</si>
</sst>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rgb="FF9C0006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3" fontId="0" fillId="34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 quotePrefix="1">
      <alignment horizontal="center" vertical="top"/>
      <protection locked="0"/>
    </xf>
    <xf numFmtId="3" fontId="33" fillId="29" borderId="1" xfId="47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 vertical="top"/>
      <protection locked="0"/>
    </xf>
    <xf numFmtId="3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vertical="center" wrapText="1"/>
      <protection locked="0"/>
    </xf>
    <xf numFmtId="9" fontId="0" fillId="0" borderId="0" xfId="57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3" fontId="0" fillId="33" borderId="12" xfId="0" applyNumberFormat="1" applyFill="1" applyBorder="1" applyAlignment="1" applyProtection="1">
      <alignment/>
      <protection/>
    </xf>
    <xf numFmtId="0" fontId="2" fillId="35" borderId="0" xfId="0" applyFont="1" applyFill="1" applyAlignment="1" applyProtection="1">
      <alignment vertical="top"/>
      <protection locked="0"/>
    </xf>
    <xf numFmtId="0" fontId="0" fillId="35" borderId="0" xfId="0" applyFill="1" applyAlignment="1" applyProtection="1">
      <alignment vertical="top"/>
      <protection locked="0"/>
    </xf>
    <xf numFmtId="37" fontId="0" fillId="35" borderId="0" xfId="0" applyNumberFormat="1" applyFill="1" applyBorder="1" applyAlignment="1" applyProtection="1">
      <alignment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horizontal="center" vertical="top"/>
      <protection locked="0"/>
    </xf>
    <xf numFmtId="3" fontId="0" fillId="36" borderId="0" xfId="0" applyNumberFormat="1" applyFill="1" applyBorder="1" applyAlignment="1" applyProtection="1">
      <alignment/>
      <protection locked="0"/>
    </xf>
    <xf numFmtId="3" fontId="0" fillId="36" borderId="0" xfId="0" applyNumberFormat="1" applyFill="1" applyBorder="1" applyAlignment="1" applyProtection="1">
      <alignment/>
      <protection/>
    </xf>
    <xf numFmtId="37" fontId="0" fillId="36" borderId="0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5" fillId="35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5" fillId="0" borderId="0" xfId="0" applyNumberFormat="1" applyFont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/>
      <protection locked="0"/>
    </xf>
    <xf numFmtId="165" fontId="5" fillId="0" borderId="0" xfId="0" applyNumberFormat="1" applyFont="1" applyAlignment="1" applyProtection="1" quotePrefix="1">
      <alignment horizontal="center" vertical="center"/>
      <protection locked="0"/>
    </xf>
    <xf numFmtId="166" fontId="0" fillId="0" borderId="0" xfId="44" applyNumberFormat="1" applyFont="1" applyAlignment="1">
      <alignment vertical="center"/>
    </xf>
    <xf numFmtId="166" fontId="0" fillId="33" borderId="13" xfId="44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43" fontId="0" fillId="0" borderId="0" xfId="42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0" fillId="0" borderId="12" xfId="0" applyNumberFormat="1" applyBorder="1" applyAlignment="1" applyProtection="1">
      <alignment vertical="top"/>
      <protection locked="0"/>
    </xf>
    <xf numFmtId="166" fontId="0" fillId="0" borderId="0" xfId="44" applyNumberFormat="1" applyFont="1" applyAlignment="1" applyProtection="1">
      <alignment vertical="top"/>
      <protection locked="0"/>
    </xf>
    <xf numFmtId="166" fontId="0" fillId="4" borderId="13" xfId="44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17" fontId="44" fillId="0" borderId="0" xfId="0" applyNumberFormat="1" applyFont="1" applyAlignment="1">
      <alignment/>
    </xf>
    <xf numFmtId="167" fontId="44" fillId="0" borderId="0" xfId="42" applyNumberFormat="1" applyFont="1" applyAlignment="1">
      <alignment/>
    </xf>
    <xf numFmtId="0" fontId="44" fillId="0" borderId="0" xfId="0" applyFont="1" applyAlignment="1">
      <alignment horizontal="right"/>
    </xf>
    <xf numFmtId="167" fontId="44" fillId="0" borderId="12" xfId="42" applyNumberFormat="1" applyFont="1" applyBorder="1" applyAlignment="1">
      <alignment/>
    </xf>
    <xf numFmtId="167" fontId="44" fillId="0" borderId="12" xfId="0" applyNumberFormat="1" applyFont="1" applyBorder="1" applyAlignment="1">
      <alignment/>
    </xf>
    <xf numFmtId="43" fontId="44" fillId="0" borderId="0" xfId="0" applyNumberFormat="1" applyFont="1" applyAlignment="1">
      <alignment/>
    </xf>
    <xf numFmtId="43" fontId="44" fillId="0" borderId="0" xfId="42" applyFont="1" applyAlignment="1">
      <alignment/>
    </xf>
    <xf numFmtId="167" fontId="45" fillId="0" borderId="12" xfId="42" applyNumberFormat="1" applyFont="1" applyBorder="1" applyAlignment="1">
      <alignment/>
    </xf>
    <xf numFmtId="167" fontId="44" fillId="0" borderId="0" xfId="42" applyNumberFormat="1" applyFont="1" applyBorder="1" applyAlignment="1">
      <alignment/>
    </xf>
    <xf numFmtId="167" fontId="44" fillId="0" borderId="0" xfId="0" applyNumberFormat="1" applyFont="1" applyBorder="1" applyAlignment="1">
      <alignment/>
    </xf>
    <xf numFmtId="167" fontId="44" fillId="37" borderId="0" xfId="42" applyNumberFormat="1" applyFont="1" applyFill="1" applyAlignment="1">
      <alignment/>
    </xf>
    <xf numFmtId="167" fontId="44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167" fontId="45" fillId="0" borderId="0" xfId="42" applyNumberFormat="1" applyFont="1" applyAlignment="1">
      <alignment horizontal="center" vertical="center" wrapText="1"/>
    </xf>
    <xf numFmtId="0" fontId="44" fillId="0" borderId="0" xfId="0" applyFont="1" applyAlignment="1">
      <alignment wrapText="1"/>
    </xf>
    <xf numFmtId="167" fontId="0" fillId="0" borderId="0" xfId="0" applyNumberFormat="1" applyAlignment="1">
      <alignment/>
    </xf>
    <xf numFmtId="167" fontId="46" fillId="0" borderId="0" xfId="42" applyNumberFormat="1" applyFont="1" applyAlignment="1">
      <alignment/>
    </xf>
    <xf numFmtId="0" fontId="46" fillId="37" borderId="0" xfId="0" applyFont="1" applyFill="1" applyAlignment="1">
      <alignment/>
    </xf>
    <xf numFmtId="167" fontId="46" fillId="37" borderId="0" xfId="0" applyNumberFormat="1" applyFont="1" applyFill="1" applyAlignment="1">
      <alignment/>
    </xf>
    <xf numFmtId="167" fontId="47" fillId="37" borderId="0" xfId="39" applyNumberFormat="1" applyFont="1" applyFill="1" applyAlignment="1">
      <alignment/>
    </xf>
    <xf numFmtId="0" fontId="44" fillId="0" borderId="0" xfId="0" applyFont="1" applyAlignment="1" quotePrefix="1">
      <alignment/>
    </xf>
    <xf numFmtId="43" fontId="44" fillId="37" borderId="0" xfId="42" applyFont="1" applyFill="1" applyAlignment="1">
      <alignment/>
    </xf>
    <xf numFmtId="10" fontId="44" fillId="0" borderId="0" xfId="57" applyNumberFormat="1" applyFont="1" applyAlignment="1">
      <alignment/>
    </xf>
    <xf numFmtId="167" fontId="44" fillId="0" borderId="0" xfId="42" applyNumberFormat="1" applyFont="1" applyFill="1" applyAlignment="1">
      <alignment/>
    </xf>
    <xf numFmtId="167" fontId="44" fillId="0" borderId="0" xfId="42" applyNumberFormat="1" applyFont="1" applyFill="1" applyBorder="1" applyAlignment="1">
      <alignment/>
    </xf>
    <xf numFmtId="43" fontId="44" fillId="0" borderId="0" xfId="42" applyFont="1" applyFill="1" applyAlignment="1">
      <alignment/>
    </xf>
    <xf numFmtId="43" fontId="44" fillId="38" borderId="0" xfId="42" applyFont="1" applyFill="1" applyAlignment="1">
      <alignment/>
    </xf>
    <xf numFmtId="17" fontId="44" fillId="0" borderId="0" xfId="0" applyNumberFormat="1" applyFont="1" applyAlignment="1">
      <alignment wrapText="1"/>
    </xf>
    <xf numFmtId="10" fontId="44" fillId="0" borderId="0" xfId="42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2" applyFont="1" applyAlignment="1">
      <alignment/>
    </xf>
    <xf numFmtId="167" fontId="45" fillId="0" borderId="0" xfId="42" applyNumberFormat="1" applyFont="1" applyAlignment="1">
      <alignment/>
    </xf>
    <xf numFmtId="166" fontId="45" fillId="0" borderId="0" xfId="44" applyNumberFormat="1" applyFont="1" applyAlignment="1">
      <alignment/>
    </xf>
    <xf numFmtId="3" fontId="33" fillId="39" borderId="1" xfId="47" applyNumberFormat="1" applyFill="1" applyBorder="1" applyAlignment="1" applyProtection="1">
      <alignment/>
      <protection locked="0"/>
    </xf>
    <xf numFmtId="3" fontId="0" fillId="40" borderId="0" xfId="0" applyNumberFormat="1" applyFill="1" applyAlignment="1" applyProtection="1">
      <alignment/>
      <protection locked="0"/>
    </xf>
    <xf numFmtId="43" fontId="45" fillId="0" borderId="0" xfId="42" applyFont="1" applyAlignment="1" applyProtection="1">
      <alignment horizontal="center" vertical="center" wrapText="1"/>
      <protection locked="0"/>
    </xf>
    <xf numFmtId="167" fontId="44" fillId="0" borderId="0" xfId="42" applyNumberFormat="1" applyFont="1" applyAlignment="1" applyProtection="1">
      <alignment/>
      <protection locked="0"/>
    </xf>
    <xf numFmtId="167" fontId="44" fillId="0" borderId="12" xfId="42" applyNumberFormat="1" applyFont="1" applyBorder="1" applyAlignment="1" applyProtection="1">
      <alignment/>
      <protection locked="0"/>
    </xf>
    <xf numFmtId="43" fontId="44" fillId="0" borderId="0" xfId="42" applyFont="1" applyAlignment="1" applyProtection="1">
      <alignment/>
      <protection locked="0"/>
    </xf>
    <xf numFmtId="167" fontId="44" fillId="0" borderId="12" xfId="0" applyNumberFormat="1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67" fontId="44" fillId="39" borderId="0" xfId="42" applyNumberFormat="1" applyFont="1" applyFill="1" applyAlignment="1" applyProtection="1">
      <alignment/>
      <protection locked="0"/>
    </xf>
    <xf numFmtId="43" fontId="44" fillId="37" borderId="0" xfId="42" applyFont="1" applyFill="1" applyAlignment="1" applyProtection="1">
      <alignment/>
      <protection locked="0"/>
    </xf>
    <xf numFmtId="167" fontId="45" fillId="0" borderId="12" xfId="42" applyNumberFormat="1" applyFont="1" applyBorder="1" applyAlignment="1" applyProtection="1">
      <alignment/>
      <protection locked="0"/>
    </xf>
    <xf numFmtId="167" fontId="46" fillId="37" borderId="0" xfId="0" applyNumberFormat="1" applyFont="1" applyFill="1" applyAlignment="1" applyProtection="1">
      <alignment/>
      <protection locked="0"/>
    </xf>
    <xf numFmtId="43" fontId="44" fillId="38" borderId="0" xfId="42" applyFont="1" applyFill="1" applyAlignment="1" applyProtection="1">
      <alignment/>
      <protection locked="0"/>
    </xf>
    <xf numFmtId="43" fontId="45" fillId="0" borderId="0" xfId="42" applyFont="1" applyAlignment="1" applyProtection="1">
      <alignment/>
      <protection locked="0"/>
    </xf>
    <xf numFmtId="167" fontId="44" fillId="0" borderId="0" xfId="42" applyNumberFormat="1" applyFont="1" applyFill="1" applyAlignment="1" applyProtection="1">
      <alignment/>
      <protection locked="0"/>
    </xf>
    <xf numFmtId="167" fontId="44" fillId="0" borderId="0" xfId="42" applyNumberFormat="1" applyFont="1" applyFill="1" applyBorder="1" applyAlignment="1" applyProtection="1">
      <alignment/>
      <protection locked="0"/>
    </xf>
    <xf numFmtId="43" fontId="44" fillId="0" borderId="0" xfId="42" applyFont="1" applyFill="1" applyAlignment="1" applyProtection="1">
      <alignment/>
      <protection locked="0"/>
    </xf>
    <xf numFmtId="167" fontId="47" fillId="37" borderId="0" xfId="39" applyNumberFormat="1" applyFont="1" applyFill="1" applyAlignment="1" applyProtection="1">
      <alignment/>
      <protection locked="0"/>
    </xf>
    <xf numFmtId="166" fontId="0" fillId="0" borderId="0" xfId="44" applyNumberFormat="1" applyFont="1" applyFill="1" applyBorder="1" applyAlignment="1" applyProtection="1">
      <alignment vertical="center"/>
      <protection/>
    </xf>
    <xf numFmtId="43" fontId="44" fillId="0" borderId="0" xfId="42" applyFont="1" applyAlignment="1">
      <alignment horizontal="center" vertical="center" wrapText="1"/>
    </xf>
    <xf numFmtId="43" fontId="45" fillId="0" borderId="12" xfId="42" applyFont="1" applyBorder="1" applyAlignment="1" applyProtection="1">
      <alignment horizontal="center" vertical="center" wrapText="1"/>
      <protection locked="0"/>
    </xf>
    <xf numFmtId="167" fontId="44" fillId="0" borderId="0" xfId="42" applyNumberFormat="1" applyFont="1" applyAlignment="1">
      <alignment horizontal="center" vertical="center" wrapText="1"/>
    </xf>
    <xf numFmtId="167" fontId="45" fillId="0" borderId="0" xfId="0" applyNumberFormat="1" applyFont="1" applyAlignment="1">
      <alignment horizontal="center" vertical="center" wrapText="1"/>
    </xf>
    <xf numFmtId="167" fontId="44" fillId="0" borderId="0" xfId="0" applyNumberFormat="1" applyFont="1" applyAlignment="1">
      <alignment horizontal="center" vertical="center" wrapText="1"/>
    </xf>
    <xf numFmtId="43" fontId="44" fillId="38" borderId="0" xfId="42" applyFont="1" applyFill="1" applyAlignment="1" applyProtection="1">
      <alignment/>
      <protection/>
    </xf>
    <xf numFmtId="0" fontId="44" fillId="37" borderId="0" xfId="0" applyFont="1" applyFill="1" applyAlignment="1" applyProtection="1">
      <alignment/>
      <protection/>
    </xf>
    <xf numFmtId="43" fontId="44" fillId="0" borderId="0" xfId="42" applyFont="1" applyAlignment="1" applyProtection="1">
      <alignment/>
      <protection/>
    </xf>
    <xf numFmtId="167" fontId="0" fillId="0" borderId="0" xfId="42" applyNumberFormat="1" applyFont="1" applyAlignment="1">
      <alignment wrapText="1"/>
    </xf>
    <xf numFmtId="167" fontId="0" fillId="0" borderId="0" xfId="42" applyNumberFormat="1" applyFont="1" applyAlignment="1">
      <alignment/>
    </xf>
    <xf numFmtId="167" fontId="0" fillId="0" borderId="14" xfId="42" applyNumberFormat="1" applyFont="1" applyBorder="1" applyAlignment="1">
      <alignment/>
    </xf>
    <xf numFmtId="167" fontId="0" fillId="0" borderId="0" xfId="42" applyNumberFormat="1" applyFont="1" applyAlignment="1">
      <alignment wrapText="1"/>
    </xf>
    <xf numFmtId="3" fontId="33" fillId="29" borderId="1" xfId="47" applyNumberFormat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33" fillId="29" borderId="1" xfId="47" applyNumberFormat="1" applyBorder="1" applyAlignment="1" applyProtection="1">
      <alignment/>
      <protection locked="0"/>
    </xf>
    <xf numFmtId="167" fontId="44" fillId="0" borderId="0" xfId="42" applyNumberFormat="1" applyFont="1" applyAlignment="1">
      <alignment/>
    </xf>
    <xf numFmtId="167" fontId="44" fillId="0" borderId="0" xfId="42" applyNumberFormat="1" applyFont="1" applyAlignment="1">
      <alignment/>
    </xf>
    <xf numFmtId="167" fontId="44" fillId="0" borderId="0" xfId="42" applyNumberFormat="1" applyFont="1" applyFill="1" applyAlignment="1">
      <alignment/>
    </xf>
    <xf numFmtId="167" fontId="44" fillId="0" borderId="0" xfId="42" applyNumberFormat="1" applyFont="1" applyAlignment="1" applyProtection="1">
      <alignment/>
      <protection locked="0"/>
    </xf>
    <xf numFmtId="0" fontId="0" fillId="35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tabSelected="1" view="pageBreakPreview" zoomScaleSheetLayoutView="100" zoomScalePageLayoutView="0" workbookViewId="0" topLeftCell="A4">
      <selection activeCell="F22" sqref="F22"/>
    </sheetView>
  </sheetViews>
  <sheetFormatPr defaultColWidth="9.140625" defaultRowHeight="15"/>
  <cols>
    <col min="1" max="1" width="51.00390625" style="2" customWidth="1"/>
    <col min="2" max="2" width="5.28125" style="2" customWidth="1"/>
    <col min="3" max="3" width="12.7109375" style="2" customWidth="1"/>
    <col min="4" max="4" width="3.140625" style="2" customWidth="1"/>
    <col min="5" max="5" width="12.7109375" style="2" customWidth="1"/>
    <col min="6" max="6" width="3.7109375" style="2" customWidth="1"/>
    <col min="7" max="7" width="12.7109375" style="2" customWidth="1"/>
    <col min="8" max="8" width="3.28125" style="2" customWidth="1"/>
    <col min="9" max="9" width="12.7109375" style="2" customWidth="1"/>
    <col min="10" max="10" width="3.28125" style="2" customWidth="1"/>
    <col min="11" max="11" width="12.7109375" style="2" customWidth="1"/>
    <col min="12" max="12" width="3.57421875" style="2" customWidth="1"/>
    <col min="13" max="13" width="12.7109375" style="2" customWidth="1"/>
    <col min="14" max="14" width="3.28125" style="2" customWidth="1"/>
    <col min="15" max="15" width="14.421875" style="2" customWidth="1"/>
    <col min="16" max="16" width="3.7109375" style="2" customWidth="1"/>
    <col min="17" max="17" width="13.00390625" style="2" customWidth="1"/>
    <col min="18" max="18" width="3.7109375" style="2" customWidth="1"/>
    <col min="19" max="19" width="12.8515625" style="2" customWidth="1"/>
    <col min="20" max="20" width="3.7109375" style="2" customWidth="1"/>
    <col min="21" max="21" width="13.8515625" style="2" customWidth="1"/>
    <col min="22" max="22" width="3.7109375" style="2" customWidth="1"/>
    <col min="23" max="23" width="12.140625" style="2" customWidth="1"/>
    <col min="24" max="16384" width="9.140625" style="2" customWidth="1"/>
  </cols>
  <sheetData>
    <row r="1" ht="15">
      <c r="A1" s="1" t="s">
        <v>114</v>
      </c>
    </row>
    <row r="2" spans="1:2" ht="15">
      <c r="A2" s="3" t="s">
        <v>0</v>
      </c>
      <c r="B2" s="3"/>
    </row>
    <row r="3" spans="1:15" ht="15">
      <c r="A3" s="3" t="s">
        <v>115</v>
      </c>
      <c r="O3" s="4"/>
    </row>
    <row r="4" spans="1:15" ht="15">
      <c r="A4" s="3" t="s">
        <v>116</v>
      </c>
      <c r="E4" s="5" t="s">
        <v>1</v>
      </c>
      <c r="F4" s="6"/>
      <c r="G4" s="6"/>
      <c r="H4" s="6"/>
      <c r="I4" s="6"/>
      <c r="O4" s="4"/>
    </row>
    <row r="5" spans="4:7" ht="15">
      <c r="D5" s="7"/>
      <c r="E5" s="7"/>
      <c r="F5" s="7"/>
      <c r="G5" s="7"/>
    </row>
    <row r="6" spans="1:15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15.75" thickTop="1"/>
    <row r="8" spans="1:13" ht="15">
      <c r="A8" s="3" t="s">
        <v>2</v>
      </c>
      <c r="C8" s="9">
        <v>37165</v>
      </c>
      <c r="E8" s="9">
        <v>37257</v>
      </c>
      <c r="G8" s="9">
        <v>37622</v>
      </c>
      <c r="I8" s="9">
        <v>37987</v>
      </c>
      <c r="K8" s="9">
        <v>38353</v>
      </c>
      <c r="M8" s="9">
        <v>38718</v>
      </c>
    </row>
    <row r="9" spans="1:15" ht="15">
      <c r="A9" s="3" t="s">
        <v>3</v>
      </c>
      <c r="C9" s="10">
        <v>37256</v>
      </c>
      <c r="E9" s="10">
        <v>37621</v>
      </c>
      <c r="G9" s="10">
        <v>37986</v>
      </c>
      <c r="I9" s="10">
        <v>38352</v>
      </c>
      <c r="K9" s="10">
        <v>38717</v>
      </c>
      <c r="M9" s="10">
        <v>38837</v>
      </c>
      <c r="O9" s="11" t="s">
        <v>4</v>
      </c>
    </row>
    <row r="10" spans="1:8" ht="15">
      <c r="A10" s="3"/>
      <c r="F10" s="7"/>
      <c r="H10" s="7"/>
    </row>
    <row r="11" spans="1:15" ht="20.25" customHeight="1">
      <c r="A11" s="12" t="s">
        <v>5</v>
      </c>
      <c r="B11" s="13" t="s">
        <v>6</v>
      </c>
      <c r="C11" s="14">
        <v>0</v>
      </c>
      <c r="D11" s="15"/>
      <c r="E11" s="16">
        <f>C22</f>
        <v>0</v>
      </c>
      <c r="F11" s="17"/>
      <c r="G11" s="16">
        <f>E22</f>
        <v>87611.46866847825</v>
      </c>
      <c r="H11" s="17"/>
      <c r="I11" s="16">
        <f>G22</f>
        <v>124557.57134057966</v>
      </c>
      <c r="J11" s="15"/>
      <c r="K11" s="16">
        <f>I22</f>
        <v>71158.34374999988</v>
      </c>
      <c r="L11" s="15"/>
      <c r="M11" s="16">
        <f>K22</f>
        <v>-47934.7871875001</v>
      </c>
      <c r="N11" s="15"/>
      <c r="O11" s="16">
        <f>C11</f>
        <v>0</v>
      </c>
    </row>
    <row r="12" spans="1:17" ht="27" customHeight="1">
      <c r="A12" s="12" t="s">
        <v>7</v>
      </c>
      <c r="B12" s="18" t="s">
        <v>8</v>
      </c>
      <c r="C12" s="19"/>
      <c r="D12" s="20"/>
      <c r="E12" s="137">
        <v>332057.04347826086</v>
      </c>
      <c r="F12" s="21"/>
      <c r="G12" s="138">
        <v>498085.5652173913</v>
      </c>
      <c r="H12" s="21"/>
      <c r="I12" s="139">
        <v>432212.64130434784</v>
      </c>
      <c r="J12" s="20"/>
      <c r="K12" s="140">
        <v>102563.75</v>
      </c>
      <c r="L12" s="20"/>
      <c r="M12" s="141">
        <v>96378</v>
      </c>
      <c r="N12" s="20"/>
      <c r="O12" s="16">
        <f aca="true" t="shared" si="0" ref="O12:O20">SUM(C12:N12)</f>
        <v>1461297</v>
      </c>
      <c r="Q12" s="23"/>
    </row>
    <row r="13" spans="1:15" ht="27" customHeight="1">
      <c r="A13" s="12" t="s">
        <v>9</v>
      </c>
      <c r="B13" s="18"/>
      <c r="C13" s="24"/>
      <c r="D13" s="21"/>
      <c r="E13" s="24"/>
      <c r="F13" s="21"/>
      <c r="G13" s="24"/>
      <c r="H13" s="21"/>
      <c r="I13" s="24"/>
      <c r="J13" s="20"/>
      <c r="K13" s="19">
        <f>'Board Approvals'!G14/12*9</f>
        <v>216850.5</v>
      </c>
      <c r="L13" s="20"/>
      <c r="M13" s="24"/>
      <c r="N13" s="20"/>
      <c r="O13" s="16">
        <f t="shared" si="0"/>
        <v>216850.5</v>
      </c>
    </row>
    <row r="14" spans="1:15" ht="15">
      <c r="A14" s="12" t="s">
        <v>10</v>
      </c>
      <c r="B14" s="18" t="s">
        <v>8</v>
      </c>
      <c r="C14" s="24"/>
      <c r="D14" s="20"/>
      <c r="E14" s="106">
        <v>40997</v>
      </c>
      <c r="F14" s="21"/>
      <c r="G14" s="25"/>
      <c r="H14" s="21"/>
      <c r="I14" s="25"/>
      <c r="J14" s="20"/>
      <c r="K14" s="24"/>
      <c r="L14" s="20"/>
      <c r="M14" s="24"/>
      <c r="N14" s="20"/>
      <c r="O14" s="16">
        <f t="shared" si="0"/>
        <v>40997</v>
      </c>
    </row>
    <row r="15" spans="1:15" ht="27" customHeight="1">
      <c r="A15" s="12" t="s">
        <v>11</v>
      </c>
      <c r="B15" s="18" t="s">
        <v>8</v>
      </c>
      <c r="C15" s="24"/>
      <c r="D15" s="20"/>
      <c r="E15" s="25"/>
      <c r="F15" s="21"/>
      <c r="G15" s="106">
        <v>46147</v>
      </c>
      <c r="H15" s="21"/>
      <c r="I15" s="106">
        <v>-32924</v>
      </c>
      <c r="J15" s="20"/>
      <c r="K15" s="106">
        <v>-4722</v>
      </c>
      <c r="L15" s="20"/>
      <c r="M15" s="107">
        <v>-1589</v>
      </c>
      <c r="N15" s="20"/>
      <c r="O15" s="16">
        <f t="shared" si="0"/>
        <v>6912</v>
      </c>
    </row>
    <row r="16" spans="1:15" ht="27" customHeight="1">
      <c r="A16" s="12" t="s">
        <v>12</v>
      </c>
      <c r="B16" s="18"/>
      <c r="C16" s="24"/>
      <c r="D16" s="20"/>
      <c r="E16" s="24"/>
      <c r="F16" s="21"/>
      <c r="G16" s="24"/>
      <c r="H16" s="21"/>
      <c r="I16" s="24" t="s">
        <v>131</v>
      </c>
      <c r="J16" s="20"/>
      <c r="K16" s="24"/>
      <c r="L16" s="20"/>
      <c r="M16" s="24"/>
      <c r="N16" s="20"/>
      <c r="O16" s="16">
        <f t="shared" si="0"/>
        <v>0</v>
      </c>
    </row>
    <row r="17" spans="1:15" ht="27.75" customHeight="1">
      <c r="A17" s="12" t="s">
        <v>13</v>
      </c>
      <c r="B17" s="18" t="s">
        <v>8</v>
      </c>
      <c r="C17" s="24"/>
      <c r="D17" s="20"/>
      <c r="E17" s="19">
        <v>-5843</v>
      </c>
      <c r="F17" s="21"/>
      <c r="G17" s="106">
        <v>-44708</v>
      </c>
      <c r="H17" s="21"/>
      <c r="I17" s="106">
        <v>-59025</v>
      </c>
      <c r="J17" s="20"/>
      <c r="K17" s="106">
        <v>-56975</v>
      </c>
      <c r="L17" s="20"/>
      <c r="M17" s="22">
        <v>66435</v>
      </c>
      <c r="N17" s="20"/>
      <c r="O17" s="16">
        <f t="shared" si="0"/>
        <v>-100116</v>
      </c>
    </row>
    <row r="18" spans="1:15" ht="15">
      <c r="A18" s="12" t="s">
        <v>14</v>
      </c>
      <c r="B18" s="18" t="s">
        <v>8</v>
      </c>
      <c r="C18" s="24"/>
      <c r="D18" s="20"/>
      <c r="E18" s="24"/>
      <c r="F18" s="21"/>
      <c r="G18" s="24"/>
      <c r="H18" s="21"/>
      <c r="I18" s="24"/>
      <c r="J18" s="20"/>
      <c r="K18" s="24"/>
      <c r="L18" s="20"/>
      <c r="M18" s="24"/>
      <c r="N18" s="20"/>
      <c r="O18" s="16">
        <f t="shared" si="0"/>
        <v>0</v>
      </c>
    </row>
    <row r="19" spans="1:17" ht="24" customHeight="1">
      <c r="A19" s="26" t="s">
        <v>15</v>
      </c>
      <c r="B19" s="18" t="s">
        <v>8</v>
      </c>
      <c r="C19" s="24">
        <f>Interest!I7</f>
        <v>0</v>
      </c>
      <c r="D19" s="20"/>
      <c r="E19" s="106">
        <f>Interest!I21</f>
        <v>2655.4251902173914</v>
      </c>
      <c r="F19" s="21"/>
      <c r="G19" s="106">
        <f>Interest!I37</f>
        <v>7376.537454710145</v>
      </c>
      <c r="H19" s="21"/>
      <c r="I19" s="106">
        <f>Interest!I53</f>
        <v>6613.131105072462</v>
      </c>
      <c r="J19" s="20"/>
      <c r="K19" s="106">
        <f>Interest!I69</f>
        <v>408.61906249999606</v>
      </c>
      <c r="L19" s="20"/>
      <c r="M19" s="107">
        <f>Interest!I78</f>
        <v>-1975.4879000000014</v>
      </c>
      <c r="N19" s="20"/>
      <c r="O19" s="16">
        <f t="shared" si="0"/>
        <v>15078.224912499993</v>
      </c>
      <c r="Q19" s="23"/>
    </row>
    <row r="20" spans="1:17" ht="24.75" customHeight="1">
      <c r="A20" s="12" t="s">
        <v>16</v>
      </c>
      <c r="B20" s="18" t="s">
        <v>17</v>
      </c>
      <c r="C20" s="24">
        <v>0</v>
      </c>
      <c r="D20" s="20"/>
      <c r="E20" s="19">
        <f>Interest!C21</f>
        <v>-282255</v>
      </c>
      <c r="F20" s="21"/>
      <c r="G20" s="19">
        <f>Interest!C37</f>
        <v>-469955</v>
      </c>
      <c r="H20" s="21"/>
      <c r="I20" s="19">
        <f>Interest!C53</f>
        <v>-400276</v>
      </c>
      <c r="J20" s="20"/>
      <c r="K20" s="19">
        <f>Interest!C69</f>
        <v>-377219</v>
      </c>
      <c r="L20" s="20"/>
      <c r="M20" s="24">
        <f>Interest!C78</f>
        <v>-172844</v>
      </c>
      <c r="N20" s="20"/>
      <c r="O20" s="16">
        <f t="shared" si="0"/>
        <v>-1702549</v>
      </c>
      <c r="Q20" s="27"/>
    </row>
    <row r="21" spans="1:15" ht="15">
      <c r="A21" s="28"/>
      <c r="C21" s="20"/>
      <c r="D21" s="21"/>
      <c r="E21" s="20"/>
      <c r="F21" s="21"/>
      <c r="G21" s="20"/>
      <c r="H21" s="21"/>
      <c r="I21" s="20"/>
      <c r="J21" s="20"/>
      <c r="K21" s="20"/>
      <c r="L21" s="20"/>
      <c r="M21" s="20"/>
      <c r="N21" s="20"/>
      <c r="O21" s="17"/>
    </row>
    <row r="22" spans="1:15" ht="15.75" thickBot="1">
      <c r="A22" s="12" t="s">
        <v>18</v>
      </c>
      <c r="B22" s="7"/>
      <c r="C22" s="29">
        <f>SUM(C11:C20)</f>
        <v>0</v>
      </c>
      <c r="D22" s="17"/>
      <c r="E22" s="29">
        <f>SUM(E11:E20)</f>
        <v>87611.46866847825</v>
      </c>
      <c r="F22" s="17"/>
      <c r="G22" s="29">
        <f>SUM(G11:G20)</f>
        <v>124557.57134057966</v>
      </c>
      <c r="H22" s="17"/>
      <c r="I22" s="29">
        <f>SUM(I11:I20)</f>
        <v>71158.34374999988</v>
      </c>
      <c r="J22" s="15"/>
      <c r="K22" s="29">
        <f>SUM(K11:K20)</f>
        <v>-47934.7871875001</v>
      </c>
      <c r="L22" s="15"/>
      <c r="M22" s="29">
        <f>SUM(M11:M21)</f>
        <v>-61530.27508750011</v>
      </c>
      <c r="N22" s="15"/>
      <c r="O22" s="29">
        <f>SUM(O11:O21)</f>
        <v>-61530.27508749999</v>
      </c>
    </row>
    <row r="23" spans="1:15" ht="15.75" thickTop="1">
      <c r="A23" s="30"/>
      <c r="B23" s="31"/>
      <c r="C23" s="32"/>
      <c r="D23" s="33"/>
      <c r="E23" s="32"/>
      <c r="F23" s="33"/>
      <c r="G23" s="32"/>
      <c r="H23" s="33"/>
      <c r="I23" s="32"/>
      <c r="J23" s="31"/>
      <c r="K23" s="32"/>
      <c r="L23" s="31"/>
      <c r="M23" s="32"/>
      <c r="N23" s="31"/>
      <c r="O23" s="32"/>
    </row>
    <row r="24" spans="1:15" ht="15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ht="15">
      <c r="A25" s="30"/>
      <c r="B25" s="31"/>
      <c r="C25" s="38"/>
      <c r="D25" s="38"/>
      <c r="E25" s="38"/>
      <c r="F25" s="38"/>
      <c r="G25" s="38"/>
      <c r="H25" s="38"/>
      <c r="I25" s="38"/>
      <c r="J25" s="39"/>
      <c r="K25" s="38"/>
      <c r="L25" s="39"/>
      <c r="M25" s="38"/>
      <c r="N25" s="39"/>
      <c r="O25" s="38"/>
    </row>
    <row r="26" spans="1:15" ht="15">
      <c r="A26" s="30" t="s">
        <v>19</v>
      </c>
      <c r="B26" s="31"/>
      <c r="C26" s="38"/>
      <c r="D26" s="38"/>
      <c r="E26" s="38"/>
      <c r="F26" s="38"/>
      <c r="G26" s="38"/>
      <c r="H26" s="38"/>
      <c r="I26" s="38"/>
      <c r="J26" s="39"/>
      <c r="K26" s="38"/>
      <c r="L26" s="39"/>
      <c r="M26" s="38"/>
      <c r="N26" s="39"/>
      <c r="O26" s="38"/>
    </row>
    <row r="27" spans="1:15" ht="9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40"/>
      <c r="L27" s="31"/>
      <c r="M27" s="31"/>
      <c r="N27" s="31"/>
      <c r="O27" s="31"/>
    </row>
    <row r="28" spans="1:15" ht="15">
      <c r="A28" s="30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">
      <c r="A29" s="41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>
      <c r="A31" s="42" t="s">
        <v>22</v>
      </c>
      <c r="B31" s="43"/>
      <c r="C31" s="43"/>
      <c r="D31" s="43"/>
      <c r="E31" s="43"/>
      <c r="F31" s="43"/>
      <c r="G31" s="43"/>
      <c r="H31" s="43"/>
      <c r="I31" s="44"/>
      <c r="J31" s="25" t="s">
        <v>23</v>
      </c>
      <c r="K31" s="44"/>
      <c r="L31" s="44"/>
      <c r="M31" s="44"/>
      <c r="N31" s="44"/>
      <c r="O31" s="44"/>
    </row>
    <row r="32" spans="1:15" ht="9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>
      <c r="A33" s="147" t="s">
        <v>24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15" ht="15">
      <c r="A34" s="146" t="s">
        <v>25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35" spans="1:15" ht="15">
      <c r="A35" s="146" t="s">
        <v>26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ht="15">
      <c r="A36" s="146" t="s">
        <v>27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</row>
    <row r="37" spans="1:15" ht="15">
      <c r="A37" s="31" t="s">
        <v>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">
      <c r="A38" s="31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">
      <c r="A39" s="31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>
      <c r="A40" s="31" t="s">
        <v>31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9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>
      <c r="A42" s="46" t="s">
        <v>32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">
      <c r="A43" s="31" t="s">
        <v>33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9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">
      <c r="A45" s="46" t="s">
        <v>34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>
      <c r="A46" s="31" t="s">
        <v>35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9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>
      <c r="A48" s="46" t="s">
        <v>36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">
      <c r="A49" s="31" t="s">
        <v>37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9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>
      <c r="A51" s="46" t="s">
        <v>38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5">
      <c r="A52" s="31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9" customHeight="1">
      <c r="A53" s="46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 t="s">
        <v>39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2.75" customHeight="1">
      <c r="A56" s="46" t="s">
        <v>40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5">
      <c r="A58" s="31" t="s">
        <v>41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">
      <c r="A59" s="31" t="s">
        <v>42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">
      <c r="A60" s="31" t="s">
        <v>43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5">
      <c r="A61" s="31" t="s">
        <v>44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9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">
      <c r="A63" s="31" t="s">
        <v>45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">
      <c r="A64" s="31" t="s">
        <v>46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5">
      <c r="A65" s="31" t="s">
        <v>47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3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5">
      <c r="A67" s="31" t="s">
        <v>48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">
      <c r="A68" s="31" t="s">
        <v>49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3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">
      <c r="A70" s="31" t="s">
        <v>50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5">
      <c r="A71" s="31" t="s">
        <v>51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5">
      <c r="A72" s="31" t="s">
        <v>52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9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2.75" customHeight="1">
      <c r="A74" s="146" t="s">
        <v>53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1:15" ht="15">
      <c r="A75" s="31" t="s">
        <v>54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7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5">
      <c r="A91" s="31"/>
      <c r="B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5">
      <c r="A92" s="31"/>
      <c r="B92" s="31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</row>
    <row r="93" spans="1:17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5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">
      <c r="A99" s="31"/>
      <c r="B99" s="31"/>
      <c r="C99" s="31"/>
      <c r="D99" s="31"/>
      <c r="E99" s="31" t="s">
        <v>55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">
      <c r="A100" s="31"/>
      <c r="B100" s="31"/>
      <c r="C100" s="31"/>
      <c r="D100" s="31"/>
      <c r="E100" s="31" t="s">
        <v>55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">
      <c r="A101" s="31"/>
      <c r="B101" s="31"/>
      <c r="C101" s="31"/>
      <c r="D101" s="31"/>
      <c r="E101" s="31" t="s">
        <v>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sheetProtection/>
  <mergeCells count="6">
    <mergeCell ref="C92:Q92"/>
    <mergeCell ref="A33:O33"/>
    <mergeCell ref="A34:O34"/>
    <mergeCell ref="A35:O35"/>
    <mergeCell ref="A36:O36"/>
    <mergeCell ref="A74:O74"/>
  </mergeCells>
  <printOptions gridLines="1" headings="1"/>
  <pageMargins left="0.7" right="0.5" top="0.75" bottom="0.75" header="0.3" footer="0.3"/>
  <pageSetup fitToHeight="1" fitToWidth="1" horizontalDpi="600" verticalDpi="600" orientation="portrait" scale="54" r:id="rId1"/>
  <headerFooter>
    <oddHeader>&amp;L&amp;Z&amp;F&amp;A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SheetLayoutView="100" zoomScalePageLayoutView="0" workbookViewId="0" topLeftCell="A1">
      <selection activeCell="G8" sqref="G8:G10"/>
    </sheetView>
  </sheetViews>
  <sheetFormatPr defaultColWidth="9.140625" defaultRowHeight="15"/>
  <cols>
    <col min="1" max="1" width="31.140625" style="2" customWidth="1"/>
    <col min="2" max="2" width="14.140625" style="2" customWidth="1"/>
    <col min="3" max="3" width="12.00390625" style="2" customWidth="1"/>
    <col min="4" max="4" width="12.8515625" style="2" bestFit="1" customWidth="1"/>
    <col min="5" max="6" width="15.8515625" style="2" customWidth="1"/>
    <col min="7" max="7" width="12.7109375" style="2" customWidth="1"/>
    <col min="8" max="8" width="3.7109375" style="2" customWidth="1"/>
    <col min="9" max="15" width="12.7109375" style="2" customWidth="1"/>
    <col min="16" max="16384" width="9.140625" style="2" customWidth="1"/>
  </cols>
  <sheetData>
    <row r="1" spans="1:4" ht="15">
      <c r="A1" s="3" t="s">
        <v>67</v>
      </c>
      <c r="B1" s="3"/>
      <c r="C1" s="3"/>
      <c r="D1" s="3"/>
    </row>
    <row r="2" spans="1:19" ht="15" customHeight="1">
      <c r="A2" s="3" t="s">
        <v>56</v>
      </c>
      <c r="B2" s="47" t="s">
        <v>57</v>
      </c>
      <c r="C2" s="47" t="s">
        <v>58</v>
      </c>
      <c r="D2" s="47" t="s">
        <v>59</v>
      </c>
      <c r="E2" s="47" t="s">
        <v>74</v>
      </c>
      <c r="F2" s="47" t="s">
        <v>71</v>
      </c>
      <c r="G2" s="47" t="s">
        <v>73</v>
      </c>
      <c r="O2" s="47"/>
      <c r="P2" s="47"/>
      <c r="Q2" s="47"/>
      <c r="R2" s="47"/>
      <c r="S2" s="47"/>
    </row>
    <row r="3" spans="1:19" ht="15">
      <c r="A3" s="3"/>
      <c r="B3" s="47" t="s">
        <v>60</v>
      </c>
      <c r="C3" s="47" t="s">
        <v>61</v>
      </c>
      <c r="D3" s="47" t="s">
        <v>62</v>
      </c>
      <c r="E3" s="47" t="s">
        <v>70</v>
      </c>
      <c r="F3" s="47" t="s">
        <v>72</v>
      </c>
      <c r="G3" s="47" t="s">
        <v>70</v>
      </c>
      <c r="O3" s="47"/>
      <c r="P3" s="47"/>
      <c r="Q3" s="47"/>
      <c r="R3" s="47"/>
      <c r="S3" s="47"/>
    </row>
    <row r="4" spans="1:19" ht="25.5">
      <c r="A4" s="12" t="s">
        <v>68</v>
      </c>
      <c r="B4" s="3"/>
      <c r="C4" s="3"/>
      <c r="D4" s="47" t="s">
        <v>63</v>
      </c>
      <c r="E4" s="47" t="s">
        <v>69</v>
      </c>
      <c r="F4" s="47"/>
      <c r="G4" s="47" t="s">
        <v>69</v>
      </c>
      <c r="O4" s="47"/>
      <c r="P4" s="47"/>
      <c r="Q4" s="47"/>
      <c r="R4" s="47"/>
      <c r="S4" s="47"/>
    </row>
    <row r="5" spans="1:17" ht="15">
      <c r="A5" s="48"/>
      <c r="G5" s="47"/>
      <c r="Q5" s="47"/>
    </row>
    <row r="6" ht="15">
      <c r="D6" s="49"/>
    </row>
    <row r="7" spans="2:4" ht="15">
      <c r="B7" s="3"/>
      <c r="C7" s="3"/>
      <c r="D7" s="50"/>
    </row>
    <row r="8" spans="1:19" s="58" customFormat="1" ht="25.5">
      <c r="A8" s="53" t="s">
        <v>64</v>
      </c>
      <c r="B8" s="26" t="s">
        <v>112</v>
      </c>
      <c r="C8" s="54">
        <v>37313</v>
      </c>
      <c r="D8" s="54">
        <v>37316</v>
      </c>
      <c r="E8" s="55">
        <v>67077</v>
      </c>
      <c r="F8" s="55">
        <v>0</v>
      </c>
      <c r="G8" s="56">
        <f>F8+E8</f>
        <v>67077</v>
      </c>
      <c r="H8" s="57"/>
      <c r="R8" s="57"/>
      <c r="S8" s="57"/>
    </row>
    <row r="9" spans="2:19" s="58" customFormat="1" ht="15">
      <c r="B9" s="59"/>
      <c r="C9" s="60"/>
      <c r="D9" s="60"/>
      <c r="E9" s="61"/>
      <c r="F9" s="61"/>
      <c r="G9" s="61"/>
      <c r="H9" s="57"/>
      <c r="R9" s="57"/>
      <c r="S9" s="57"/>
    </row>
    <row r="10" spans="1:19" s="58" customFormat="1" ht="25.5">
      <c r="A10" s="53" t="s">
        <v>65</v>
      </c>
      <c r="B10" s="26" t="s">
        <v>112</v>
      </c>
      <c r="C10" s="54">
        <v>37313</v>
      </c>
      <c r="D10" s="54">
        <v>37316</v>
      </c>
      <c r="E10" s="55">
        <v>410255</v>
      </c>
      <c r="F10" s="55">
        <v>0</v>
      </c>
      <c r="G10" s="56">
        <f>F10+E10</f>
        <v>410255</v>
      </c>
      <c r="H10" s="57"/>
      <c r="R10" s="57"/>
      <c r="S10" s="57"/>
    </row>
    <row r="11" spans="1:19" s="58" customFormat="1" ht="15">
      <c r="A11" s="53"/>
      <c r="B11" s="26"/>
      <c r="C11" s="54"/>
      <c r="D11" s="54"/>
      <c r="E11" s="55"/>
      <c r="F11" s="55"/>
      <c r="G11" s="124"/>
      <c r="H11" s="57"/>
      <c r="R11" s="57"/>
      <c r="S11" s="57"/>
    </row>
    <row r="12" spans="1:19" s="58" customFormat="1" ht="25.5">
      <c r="A12" s="53" t="s">
        <v>110</v>
      </c>
      <c r="B12" s="26" t="s">
        <v>111</v>
      </c>
      <c r="C12" s="54"/>
      <c r="D12" s="54">
        <v>38047</v>
      </c>
      <c r="E12" s="55">
        <v>410255</v>
      </c>
      <c r="F12" s="55">
        <v>0</v>
      </c>
      <c r="G12" s="56">
        <f>F12+E12</f>
        <v>410255</v>
      </c>
      <c r="H12" s="57"/>
      <c r="R12" s="57"/>
      <c r="S12" s="57"/>
    </row>
    <row r="13" spans="1:19" s="58" customFormat="1" ht="15">
      <c r="A13" s="53"/>
      <c r="B13" s="59"/>
      <c r="C13" s="62"/>
      <c r="D13" s="54"/>
      <c r="E13" s="61"/>
      <c r="F13" s="61"/>
      <c r="G13" s="63"/>
      <c r="H13" s="57"/>
      <c r="R13" s="57"/>
      <c r="S13" s="57"/>
    </row>
    <row r="14" spans="1:19" s="58" customFormat="1" ht="25.5">
      <c r="A14" s="53" t="s">
        <v>66</v>
      </c>
      <c r="B14" s="26" t="s">
        <v>109</v>
      </c>
      <c r="C14" s="54"/>
      <c r="D14" s="54">
        <v>38443</v>
      </c>
      <c r="E14" s="55">
        <v>289134</v>
      </c>
      <c r="F14" s="55">
        <v>0</v>
      </c>
      <c r="G14" s="56">
        <f>SUM(E14:E14)</f>
        <v>289134</v>
      </c>
      <c r="H14" s="57"/>
      <c r="N14" s="57"/>
      <c r="R14" s="57"/>
      <c r="S14" s="57"/>
    </row>
    <row r="15" spans="1:19" ht="15">
      <c r="A15" s="51"/>
      <c r="B15" s="51"/>
      <c r="C15" s="52"/>
      <c r="D15" s="50"/>
      <c r="E15" s="23"/>
      <c r="F15" s="23"/>
      <c r="G15" s="23"/>
      <c r="H15" s="23"/>
      <c r="R15" s="23"/>
      <c r="S15" s="23"/>
    </row>
    <row r="16" spans="1:19" ht="15">
      <c r="A16" s="51"/>
      <c r="B16" s="51"/>
      <c r="C16" s="52"/>
      <c r="D16" s="50"/>
      <c r="E16" s="23"/>
      <c r="F16" s="23"/>
      <c r="G16" s="23"/>
      <c r="H16" s="23"/>
      <c r="R16" s="23"/>
      <c r="S16" s="23"/>
    </row>
    <row r="17" spans="1:19" ht="15">
      <c r="A17" s="51"/>
      <c r="B17" s="51"/>
      <c r="C17" s="52"/>
      <c r="D17" s="52"/>
      <c r="E17" s="23"/>
      <c r="F17" s="23"/>
      <c r="G17" s="23"/>
      <c r="H17" s="23"/>
      <c r="R17" s="23"/>
      <c r="S17" s="23"/>
    </row>
    <row r="18" spans="1:19" ht="15">
      <c r="A18" s="51"/>
      <c r="B18" s="51"/>
      <c r="C18" s="52"/>
      <c r="D18" s="52"/>
      <c r="E18" s="23"/>
      <c r="F18" s="23"/>
      <c r="G18" s="23"/>
      <c r="H18" s="23"/>
      <c r="N18" s="23"/>
      <c r="R18" s="23"/>
      <c r="S18" s="23"/>
    </row>
    <row r="19" spans="1:19" ht="15">
      <c r="A19" s="51"/>
      <c r="B19" s="51"/>
      <c r="C19" s="52"/>
      <c r="D19" s="52"/>
      <c r="E19" s="23"/>
      <c r="F19" s="23"/>
      <c r="G19" s="23"/>
      <c r="H19" s="23"/>
      <c r="R19" s="23"/>
      <c r="S19" s="23"/>
    </row>
    <row r="20" spans="1:19" ht="15">
      <c r="A20" s="51"/>
      <c r="B20" s="51"/>
      <c r="C20" s="52"/>
      <c r="D20" s="52"/>
      <c r="E20" s="23"/>
      <c r="F20" s="23"/>
      <c r="G20" s="23"/>
      <c r="H20" s="23"/>
      <c r="R20" s="23"/>
      <c r="S20" s="23"/>
    </row>
    <row r="21" spans="3:19" ht="15">
      <c r="C21" s="52"/>
      <c r="D21" s="52"/>
      <c r="E21" s="23"/>
      <c r="F21" s="23"/>
      <c r="G21" s="23"/>
      <c r="H21" s="23"/>
      <c r="R21" s="23"/>
      <c r="S21" s="23"/>
    </row>
    <row r="22" spans="1:19" ht="15">
      <c r="A22" s="51"/>
      <c r="B22" s="51"/>
      <c r="C22" s="52"/>
      <c r="D22" s="52"/>
      <c r="E22" s="23"/>
      <c r="F22" s="23"/>
      <c r="G22" s="23"/>
      <c r="H22" s="23"/>
      <c r="R22" s="23"/>
      <c r="S22" s="23"/>
    </row>
    <row r="23" spans="3:19" ht="15">
      <c r="C23" s="52"/>
      <c r="D23" s="52"/>
      <c r="E23" s="23"/>
      <c r="F23" s="23"/>
      <c r="G23" s="23"/>
      <c r="H23" s="23"/>
      <c r="R23" s="23"/>
      <c r="S23" s="23"/>
    </row>
    <row r="24" spans="3:19" ht="15">
      <c r="C24" s="13"/>
      <c r="D24" s="13"/>
      <c r="H24" s="23"/>
      <c r="R24" s="23"/>
      <c r="S24" s="23"/>
    </row>
    <row r="25" spans="1:19" ht="15">
      <c r="A25" s="51"/>
      <c r="B25" s="51"/>
      <c r="C25" s="52"/>
      <c r="D25" s="52"/>
      <c r="E25" s="23"/>
      <c r="F25" s="23"/>
      <c r="G25" s="23"/>
      <c r="H25" s="23"/>
      <c r="R25" s="23"/>
      <c r="S25" s="23"/>
    </row>
    <row r="26" spans="1:19" ht="15">
      <c r="A26" s="51"/>
      <c r="B26" s="51"/>
      <c r="C26" s="52"/>
      <c r="D26" s="52"/>
      <c r="E26" s="23"/>
      <c r="F26" s="23"/>
      <c r="G26" s="23"/>
      <c r="H26" s="23"/>
      <c r="R26" s="23"/>
      <c r="S26" s="23"/>
    </row>
    <row r="27" spans="3:19" ht="15">
      <c r="C27" s="49"/>
      <c r="D27" s="49"/>
      <c r="E27" s="23"/>
      <c r="F27" s="23"/>
      <c r="G27" s="23"/>
      <c r="H27" s="23"/>
      <c r="R27" s="23"/>
      <c r="S27" s="23"/>
    </row>
    <row r="28" spans="3:19" ht="15">
      <c r="C28" s="49"/>
      <c r="D28" s="49"/>
      <c r="E28" s="23"/>
      <c r="F28" s="23"/>
      <c r="G28" s="23"/>
      <c r="H28" s="23"/>
      <c r="R28" s="23"/>
      <c r="S28" s="23"/>
    </row>
    <row r="29" spans="3:19" ht="15">
      <c r="C29" s="49"/>
      <c r="D29" s="49"/>
      <c r="H29" s="23"/>
      <c r="I29" s="23"/>
      <c r="J29" s="23"/>
      <c r="K29" s="23"/>
      <c r="L29" s="23"/>
      <c r="R29" s="23"/>
      <c r="S29" s="23"/>
    </row>
    <row r="30" spans="1:12" ht="15">
      <c r="A30" s="149"/>
      <c r="B30" s="149"/>
      <c r="C30" s="149"/>
      <c r="D30" s="149"/>
      <c r="E30" s="150"/>
      <c r="I30" s="23"/>
      <c r="J30" s="23"/>
      <c r="K30" s="23"/>
      <c r="L30" s="23"/>
    </row>
    <row r="31" spans="1:12" ht="15">
      <c r="A31" s="149"/>
      <c r="B31" s="149"/>
      <c r="C31" s="149"/>
      <c r="D31" s="149"/>
      <c r="E31" s="150"/>
      <c r="F31" s="150"/>
      <c r="G31" s="150"/>
      <c r="I31" s="23"/>
      <c r="J31" s="23"/>
      <c r="K31" s="23"/>
      <c r="L31" s="23"/>
    </row>
    <row r="32" spans="1:12" ht="15">
      <c r="A32" s="149"/>
      <c r="B32" s="149"/>
      <c r="C32" s="149"/>
      <c r="D32" s="149"/>
      <c r="E32" s="150"/>
      <c r="F32" s="150"/>
      <c r="G32" s="150"/>
      <c r="I32" s="23"/>
      <c r="J32" s="23"/>
      <c r="K32" s="23"/>
      <c r="L32" s="23"/>
    </row>
    <row r="33" spans="1:12" ht="15">
      <c r="A33" s="51"/>
      <c r="B33" s="51"/>
      <c r="C33" s="51"/>
      <c r="D33" s="51"/>
      <c r="I33" s="23"/>
      <c r="J33" s="23"/>
      <c r="K33" s="23"/>
      <c r="L33" s="23"/>
    </row>
    <row r="34" spans="1:12" ht="15">
      <c r="A34" s="51"/>
      <c r="B34" s="51"/>
      <c r="C34" s="51"/>
      <c r="D34" s="51"/>
      <c r="I34" s="23"/>
      <c r="J34" s="23"/>
      <c r="K34" s="23"/>
      <c r="L34" s="23"/>
    </row>
    <row r="35" spans="1:12" ht="15">
      <c r="A35" s="51"/>
      <c r="B35" s="51"/>
      <c r="C35" s="51"/>
      <c r="D35" s="51"/>
      <c r="I35" s="23"/>
      <c r="J35" s="23"/>
      <c r="K35" s="23"/>
      <c r="L35" s="23"/>
    </row>
    <row r="36" spans="1:4" ht="15">
      <c r="A36" s="51"/>
      <c r="B36" s="51"/>
      <c r="C36" s="51"/>
      <c r="D36" s="51"/>
    </row>
    <row r="37" spans="1:4" ht="15">
      <c r="A37" s="51"/>
      <c r="B37" s="51"/>
      <c r="C37" s="51"/>
      <c r="D37" s="51"/>
    </row>
    <row r="38" spans="1:4" ht="15">
      <c r="A38" s="51"/>
      <c r="B38" s="51"/>
      <c r="C38" s="51"/>
      <c r="D38" s="51"/>
    </row>
    <row r="39" spans="1:4" ht="15">
      <c r="A39" s="51"/>
      <c r="B39" s="51"/>
      <c r="C39" s="51"/>
      <c r="D39" s="51"/>
    </row>
  </sheetData>
  <sheetProtection/>
  <mergeCells count="3">
    <mergeCell ref="A30:E30"/>
    <mergeCell ref="A31:G31"/>
    <mergeCell ref="A32:G32"/>
  </mergeCells>
  <printOptions gridLines="1" headings="1"/>
  <pageMargins left="0.7" right="0.7" top="0.75" bottom="0.75" header="0.3" footer="0.3"/>
  <pageSetup fitToHeight="1" fitToWidth="1" horizontalDpi="600" verticalDpi="600" orientation="portrait" scale="76" r:id="rId1"/>
  <headerFooter>
    <oddHeader>&amp;L&amp;Z&amp;F&amp;A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4">
      <selection activeCell="D21" sqref="D21"/>
    </sheetView>
  </sheetViews>
  <sheetFormatPr defaultColWidth="9.140625" defaultRowHeight="15"/>
  <cols>
    <col min="1" max="1" width="37.140625" style="2" customWidth="1"/>
    <col min="2" max="2" width="12.7109375" style="58" customWidth="1"/>
    <col min="3" max="3" width="12.7109375" style="13" customWidth="1"/>
    <col min="4" max="4" width="14.57421875" style="13" customWidth="1"/>
    <col min="5" max="6" width="12.7109375" style="2" customWidth="1"/>
    <col min="7" max="7" width="6.28125" style="2" bestFit="1" customWidth="1"/>
    <col min="8" max="16" width="12.7109375" style="2" customWidth="1"/>
    <col min="17" max="16384" width="9.140625" style="2" customWidth="1"/>
  </cols>
  <sheetData>
    <row r="1" spans="1:4" s="58" customFormat="1" ht="15">
      <c r="A1" s="67" t="s">
        <v>67</v>
      </c>
      <c r="C1" s="70"/>
      <c r="D1" s="70"/>
    </row>
    <row r="2" spans="1:7" s="58" customFormat="1" ht="15">
      <c r="A2" s="67" t="s">
        <v>56</v>
      </c>
      <c r="B2" s="68" t="s">
        <v>75</v>
      </c>
      <c r="C2" s="68" t="s">
        <v>76</v>
      </c>
      <c r="D2" s="68" t="s">
        <v>75</v>
      </c>
      <c r="E2" s="68" t="s">
        <v>69</v>
      </c>
      <c r="F2" s="68" t="s">
        <v>77</v>
      </c>
      <c r="G2" s="68"/>
    </row>
    <row r="3" spans="1:12" s="58" customFormat="1" ht="15">
      <c r="A3" s="67" t="s">
        <v>78</v>
      </c>
      <c r="B3" s="68" t="s">
        <v>79</v>
      </c>
      <c r="C3" s="68" t="s">
        <v>80</v>
      </c>
      <c r="D3" s="68" t="s">
        <v>79</v>
      </c>
      <c r="E3" s="68" t="s">
        <v>81</v>
      </c>
      <c r="F3" s="68" t="s">
        <v>70</v>
      </c>
      <c r="G3" s="68"/>
      <c r="H3" s="151" t="s">
        <v>91</v>
      </c>
      <c r="I3" s="152"/>
      <c r="J3" s="152"/>
      <c r="K3" s="152"/>
      <c r="L3" s="153"/>
    </row>
    <row r="4" spans="1:12" s="58" customFormat="1" ht="25.5">
      <c r="A4" s="26" t="s">
        <v>68</v>
      </c>
      <c r="B4" s="68" t="s">
        <v>82</v>
      </c>
      <c r="C4" s="70"/>
      <c r="D4" s="68" t="s">
        <v>83</v>
      </c>
      <c r="E4" s="68" t="s">
        <v>84</v>
      </c>
      <c r="F4" s="68" t="s">
        <v>69</v>
      </c>
      <c r="G4" s="68"/>
      <c r="H4" s="69">
        <v>2002</v>
      </c>
      <c r="I4" s="69">
        <v>2003</v>
      </c>
      <c r="J4" s="69">
        <v>2004</v>
      </c>
      <c r="K4" s="69">
        <v>2005</v>
      </c>
      <c r="L4" s="69">
        <v>2006</v>
      </c>
    </row>
    <row r="5" ht="15">
      <c r="D5" s="47" t="s">
        <v>85</v>
      </c>
    </row>
    <row r="8" spans="1:8" ht="15">
      <c r="A8" s="51" t="s">
        <v>86</v>
      </c>
      <c r="B8" s="70">
        <v>3</v>
      </c>
      <c r="C8" s="13">
        <v>2002</v>
      </c>
      <c r="D8" s="13">
        <v>10</v>
      </c>
      <c r="E8" s="56">
        <f>'Board Approvals'!G8</f>
        <v>67077</v>
      </c>
      <c r="F8" s="65">
        <f>E8</f>
        <v>67077</v>
      </c>
      <c r="G8" s="23"/>
      <c r="H8" s="66">
        <f>F8</f>
        <v>67077</v>
      </c>
    </row>
    <row r="9" spans="1:8" ht="15">
      <c r="A9" s="51"/>
      <c r="B9" s="70"/>
      <c r="E9" s="23"/>
      <c r="F9" s="23"/>
      <c r="G9" s="23"/>
      <c r="H9" s="23"/>
    </row>
    <row r="10" spans="1:9" ht="15">
      <c r="A10" s="51" t="s">
        <v>86</v>
      </c>
      <c r="B10" s="70">
        <v>3</v>
      </c>
      <c r="C10" s="13">
        <v>2003</v>
      </c>
      <c r="D10" s="13">
        <v>12</v>
      </c>
      <c r="E10" s="56">
        <f>'Board Approvals'!G8</f>
        <v>67077</v>
      </c>
      <c r="F10" s="65">
        <f>E10</f>
        <v>67077</v>
      </c>
      <c r="G10" s="23"/>
      <c r="H10" s="23"/>
      <c r="I10" s="66">
        <f>F10</f>
        <v>67077</v>
      </c>
    </row>
    <row r="11" spans="2:8" ht="15">
      <c r="B11" s="70"/>
      <c r="E11" s="23"/>
      <c r="F11" s="23"/>
      <c r="G11" s="23"/>
      <c r="H11" s="23"/>
    </row>
    <row r="12" spans="1:10" ht="15">
      <c r="A12" s="51" t="s">
        <v>86</v>
      </c>
      <c r="B12" s="70">
        <v>3</v>
      </c>
      <c r="C12" s="13">
        <v>2004</v>
      </c>
      <c r="D12" s="13">
        <v>2</v>
      </c>
      <c r="E12" s="56">
        <f>'Board Approvals'!G8</f>
        <v>67077</v>
      </c>
      <c r="F12" s="65">
        <f>D12/12*E12</f>
        <v>11179.5</v>
      </c>
      <c r="G12" s="23"/>
      <c r="H12" s="23"/>
      <c r="J12" s="66">
        <f>F12</f>
        <v>11179.5</v>
      </c>
    </row>
    <row r="13" spans="2:8" ht="15">
      <c r="B13" s="70"/>
      <c r="E13" s="23"/>
      <c r="F13" s="23"/>
      <c r="G13" s="23"/>
      <c r="H13" s="23"/>
    </row>
    <row r="14" spans="2:8" ht="15">
      <c r="B14" s="70"/>
      <c r="E14" s="23"/>
      <c r="F14" s="23"/>
      <c r="G14" s="23"/>
      <c r="H14" s="23"/>
    </row>
    <row r="15" spans="1:8" ht="15">
      <c r="A15" s="51" t="s">
        <v>65</v>
      </c>
      <c r="B15" s="70">
        <v>12</v>
      </c>
      <c r="C15" s="13">
        <v>2002</v>
      </c>
      <c r="D15" s="13">
        <v>10</v>
      </c>
      <c r="E15" s="56">
        <f>'Board Approvals'!G10</f>
        <v>410255</v>
      </c>
      <c r="F15" s="65">
        <f>E15</f>
        <v>410255</v>
      </c>
      <c r="G15" s="23"/>
      <c r="H15" s="66">
        <f>F15</f>
        <v>410255</v>
      </c>
    </row>
    <row r="16" spans="1:8" ht="15">
      <c r="A16" s="51"/>
      <c r="B16" s="70"/>
      <c r="E16" s="23"/>
      <c r="F16" s="23"/>
      <c r="G16" s="23"/>
      <c r="H16" s="23"/>
    </row>
    <row r="17" spans="1:9" ht="15">
      <c r="A17" s="51" t="s">
        <v>65</v>
      </c>
      <c r="B17" s="70">
        <v>12</v>
      </c>
      <c r="C17" s="13">
        <v>2003</v>
      </c>
      <c r="D17" s="13">
        <v>12</v>
      </c>
      <c r="E17" s="56">
        <f>'Board Approvals'!G10</f>
        <v>410255</v>
      </c>
      <c r="F17" s="65">
        <f>E17</f>
        <v>410255</v>
      </c>
      <c r="G17" s="23"/>
      <c r="H17" s="23"/>
      <c r="I17" s="66">
        <f>F17</f>
        <v>410255</v>
      </c>
    </row>
    <row r="18" spans="1:8" ht="15">
      <c r="A18" s="51"/>
      <c r="B18" s="70"/>
      <c r="E18" s="23"/>
      <c r="F18" s="23"/>
      <c r="G18" s="23"/>
      <c r="H18" s="23"/>
    </row>
    <row r="19" spans="1:10" ht="15">
      <c r="A19" s="51" t="s">
        <v>65</v>
      </c>
      <c r="B19" s="70">
        <v>12</v>
      </c>
      <c r="C19" s="13">
        <v>2004</v>
      </c>
      <c r="D19" s="13">
        <v>12</v>
      </c>
      <c r="E19" s="56">
        <f>'Board Approvals'!G10</f>
        <v>410255</v>
      </c>
      <c r="F19" s="65">
        <f>E19</f>
        <v>410255</v>
      </c>
      <c r="G19" s="23"/>
      <c r="H19" s="23"/>
      <c r="J19" s="66">
        <f>F19</f>
        <v>410255</v>
      </c>
    </row>
    <row r="20" spans="1:8" ht="15">
      <c r="A20" s="51"/>
      <c r="B20" s="70"/>
      <c r="E20" s="23"/>
      <c r="F20" s="23"/>
      <c r="G20" s="23"/>
      <c r="H20" s="23"/>
    </row>
    <row r="21" spans="1:11" ht="15">
      <c r="A21" s="51" t="s">
        <v>65</v>
      </c>
      <c r="B21" s="70">
        <v>12</v>
      </c>
      <c r="C21" s="13">
        <v>2005</v>
      </c>
      <c r="D21" s="13">
        <v>3</v>
      </c>
      <c r="E21" s="56">
        <f>'Board Approvals'!G10</f>
        <v>410255</v>
      </c>
      <c r="F21" s="65">
        <f>D21/12*E21</f>
        <v>102563.75</v>
      </c>
      <c r="G21" s="23"/>
      <c r="H21" s="23"/>
      <c r="K21" s="66">
        <f>F21</f>
        <v>102563.75</v>
      </c>
    </row>
    <row r="22" spans="2:8" ht="15">
      <c r="B22" s="70"/>
      <c r="E22" s="23"/>
      <c r="F22" s="23"/>
      <c r="G22" s="23"/>
      <c r="H22" s="23"/>
    </row>
    <row r="23" spans="2:8" ht="15">
      <c r="B23" s="70"/>
      <c r="E23" s="23"/>
      <c r="F23" s="23"/>
      <c r="G23" s="23"/>
      <c r="H23" s="23"/>
    </row>
    <row r="24" spans="1:11" ht="15">
      <c r="A24" s="51" t="s">
        <v>66</v>
      </c>
      <c r="B24" s="70">
        <v>12</v>
      </c>
      <c r="C24" s="13">
        <v>2005</v>
      </c>
      <c r="D24" s="13">
        <v>9</v>
      </c>
      <c r="E24" s="56">
        <f>'Board Approvals'!G14</f>
        <v>289134</v>
      </c>
      <c r="F24" s="65">
        <f>D24/12*E24</f>
        <v>216850.5</v>
      </c>
      <c r="G24" s="23"/>
      <c r="H24" s="23"/>
      <c r="K24" s="66">
        <f>F24</f>
        <v>216850.5</v>
      </c>
    </row>
    <row r="25" spans="1:8" ht="15">
      <c r="A25" s="51"/>
      <c r="B25" s="70"/>
      <c r="E25" s="23"/>
      <c r="F25" s="23"/>
      <c r="G25" s="23"/>
      <c r="H25" s="23"/>
    </row>
    <row r="26" spans="1:12" ht="15">
      <c r="A26" s="51" t="s">
        <v>66</v>
      </c>
      <c r="B26" s="70">
        <v>12</v>
      </c>
      <c r="C26" s="13">
        <v>2006</v>
      </c>
      <c r="D26" s="13">
        <v>4</v>
      </c>
      <c r="E26" s="56">
        <f>'Board Approvals'!G14</f>
        <v>289134</v>
      </c>
      <c r="F26" s="65">
        <f>D26/12*E26</f>
        <v>96378</v>
      </c>
      <c r="G26" s="23"/>
      <c r="H26" s="23"/>
      <c r="L26" s="66">
        <f>F26</f>
        <v>96378</v>
      </c>
    </row>
    <row r="27" spans="5:12" ht="15.75" thickBot="1">
      <c r="E27" s="23"/>
      <c r="F27" s="23"/>
      <c r="G27" s="23" t="s">
        <v>90</v>
      </c>
      <c r="H27" s="64">
        <f>SUM(H8:H26)</f>
        <v>477332</v>
      </c>
      <c r="I27" s="64">
        <f>SUM(I8:I26)</f>
        <v>477332</v>
      </c>
      <c r="J27" s="64">
        <f>SUM(J8:J26)</f>
        <v>421434.5</v>
      </c>
      <c r="K27" s="64">
        <f>SUM(K8:K26)</f>
        <v>319414.25</v>
      </c>
      <c r="L27" s="64">
        <f>SUM(L8:L26)</f>
        <v>96378</v>
      </c>
    </row>
    <row r="28" spans="5:8" ht="15.75" thickTop="1">
      <c r="E28" s="23"/>
      <c r="F28" s="23"/>
      <c r="G28" s="23"/>
      <c r="H28" s="23"/>
    </row>
    <row r="29" spans="5:8" ht="15">
      <c r="E29" s="23"/>
      <c r="F29" s="23"/>
      <c r="G29" s="23"/>
      <c r="H29" s="23"/>
    </row>
    <row r="30" spans="1:5" ht="15">
      <c r="A30" s="149" t="s">
        <v>87</v>
      </c>
      <c r="B30" s="150"/>
      <c r="C30" s="150"/>
      <c r="D30" s="150"/>
      <c r="E30" s="150"/>
    </row>
    <row r="31" spans="1:6" ht="15">
      <c r="A31" s="149" t="s">
        <v>92</v>
      </c>
      <c r="B31" s="150"/>
      <c r="C31" s="150"/>
      <c r="D31" s="150"/>
      <c r="E31" s="150"/>
      <c r="F31" s="150"/>
    </row>
    <row r="32" spans="1:6" ht="15">
      <c r="A32" s="149" t="s">
        <v>88</v>
      </c>
      <c r="B32" s="150"/>
      <c r="C32" s="150"/>
      <c r="D32" s="150"/>
      <c r="E32" s="150"/>
      <c r="F32" s="150"/>
    </row>
    <row r="33" ht="15">
      <c r="A33" s="51" t="s">
        <v>89</v>
      </c>
    </row>
    <row r="34" ht="15">
      <c r="A34" s="51"/>
    </row>
    <row r="35" ht="15">
      <c r="A35" s="51"/>
    </row>
    <row r="36" ht="15">
      <c r="A36" s="51"/>
    </row>
    <row r="37" ht="15">
      <c r="A37" s="51"/>
    </row>
    <row r="38" ht="15">
      <c r="A38" s="51"/>
    </row>
    <row r="39" ht="15">
      <c r="A39" s="51"/>
    </row>
  </sheetData>
  <sheetProtection/>
  <mergeCells count="4">
    <mergeCell ref="A30:E30"/>
    <mergeCell ref="A31:F31"/>
    <mergeCell ref="A32:F32"/>
    <mergeCell ref="H3:L3"/>
  </mergeCells>
  <printOptions gridLines="1" headings="1"/>
  <pageMargins left="0.7" right="0.7" top="0.75" bottom="0.75" header="0.3" footer="0.3"/>
  <pageSetup fitToHeight="1" fitToWidth="1" horizontalDpi="600" verticalDpi="600" orientation="landscape" scale="69" r:id="rId1"/>
  <headerFooter>
    <oddHeader>&amp;L&amp;Z&amp;F&amp;A</oddHeader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3.00390625" style="0" customWidth="1"/>
    <col min="2" max="2" width="10.57421875" style="0" bestFit="1" customWidth="1"/>
  </cols>
  <sheetData>
    <row r="1" spans="1:2" ht="15">
      <c r="A1" s="133" t="s">
        <v>117</v>
      </c>
      <c r="B1" s="134"/>
    </row>
    <row r="2" spans="1:2" ht="15">
      <c r="A2" s="133" t="s">
        <v>118</v>
      </c>
      <c r="B2" s="134"/>
    </row>
    <row r="3" spans="1:2" ht="15">
      <c r="A3" s="133" t="s">
        <v>119</v>
      </c>
      <c r="B3" s="134"/>
    </row>
    <row r="4" spans="1:2" ht="15">
      <c r="A4" s="133"/>
      <c r="B4" s="134"/>
    </row>
    <row r="5" spans="1:2" ht="15">
      <c r="A5" s="133" t="s">
        <v>120</v>
      </c>
      <c r="B5" s="134">
        <v>67077</v>
      </c>
    </row>
    <row r="6" spans="1:2" ht="15">
      <c r="A6" s="133" t="s">
        <v>121</v>
      </c>
      <c r="B6" s="134">
        <v>410255</v>
      </c>
    </row>
    <row r="7" spans="1:2" ht="15">
      <c r="A7" s="133" t="s">
        <v>122</v>
      </c>
      <c r="B7" s="135">
        <f>SUM(B5:B6)</f>
        <v>477332</v>
      </c>
    </row>
    <row r="8" spans="1:2" ht="15">
      <c r="A8" s="133"/>
      <c r="B8" s="134"/>
    </row>
    <row r="9" spans="1:2" ht="30">
      <c r="A9" s="136" t="s">
        <v>130</v>
      </c>
      <c r="B9" s="134">
        <f>8+12+3</f>
        <v>23</v>
      </c>
    </row>
    <row r="10" spans="1:2" ht="15">
      <c r="A10" s="133" t="s">
        <v>123</v>
      </c>
      <c r="B10" s="135">
        <f>B7/12</f>
        <v>39777.666666666664</v>
      </c>
    </row>
    <row r="11" spans="1:2" ht="15">
      <c r="A11" s="133"/>
      <c r="B11" s="134"/>
    </row>
    <row r="12" spans="1:2" ht="30">
      <c r="A12" s="133" t="s">
        <v>124</v>
      </c>
      <c r="B12" s="135">
        <f>B10*B9</f>
        <v>914886.3333333333</v>
      </c>
    </row>
    <row r="13" spans="1:2" ht="15">
      <c r="A13" s="133"/>
      <c r="B13" s="134"/>
    </row>
    <row r="14" spans="1:2" ht="30">
      <c r="A14" s="133" t="s">
        <v>125</v>
      </c>
      <c r="B14" s="134">
        <f>67077+410255+477332+(35585*2)</f>
        <v>1025834</v>
      </c>
    </row>
    <row r="15" spans="1:2" ht="15">
      <c r="A15" s="133"/>
      <c r="B15" s="134"/>
    </row>
    <row r="16" spans="1:2" ht="15">
      <c r="A16" s="133" t="s">
        <v>126</v>
      </c>
      <c r="B16" s="135">
        <f>B14-B12</f>
        <v>110947.66666666674</v>
      </c>
    </row>
    <row r="17" spans="1:2" ht="15">
      <c r="A17" s="133" t="s">
        <v>127</v>
      </c>
      <c r="B17" s="134">
        <f>B16/12</f>
        <v>9245.638888888896</v>
      </c>
    </row>
    <row r="18" spans="1:2" ht="15">
      <c r="A18" s="133" t="s">
        <v>128</v>
      </c>
      <c r="B18" s="134">
        <v>34188</v>
      </c>
    </row>
    <row r="19" spans="1:2" ht="15">
      <c r="A19" s="133" t="s">
        <v>129</v>
      </c>
      <c r="B19" s="135">
        <f>B18-B17</f>
        <v>24942.361111111102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7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3" sqref="C43"/>
    </sheetView>
  </sheetViews>
  <sheetFormatPr defaultColWidth="9.140625" defaultRowHeight="15"/>
  <cols>
    <col min="1" max="1" width="9.421875" style="71" customWidth="1"/>
    <col min="2" max="2" width="10.57421875" style="71" bestFit="1" customWidth="1"/>
    <col min="3" max="3" width="12.57421875" style="111" bestFit="1" customWidth="1"/>
    <col min="4" max="4" width="10.57421875" style="78" bestFit="1" customWidth="1"/>
    <col min="5" max="5" width="10.421875" style="111" customWidth="1"/>
    <col min="6" max="6" width="10.28125" style="111" bestFit="1" customWidth="1"/>
    <col min="7" max="7" width="18.7109375" style="73" bestFit="1" customWidth="1"/>
    <col min="8" max="8" width="11.7109375" style="78" bestFit="1" customWidth="1"/>
    <col min="9" max="9" width="9.57421875" style="78" bestFit="1" customWidth="1"/>
    <col min="10" max="10" width="4.00390625" style="78" customWidth="1"/>
    <col min="11" max="11" width="11.57421875" style="71" bestFit="1" customWidth="1"/>
    <col min="12" max="13" width="10.57421875" style="71" bestFit="1" customWidth="1"/>
    <col min="14" max="14" width="10.421875" style="78" bestFit="1" customWidth="1"/>
    <col min="15" max="15" width="10.421875" style="78" customWidth="1"/>
    <col min="16" max="16" width="10.28125" style="78" bestFit="1" customWidth="1"/>
    <col min="17" max="17" width="10.57421875" style="73" bestFit="1" customWidth="1"/>
    <col min="18" max="18" width="7.7109375" style="78" bestFit="1" customWidth="1"/>
    <col min="19" max="19" width="9.7109375" style="78" bestFit="1" customWidth="1"/>
    <col min="20" max="16384" width="9.140625" style="71" customWidth="1"/>
  </cols>
  <sheetData>
    <row r="1" ht="12.75"/>
    <row r="2" spans="1:19" s="87" customFormat="1" ht="63.75">
      <c r="A2" s="84" t="s">
        <v>93</v>
      </c>
      <c r="B2" s="84" t="s">
        <v>105</v>
      </c>
      <c r="C2" s="108" t="s">
        <v>94</v>
      </c>
      <c r="D2" s="85" t="s">
        <v>100</v>
      </c>
      <c r="E2" s="108" t="s">
        <v>101</v>
      </c>
      <c r="F2" s="108" t="s">
        <v>102</v>
      </c>
      <c r="G2" s="86" t="s">
        <v>103</v>
      </c>
      <c r="H2" s="85" t="s">
        <v>97</v>
      </c>
      <c r="I2" s="85" t="s">
        <v>104</v>
      </c>
      <c r="J2" s="85"/>
      <c r="K2" s="84"/>
      <c r="L2" s="84"/>
      <c r="M2" s="85"/>
      <c r="N2" s="85"/>
      <c r="O2" s="85"/>
      <c r="P2" s="85"/>
      <c r="Q2" s="86"/>
      <c r="R2" s="85"/>
      <c r="S2" s="85"/>
    </row>
    <row r="3" spans="1:19" s="87" customFormat="1" ht="12.75">
      <c r="A3" s="84"/>
      <c r="B3" s="84"/>
      <c r="C3" s="108"/>
      <c r="D3" s="85"/>
      <c r="E3" s="108"/>
      <c r="F3" s="108"/>
      <c r="G3" s="86"/>
      <c r="H3" s="85"/>
      <c r="I3" s="85"/>
      <c r="J3" s="85"/>
      <c r="K3" s="84"/>
      <c r="L3" s="84"/>
      <c r="M3" s="85"/>
      <c r="N3" s="85"/>
      <c r="O3" s="85"/>
      <c r="P3" s="85"/>
      <c r="Q3" s="86"/>
      <c r="R3" s="85"/>
      <c r="S3" s="85"/>
    </row>
    <row r="4" spans="1:19" s="87" customFormat="1" ht="12.75">
      <c r="A4" s="72">
        <v>37165</v>
      </c>
      <c r="B4" s="84"/>
      <c r="C4" s="108"/>
      <c r="D4" s="125"/>
      <c r="E4" s="108"/>
      <c r="F4" s="108"/>
      <c r="G4" s="127">
        <f>D4</f>
        <v>0</v>
      </c>
      <c r="H4" s="95">
        <v>0.0725</v>
      </c>
      <c r="I4" s="73">
        <f>B4*H4/12</f>
        <v>0</v>
      </c>
      <c r="J4" s="85"/>
      <c r="K4" s="84"/>
      <c r="L4" s="84"/>
      <c r="M4" s="85"/>
      <c r="N4" s="85"/>
      <c r="O4" s="85"/>
      <c r="P4" s="85"/>
      <c r="Q4" s="86"/>
      <c r="R4" s="85"/>
      <c r="S4" s="85"/>
    </row>
    <row r="5" spans="1:19" s="87" customFormat="1" ht="12.75">
      <c r="A5" s="72">
        <v>37196</v>
      </c>
      <c r="B5" s="129">
        <f>G4</f>
        <v>0</v>
      </c>
      <c r="C5" s="108"/>
      <c r="D5" s="125"/>
      <c r="E5" s="108"/>
      <c r="F5" s="108"/>
      <c r="G5" s="127">
        <f>G4+D5</f>
        <v>0</v>
      </c>
      <c r="H5" s="95">
        <f>H4</f>
        <v>0.0725</v>
      </c>
      <c r="I5" s="73">
        <f>B5*H5/12</f>
        <v>0</v>
      </c>
      <c r="J5" s="85"/>
      <c r="K5" s="84"/>
      <c r="L5" s="84"/>
      <c r="M5" s="85"/>
      <c r="N5" s="85"/>
      <c r="O5" s="85"/>
      <c r="P5" s="85"/>
      <c r="Q5" s="86"/>
      <c r="R5" s="85"/>
      <c r="S5" s="85"/>
    </row>
    <row r="6" spans="1:19" s="87" customFormat="1" ht="12.75">
      <c r="A6" s="72">
        <v>37226</v>
      </c>
      <c r="B6" s="129">
        <f>G5</f>
        <v>0</v>
      </c>
      <c r="C6" s="108"/>
      <c r="D6" s="125"/>
      <c r="E6" s="108"/>
      <c r="F6" s="108"/>
      <c r="G6" s="127">
        <f>G5+D6</f>
        <v>0</v>
      </c>
      <c r="H6" s="95">
        <f>H5</f>
        <v>0.0725</v>
      </c>
      <c r="I6" s="73">
        <f>B6*H6/12</f>
        <v>0</v>
      </c>
      <c r="J6" s="85"/>
      <c r="K6" s="84"/>
      <c r="L6" s="84"/>
      <c r="M6" s="85"/>
      <c r="N6" s="85"/>
      <c r="O6" s="85"/>
      <c r="P6" s="85"/>
      <c r="Q6" s="86"/>
      <c r="R6" s="85"/>
      <c r="S6" s="85"/>
    </row>
    <row r="7" spans="1:19" s="87" customFormat="1" ht="13.5" thickBot="1">
      <c r="A7" s="72"/>
      <c r="B7" s="84"/>
      <c r="C7" s="126">
        <f>SUM(C4:C6)</f>
        <v>0</v>
      </c>
      <c r="D7" s="126">
        <f>SUM(D4:D6)</f>
        <v>0</v>
      </c>
      <c r="E7" s="126">
        <f>SUM(E4:E6)</f>
        <v>0</v>
      </c>
      <c r="F7" s="126">
        <f>SUM(F4:F6)</f>
        <v>0</v>
      </c>
      <c r="G7" s="86"/>
      <c r="H7" s="85"/>
      <c r="I7" s="126">
        <f>SUM(I4:I6)</f>
        <v>0</v>
      </c>
      <c r="J7" s="85"/>
      <c r="K7" s="84"/>
      <c r="L7" s="84"/>
      <c r="M7" s="85"/>
      <c r="N7" s="85"/>
      <c r="O7" s="85"/>
      <c r="P7" s="85"/>
      <c r="Q7" s="86"/>
      <c r="R7" s="85"/>
      <c r="S7" s="85"/>
    </row>
    <row r="8" spans="1:19" s="87" customFormat="1" ht="13.5" thickTop="1">
      <c r="A8" s="84"/>
      <c r="B8" s="84"/>
      <c r="C8" s="108"/>
      <c r="D8" s="85"/>
      <c r="E8" s="108"/>
      <c r="F8" s="108"/>
      <c r="G8" s="86"/>
      <c r="H8" s="85"/>
      <c r="I8" s="85"/>
      <c r="J8" s="85"/>
      <c r="K8" s="84"/>
      <c r="L8" s="84"/>
      <c r="M8" s="85"/>
      <c r="N8" s="85"/>
      <c r="O8" s="85"/>
      <c r="P8" s="85"/>
      <c r="Q8" s="86"/>
      <c r="R8" s="85"/>
      <c r="S8" s="85"/>
    </row>
    <row r="9" spans="1:19" s="87" customFormat="1" ht="12.75">
      <c r="A9" s="72">
        <v>37257</v>
      </c>
      <c r="B9" s="128">
        <f>G6</f>
        <v>0</v>
      </c>
      <c r="C9" s="108"/>
      <c r="D9" s="73"/>
      <c r="E9" s="108"/>
      <c r="F9" s="108"/>
      <c r="G9" s="73">
        <f aca="true" t="shared" si="0" ref="G9:G20">SUM(B9:F9)</f>
        <v>0</v>
      </c>
      <c r="H9" s="95">
        <v>0.0725</v>
      </c>
      <c r="I9" s="73">
        <f>B9*H9/12</f>
        <v>0</v>
      </c>
      <c r="J9" s="85"/>
      <c r="K9" s="84"/>
      <c r="L9" s="84"/>
      <c r="M9" s="85"/>
      <c r="N9" s="85"/>
      <c r="O9" s="85"/>
      <c r="P9" s="85"/>
      <c r="Q9" s="86"/>
      <c r="R9" s="85"/>
      <c r="S9" s="85"/>
    </row>
    <row r="10" spans="1:19" s="87" customFormat="1" ht="12.75">
      <c r="A10" s="72">
        <v>37288</v>
      </c>
      <c r="B10" s="128">
        <f>G9</f>
        <v>0</v>
      </c>
      <c r="C10" s="108"/>
      <c r="D10" s="73"/>
      <c r="E10" s="108"/>
      <c r="F10" s="108"/>
      <c r="G10" s="73">
        <f t="shared" si="0"/>
        <v>0</v>
      </c>
      <c r="H10" s="95">
        <v>0.0725</v>
      </c>
      <c r="I10" s="73">
        <f>B10*H10/12</f>
        <v>0</v>
      </c>
      <c r="J10" s="85"/>
      <c r="K10" s="84"/>
      <c r="L10" s="84"/>
      <c r="M10" s="85"/>
      <c r="N10" s="85"/>
      <c r="O10" s="85"/>
      <c r="P10" s="85"/>
      <c r="Q10" s="86"/>
      <c r="R10" s="85"/>
      <c r="S10" s="85"/>
    </row>
    <row r="11" spans="1:10" s="87" customFormat="1" ht="12.75">
      <c r="A11" s="72">
        <v>37316</v>
      </c>
      <c r="B11" s="73">
        <f>G10</f>
        <v>0</v>
      </c>
      <c r="C11" s="109"/>
      <c r="D11" s="73"/>
      <c r="E11" s="109"/>
      <c r="F11" s="109"/>
      <c r="G11" s="73">
        <f t="shared" si="0"/>
        <v>0</v>
      </c>
      <c r="H11" s="95">
        <v>0.0725</v>
      </c>
      <c r="I11" s="73">
        <f>B11*H11/12</f>
        <v>0</v>
      </c>
      <c r="J11" s="85"/>
    </row>
    <row r="12" spans="1:10" s="87" customFormat="1" ht="12.75">
      <c r="A12" s="72">
        <v>37347</v>
      </c>
      <c r="B12" s="83">
        <f aca="true" t="shared" si="1" ref="B12:B20">G11</f>
        <v>0</v>
      </c>
      <c r="C12" s="109"/>
      <c r="D12" s="73"/>
      <c r="E12" s="109"/>
      <c r="F12" s="109"/>
      <c r="G12" s="73">
        <f t="shared" si="0"/>
        <v>0</v>
      </c>
      <c r="H12" s="95">
        <v>0.0725</v>
      </c>
      <c r="I12" s="73">
        <f>B12*H12/12</f>
        <v>0</v>
      </c>
      <c r="J12" s="85"/>
    </row>
    <row r="13" spans="1:10" s="87" customFormat="1" ht="12.75">
      <c r="A13" s="72">
        <v>37377</v>
      </c>
      <c r="B13" s="83">
        <f t="shared" si="1"/>
        <v>0</v>
      </c>
      <c r="C13" s="109">
        <v>-26287</v>
      </c>
      <c r="D13" s="142">
        <v>41507.13043478261</v>
      </c>
      <c r="E13" s="109"/>
      <c r="F13" s="109"/>
      <c r="G13" s="73">
        <f t="shared" si="0"/>
        <v>15220.130434782608</v>
      </c>
      <c r="H13" s="95">
        <v>0.0725</v>
      </c>
      <c r="I13" s="73">
        <f aca="true" t="shared" si="2" ref="I13:I20">B13*H13/12</f>
        <v>0</v>
      </c>
      <c r="J13" s="85"/>
    </row>
    <row r="14" spans="1:10" s="87" customFormat="1" ht="12.75">
      <c r="A14" s="72">
        <v>37408</v>
      </c>
      <c r="B14" s="83">
        <f t="shared" si="1"/>
        <v>15220.130434782608</v>
      </c>
      <c r="C14" s="109">
        <v>-30129</v>
      </c>
      <c r="D14" s="142">
        <v>41507.13043478261</v>
      </c>
      <c r="E14" s="114">
        <f>'2001-2006 1562 Summary'!E14</f>
        <v>40997</v>
      </c>
      <c r="F14" s="114">
        <f>'2001-2006 1562 Summary'!E17</f>
        <v>-5843</v>
      </c>
      <c r="G14" s="73">
        <f t="shared" si="0"/>
        <v>61752.260869565216</v>
      </c>
      <c r="H14" s="95">
        <v>0.0725</v>
      </c>
      <c r="I14" s="73">
        <f t="shared" si="2"/>
        <v>91.95495471014492</v>
      </c>
      <c r="J14" s="85"/>
    </row>
    <row r="15" spans="1:10" s="87" customFormat="1" ht="12.75">
      <c r="A15" s="72">
        <v>37438</v>
      </c>
      <c r="B15" s="83">
        <f t="shared" si="1"/>
        <v>61752.260869565216</v>
      </c>
      <c r="C15" s="109">
        <v>-36091</v>
      </c>
      <c r="D15" s="142">
        <v>41507.13043478261</v>
      </c>
      <c r="E15" s="109"/>
      <c r="F15" s="109"/>
      <c r="G15" s="73">
        <f t="shared" si="0"/>
        <v>67168.39130434782</v>
      </c>
      <c r="H15" s="95">
        <v>0.0725</v>
      </c>
      <c r="I15" s="73">
        <f t="shared" si="2"/>
        <v>373.0865760869565</v>
      </c>
      <c r="J15" s="85"/>
    </row>
    <row r="16" spans="1:10" s="87" customFormat="1" ht="12.75">
      <c r="A16" s="72">
        <v>37469</v>
      </c>
      <c r="B16" s="83">
        <f t="shared" si="1"/>
        <v>67168.39130434782</v>
      </c>
      <c r="C16" s="109">
        <v>-38318</v>
      </c>
      <c r="D16" s="142">
        <v>41507.13043478261</v>
      </c>
      <c r="E16" s="109"/>
      <c r="F16" s="109"/>
      <c r="G16" s="73">
        <f t="shared" si="0"/>
        <v>70357.52173913043</v>
      </c>
      <c r="H16" s="95">
        <v>0.0725</v>
      </c>
      <c r="I16" s="73">
        <f t="shared" si="2"/>
        <v>405.80903079710146</v>
      </c>
      <c r="J16" s="85"/>
    </row>
    <row r="17" spans="1:10" s="87" customFormat="1" ht="12.75">
      <c r="A17" s="72">
        <v>37500</v>
      </c>
      <c r="B17" s="83">
        <f t="shared" si="1"/>
        <v>70357.52173913043</v>
      </c>
      <c r="C17" s="109">
        <v>-39997</v>
      </c>
      <c r="D17" s="142">
        <v>41507.13043478261</v>
      </c>
      <c r="E17" s="109"/>
      <c r="F17" s="109"/>
      <c r="G17" s="73">
        <f t="shared" si="0"/>
        <v>71867.65217391304</v>
      </c>
      <c r="H17" s="95">
        <v>0.0725</v>
      </c>
      <c r="I17" s="73">
        <f t="shared" si="2"/>
        <v>425.0766938405797</v>
      </c>
      <c r="J17" s="85"/>
    </row>
    <row r="18" spans="1:10" s="87" customFormat="1" ht="12.75">
      <c r="A18" s="72">
        <v>37530</v>
      </c>
      <c r="B18" s="83">
        <f t="shared" si="1"/>
        <v>71867.65217391304</v>
      </c>
      <c r="C18" s="109">
        <v>-39135</v>
      </c>
      <c r="D18" s="142">
        <v>41507.13043478261</v>
      </c>
      <c r="E18" s="109"/>
      <c r="F18" s="109"/>
      <c r="G18" s="73">
        <f t="shared" si="0"/>
        <v>74239.78260869565</v>
      </c>
      <c r="H18" s="95">
        <v>0.0725</v>
      </c>
      <c r="I18" s="73">
        <f t="shared" si="2"/>
        <v>434.2003985507246</v>
      </c>
      <c r="J18" s="85"/>
    </row>
    <row r="19" spans="1:10" s="87" customFormat="1" ht="12.75">
      <c r="A19" s="72">
        <v>37561</v>
      </c>
      <c r="B19" s="83">
        <f t="shared" si="1"/>
        <v>74239.78260869565</v>
      </c>
      <c r="C19" s="109">
        <v>-36834</v>
      </c>
      <c r="D19" s="142">
        <v>41507.13043478261</v>
      </c>
      <c r="E19" s="109"/>
      <c r="F19" s="109"/>
      <c r="G19" s="73">
        <f t="shared" si="0"/>
        <v>78912.91304347826</v>
      </c>
      <c r="H19" s="95">
        <v>0.0725</v>
      </c>
      <c r="I19" s="73">
        <f t="shared" si="2"/>
        <v>448.53201992753617</v>
      </c>
      <c r="J19" s="85"/>
    </row>
    <row r="20" spans="1:10" s="87" customFormat="1" ht="12.75">
      <c r="A20" s="72">
        <v>37591</v>
      </c>
      <c r="B20" s="83">
        <f t="shared" si="1"/>
        <v>78912.91304347826</v>
      </c>
      <c r="C20" s="109">
        <v>-35464</v>
      </c>
      <c r="D20" s="142">
        <v>41507.13043478261</v>
      </c>
      <c r="E20" s="109"/>
      <c r="F20" s="109"/>
      <c r="G20" s="73">
        <f t="shared" si="0"/>
        <v>84956.04347826086</v>
      </c>
      <c r="H20" s="95">
        <v>0.0725</v>
      </c>
      <c r="I20" s="73">
        <f t="shared" si="2"/>
        <v>476.7655163043478</v>
      </c>
      <c r="J20" s="85"/>
    </row>
    <row r="21" spans="1:10" s="87" customFormat="1" ht="13.5" thickBot="1">
      <c r="A21" s="74" t="s">
        <v>98</v>
      </c>
      <c r="B21" s="74"/>
      <c r="C21" s="110">
        <f>SUM(C11:C20)</f>
        <v>-282255</v>
      </c>
      <c r="D21" s="75">
        <f>SUM(D9:D20)</f>
        <v>332057.0434782608</v>
      </c>
      <c r="E21" s="110">
        <f>SUM(E11:E20)</f>
        <v>40997</v>
      </c>
      <c r="F21" s="110">
        <f>SUM(F11:F20)</f>
        <v>-5843</v>
      </c>
      <c r="G21" s="80"/>
      <c r="H21" s="80"/>
      <c r="I21" s="75">
        <f>SUM(I9:I20)</f>
        <v>2655.4251902173914</v>
      </c>
      <c r="J21" s="85"/>
    </row>
    <row r="22" spans="3:10" ht="13.5" thickTop="1">
      <c r="C22" s="109"/>
      <c r="D22" s="73"/>
      <c r="E22" s="109"/>
      <c r="F22" s="109"/>
      <c r="H22" s="73"/>
      <c r="I22" s="73"/>
      <c r="J22" s="73"/>
    </row>
    <row r="23" spans="3:10" ht="12.75">
      <c r="C23" s="109"/>
      <c r="D23" s="73"/>
      <c r="E23" s="109"/>
      <c r="F23" s="109"/>
      <c r="H23" s="73"/>
      <c r="I23" s="73"/>
      <c r="J23" s="73"/>
    </row>
    <row r="24" spans="3:10" ht="12.75">
      <c r="C24" s="109"/>
      <c r="D24" s="73"/>
      <c r="E24" s="109"/>
      <c r="F24" s="109"/>
      <c r="H24" s="73"/>
      <c r="I24" s="73"/>
      <c r="J24" s="73"/>
    </row>
    <row r="25" spans="1:10" ht="12.75">
      <c r="A25" s="72">
        <v>37622</v>
      </c>
      <c r="B25" s="83">
        <f>G20</f>
        <v>84956.04347826086</v>
      </c>
      <c r="C25" s="109">
        <v>-33593</v>
      </c>
      <c r="D25" s="73">
        <f>'2001-2006 1562 Summary'!G12/12</f>
        <v>41507.13043478261</v>
      </c>
      <c r="E25" s="109"/>
      <c r="F25" s="109"/>
      <c r="G25" s="73">
        <f aca="true" t="shared" si="3" ref="G25:G36">SUM(B25:F25)</f>
        <v>92870.17391304347</v>
      </c>
      <c r="H25" s="95">
        <v>0.0725</v>
      </c>
      <c r="I25" s="73">
        <f aca="true" t="shared" si="4" ref="I25:I36">B25*H25/12</f>
        <v>513.2760960144927</v>
      </c>
      <c r="J25" s="73"/>
    </row>
    <row r="26" spans="1:10" ht="12.75">
      <c r="A26" s="72">
        <v>37653</v>
      </c>
      <c r="B26" s="83">
        <f aca="true" t="shared" si="5" ref="B26:B36">G25</f>
        <v>92870.17391304347</v>
      </c>
      <c r="C26" s="109">
        <v>-42742</v>
      </c>
      <c r="D26" s="73">
        <f>D25</f>
        <v>41507.13043478261</v>
      </c>
      <c r="E26" s="109"/>
      <c r="F26" s="109"/>
      <c r="G26" s="73">
        <f t="shared" si="3"/>
        <v>91635.30434782608</v>
      </c>
      <c r="H26" s="95">
        <v>0.0725</v>
      </c>
      <c r="I26" s="73">
        <f t="shared" si="4"/>
        <v>561.090634057971</v>
      </c>
      <c r="J26" s="73"/>
    </row>
    <row r="27" spans="1:10" ht="12.75">
      <c r="A27" s="72">
        <v>37681</v>
      </c>
      <c r="B27" s="83">
        <f t="shared" si="5"/>
        <v>91635.30434782608</v>
      </c>
      <c r="C27" s="109">
        <v>-36834</v>
      </c>
      <c r="D27" s="73">
        <f>'2001-2006 1562 Summary'!G12/12</f>
        <v>41507.13043478261</v>
      </c>
      <c r="E27" s="109"/>
      <c r="F27" s="109"/>
      <c r="G27" s="73">
        <f t="shared" si="3"/>
        <v>96308.43478260869</v>
      </c>
      <c r="H27" s="95">
        <v>0.0725</v>
      </c>
      <c r="I27" s="73">
        <f t="shared" si="4"/>
        <v>553.6299637681159</v>
      </c>
      <c r="J27" s="73"/>
    </row>
    <row r="28" spans="1:10" ht="12.75">
      <c r="A28" s="72">
        <v>37712</v>
      </c>
      <c r="B28" s="83">
        <f t="shared" si="5"/>
        <v>96308.43478260869</v>
      </c>
      <c r="C28" s="109">
        <v>-38309</v>
      </c>
      <c r="D28" s="73">
        <f>D27</f>
        <v>41507.13043478261</v>
      </c>
      <c r="E28" s="109"/>
      <c r="F28" s="109"/>
      <c r="G28" s="73">
        <f t="shared" si="3"/>
        <v>99506.5652173913</v>
      </c>
      <c r="H28" s="95">
        <v>0.0725</v>
      </c>
      <c r="I28" s="73">
        <f t="shared" si="4"/>
        <v>581.8634601449274</v>
      </c>
      <c r="J28" s="73"/>
    </row>
    <row r="29" spans="1:10" ht="12.75">
      <c r="A29" s="72">
        <v>37742</v>
      </c>
      <c r="B29" s="83">
        <f t="shared" si="5"/>
        <v>99506.5652173913</v>
      </c>
      <c r="C29" s="109">
        <v>-40437</v>
      </c>
      <c r="D29" s="73">
        <f aca="true" t="shared" si="6" ref="D29:D36">D28</f>
        <v>41507.13043478261</v>
      </c>
      <c r="E29" s="109"/>
      <c r="F29" s="109"/>
      <c r="G29" s="73">
        <f t="shared" si="3"/>
        <v>100576.6956521739</v>
      </c>
      <c r="H29" s="95">
        <v>0.0725</v>
      </c>
      <c r="I29" s="73">
        <f t="shared" si="4"/>
        <v>601.1854981884057</v>
      </c>
      <c r="J29" s="73"/>
    </row>
    <row r="30" spans="1:10" ht="12.75">
      <c r="A30" s="72">
        <v>37773</v>
      </c>
      <c r="B30" s="83">
        <f t="shared" si="5"/>
        <v>100576.6956521739</v>
      </c>
      <c r="C30" s="109">
        <v>-40343</v>
      </c>
      <c r="D30" s="73">
        <f t="shared" si="6"/>
        <v>41507.13043478261</v>
      </c>
      <c r="E30" s="114">
        <f>'2001-2006 1562 Summary'!G15</f>
        <v>46147</v>
      </c>
      <c r="F30" s="114">
        <f>'2001-2006 1562 Summary'!G17</f>
        <v>-44708</v>
      </c>
      <c r="G30" s="73">
        <f t="shared" si="3"/>
        <v>103179.82608695651</v>
      </c>
      <c r="H30" s="95">
        <v>0.0725</v>
      </c>
      <c r="I30" s="73">
        <f t="shared" si="4"/>
        <v>607.6508695652172</v>
      </c>
      <c r="J30" s="73"/>
    </row>
    <row r="31" spans="1:10" ht="12.75">
      <c r="A31" s="72">
        <v>37803</v>
      </c>
      <c r="B31" s="83">
        <f t="shared" si="5"/>
        <v>103179.82608695651</v>
      </c>
      <c r="C31" s="109">
        <v>-37655</v>
      </c>
      <c r="D31" s="73">
        <f t="shared" si="6"/>
        <v>41507.13043478261</v>
      </c>
      <c r="E31" s="109"/>
      <c r="F31" s="109"/>
      <c r="G31" s="73">
        <f t="shared" si="3"/>
        <v>107031.95652173912</v>
      </c>
      <c r="H31" s="95">
        <v>0.0725</v>
      </c>
      <c r="I31" s="73">
        <f t="shared" si="4"/>
        <v>623.3781159420289</v>
      </c>
      <c r="J31" s="73"/>
    </row>
    <row r="32" spans="1:10" ht="12.75">
      <c r="A32" s="72">
        <v>37834</v>
      </c>
      <c r="B32" s="83">
        <f t="shared" si="5"/>
        <v>107031.95652173912</v>
      </c>
      <c r="C32" s="109">
        <v>-37875</v>
      </c>
      <c r="D32" s="73">
        <f t="shared" si="6"/>
        <v>41507.13043478261</v>
      </c>
      <c r="E32" s="109"/>
      <c r="F32" s="109"/>
      <c r="G32" s="73">
        <f t="shared" si="3"/>
        <v>110664.08695652173</v>
      </c>
      <c r="H32" s="95">
        <v>0.0725</v>
      </c>
      <c r="I32" s="73">
        <f t="shared" si="4"/>
        <v>646.6514039855072</v>
      </c>
      <c r="J32" s="80"/>
    </row>
    <row r="33" spans="1:10" ht="12.75">
      <c r="A33" s="72">
        <v>37865</v>
      </c>
      <c r="B33" s="83">
        <f t="shared" si="5"/>
        <v>110664.08695652173</v>
      </c>
      <c r="C33" s="109">
        <v>-39126</v>
      </c>
      <c r="D33" s="73">
        <f t="shared" si="6"/>
        <v>41507.13043478261</v>
      </c>
      <c r="E33" s="109"/>
      <c r="F33" s="109"/>
      <c r="G33" s="73">
        <f t="shared" si="3"/>
        <v>113045.21739130434</v>
      </c>
      <c r="H33" s="95">
        <v>0.0725</v>
      </c>
      <c r="I33" s="73">
        <f t="shared" si="4"/>
        <v>668.5955253623188</v>
      </c>
      <c r="J33" s="73"/>
    </row>
    <row r="34" spans="1:10" ht="12.75">
      <c r="A34" s="72">
        <v>37895</v>
      </c>
      <c r="B34" s="83">
        <f t="shared" si="5"/>
        <v>113045.21739130434</v>
      </c>
      <c r="C34" s="109">
        <v>-45999</v>
      </c>
      <c r="D34" s="73">
        <f t="shared" si="6"/>
        <v>41507.13043478261</v>
      </c>
      <c r="E34" s="109"/>
      <c r="F34" s="109"/>
      <c r="G34" s="73">
        <f t="shared" si="3"/>
        <v>108553.34782608695</v>
      </c>
      <c r="H34" s="95">
        <v>0.0725</v>
      </c>
      <c r="I34" s="73">
        <f t="shared" si="4"/>
        <v>682.9815217391302</v>
      </c>
      <c r="J34" s="73"/>
    </row>
    <row r="35" spans="1:10" ht="12.75">
      <c r="A35" s="72">
        <v>37926</v>
      </c>
      <c r="B35" s="83">
        <f t="shared" si="5"/>
        <v>108553.34782608695</v>
      </c>
      <c r="C35" s="109">
        <v>-37444</v>
      </c>
      <c r="D35" s="73">
        <f t="shared" si="6"/>
        <v>41507.13043478261</v>
      </c>
      <c r="E35" s="109"/>
      <c r="F35" s="109"/>
      <c r="G35" s="73">
        <f t="shared" si="3"/>
        <v>112616.47826086955</v>
      </c>
      <c r="H35" s="95">
        <v>0.0725</v>
      </c>
      <c r="I35" s="73">
        <f t="shared" si="4"/>
        <v>655.8431431159419</v>
      </c>
      <c r="J35" s="73"/>
    </row>
    <row r="36" spans="1:10" ht="12.75">
      <c r="A36" s="72">
        <v>37956</v>
      </c>
      <c r="B36" s="83">
        <f t="shared" si="5"/>
        <v>112616.47826086955</v>
      </c>
      <c r="C36" s="109">
        <v>-39598</v>
      </c>
      <c r="D36" s="73">
        <f t="shared" si="6"/>
        <v>41507.13043478261</v>
      </c>
      <c r="E36" s="109"/>
      <c r="F36" s="109"/>
      <c r="G36" s="73">
        <f t="shared" si="3"/>
        <v>114525.60869565216</v>
      </c>
      <c r="H36" s="95">
        <v>0.0725</v>
      </c>
      <c r="I36" s="73">
        <f t="shared" si="4"/>
        <v>680.3912228260868</v>
      </c>
      <c r="J36" s="73"/>
    </row>
    <row r="37" spans="1:10" ht="13.5" thickBot="1">
      <c r="A37" s="74" t="s">
        <v>98</v>
      </c>
      <c r="B37" s="74"/>
      <c r="C37" s="110">
        <f>SUM(C25:C36)</f>
        <v>-469955</v>
      </c>
      <c r="D37" s="75">
        <f>SUM(D25:D36)</f>
        <v>498085.5652173912</v>
      </c>
      <c r="E37" s="110">
        <f>SUM(E25:E36)</f>
        <v>46147</v>
      </c>
      <c r="F37" s="110">
        <f>SUM(F25:F36)</f>
        <v>-44708</v>
      </c>
      <c r="G37" s="80"/>
      <c r="H37" s="80"/>
      <c r="I37" s="75">
        <f>SUM(I25:I36)</f>
        <v>7376.537454710145</v>
      </c>
      <c r="J37" s="73"/>
    </row>
    <row r="38" spans="1:10" ht="13.5" thickTop="1">
      <c r="A38" s="93" t="s">
        <v>99</v>
      </c>
      <c r="B38" s="93"/>
      <c r="J38" s="73"/>
    </row>
    <row r="39" ht="12.75">
      <c r="J39" s="73"/>
    </row>
    <row r="40" ht="12.75">
      <c r="J40" s="73"/>
    </row>
    <row r="41" spans="1:10" ht="12.75">
      <c r="A41" s="72">
        <v>37987</v>
      </c>
      <c r="B41" s="83">
        <f>G36</f>
        <v>114525.60869565216</v>
      </c>
      <c r="C41" s="109">
        <v>-36652</v>
      </c>
      <c r="D41" s="143">
        <v>41507.13043478261</v>
      </c>
      <c r="E41" s="109"/>
      <c r="F41" s="109"/>
      <c r="G41" s="73">
        <f>SUM(B41:F41)</f>
        <v>119380.73913043477</v>
      </c>
      <c r="H41" s="95">
        <v>0.0725</v>
      </c>
      <c r="I41" s="73">
        <f aca="true" t="shared" si="7" ref="I41:I46">B41*H41/12</f>
        <v>691.9255525362317</v>
      </c>
      <c r="J41" s="73"/>
    </row>
    <row r="42" spans="1:10" ht="12.75">
      <c r="A42" s="72">
        <v>38018</v>
      </c>
      <c r="B42" s="83">
        <f aca="true" t="shared" si="8" ref="B42:B52">G41</f>
        <v>119380.73913043477</v>
      </c>
      <c r="C42" s="109">
        <v>-40088</v>
      </c>
      <c r="D42" s="143">
        <v>41507.13043478261</v>
      </c>
      <c r="E42" s="109"/>
      <c r="F42" s="109"/>
      <c r="G42" s="73">
        <f>SUM(B42:F42)</f>
        <v>120799.86956521738</v>
      </c>
      <c r="H42" s="95">
        <v>0.0725</v>
      </c>
      <c r="I42" s="73">
        <f t="shared" si="7"/>
        <v>721.2586322463767</v>
      </c>
      <c r="J42" s="73"/>
    </row>
    <row r="43" spans="1:10" ht="12.75">
      <c r="A43" s="72">
        <v>38047</v>
      </c>
      <c r="B43" s="83">
        <f t="shared" si="8"/>
        <v>120799.86956521738</v>
      </c>
      <c r="C43" s="109">
        <v>-40227</v>
      </c>
      <c r="D43" s="143">
        <v>41507.13043478261</v>
      </c>
      <c r="E43" s="109"/>
      <c r="F43" s="109"/>
      <c r="G43" s="73">
        <f>SUM(B43:F43)</f>
        <v>122079.99999999999</v>
      </c>
      <c r="H43" s="95">
        <v>0.0725</v>
      </c>
      <c r="I43" s="73">
        <f t="shared" si="7"/>
        <v>729.8325452898549</v>
      </c>
      <c r="J43" s="73"/>
    </row>
    <row r="44" spans="1:10" ht="12.75">
      <c r="A44" s="72">
        <v>38078</v>
      </c>
      <c r="B44" s="83">
        <f t="shared" si="8"/>
        <v>122079.99999999999</v>
      </c>
      <c r="C44" s="109">
        <v>-17710</v>
      </c>
      <c r="D44" s="143">
        <v>34187.916666666664</v>
      </c>
      <c r="E44" s="120"/>
      <c r="F44" s="120"/>
      <c r="G44" s="73">
        <f>SUM(B44:F44)</f>
        <v>138557.91666666666</v>
      </c>
      <c r="H44" s="95">
        <v>0.0725</v>
      </c>
      <c r="I44" s="73">
        <f t="shared" si="7"/>
        <v>737.5666666666665</v>
      </c>
      <c r="J44" s="73"/>
    </row>
    <row r="45" spans="1:10" ht="12.75">
      <c r="A45" s="72">
        <v>38108</v>
      </c>
      <c r="B45" s="83">
        <f t="shared" si="8"/>
        <v>138557.91666666666</v>
      </c>
      <c r="C45" s="109">
        <v>-32758</v>
      </c>
      <c r="D45" s="144">
        <v>34187.916666666664</v>
      </c>
      <c r="E45" s="120"/>
      <c r="F45" s="120"/>
      <c r="G45" s="73">
        <f>SUM(B45:F45)</f>
        <v>139987.8333333333</v>
      </c>
      <c r="H45" s="95">
        <v>0.0725</v>
      </c>
      <c r="I45" s="73">
        <f t="shared" si="7"/>
        <v>837.1207465277777</v>
      </c>
      <c r="J45" s="73"/>
    </row>
    <row r="46" spans="1:10" ht="12.75">
      <c r="A46" s="72">
        <v>38139</v>
      </c>
      <c r="B46" s="83">
        <f t="shared" si="8"/>
        <v>139987.8333333333</v>
      </c>
      <c r="C46" s="109">
        <v>-30899</v>
      </c>
      <c r="D46" s="144">
        <v>34187.916666666664</v>
      </c>
      <c r="E46" s="96">
        <f>'2001-2006 1562 Summary'!I15</f>
        <v>-32924</v>
      </c>
      <c r="F46" s="96">
        <f>'2001-2006 1562 Summary'!I17</f>
        <v>-59025</v>
      </c>
      <c r="G46" s="73">
        <f aca="true" t="shared" si="9" ref="G46:G52">SUM(B46:F46)</f>
        <v>51327.74999999997</v>
      </c>
      <c r="H46" s="95">
        <v>0.0725</v>
      </c>
      <c r="I46" s="73">
        <f t="shared" si="7"/>
        <v>845.7598263888887</v>
      </c>
      <c r="J46" s="80"/>
    </row>
    <row r="47" spans="1:9" ht="12.75">
      <c r="A47" s="72">
        <v>38169</v>
      </c>
      <c r="B47" s="83">
        <f t="shared" si="8"/>
        <v>51327.74999999997</v>
      </c>
      <c r="C47" s="109">
        <v>-29591</v>
      </c>
      <c r="D47" s="143">
        <v>34187.916666666664</v>
      </c>
      <c r="E47" s="109"/>
      <c r="F47" s="109"/>
      <c r="G47" s="73">
        <f t="shared" si="9"/>
        <v>55924.666666666635</v>
      </c>
      <c r="H47" s="95">
        <v>0.0725</v>
      </c>
      <c r="I47" s="73">
        <f aca="true" t="shared" si="10" ref="I47:I52">B47*H47/12</f>
        <v>310.10515624999977</v>
      </c>
    </row>
    <row r="48" spans="1:9" ht="12.75">
      <c r="A48" s="72">
        <v>38200</v>
      </c>
      <c r="B48" s="83">
        <f t="shared" si="8"/>
        <v>55924.666666666635</v>
      </c>
      <c r="C48" s="109">
        <v>-33733</v>
      </c>
      <c r="D48" s="143">
        <v>34187.916666666664</v>
      </c>
      <c r="E48" s="109"/>
      <c r="F48" s="109"/>
      <c r="G48" s="73">
        <f t="shared" si="9"/>
        <v>56379.5833333333</v>
      </c>
      <c r="H48" s="95">
        <v>0.0725</v>
      </c>
      <c r="I48" s="73">
        <f t="shared" si="10"/>
        <v>337.8781944444442</v>
      </c>
    </row>
    <row r="49" spans="1:10" ht="12.75">
      <c r="A49" s="72">
        <v>38231</v>
      </c>
      <c r="B49" s="83">
        <f t="shared" si="8"/>
        <v>56379.5833333333</v>
      </c>
      <c r="C49" s="109">
        <v>-30273</v>
      </c>
      <c r="D49" s="143">
        <v>34187.916666666664</v>
      </c>
      <c r="E49" s="109"/>
      <c r="F49" s="109"/>
      <c r="G49" s="73">
        <f t="shared" si="9"/>
        <v>60294.49999999996</v>
      </c>
      <c r="H49" s="95">
        <v>0.0725</v>
      </c>
      <c r="I49" s="73">
        <f t="shared" si="10"/>
        <v>340.6266493055553</v>
      </c>
      <c r="J49" s="73"/>
    </row>
    <row r="50" spans="1:10" ht="12.75">
      <c r="A50" s="72">
        <v>38261</v>
      </c>
      <c r="B50" s="83">
        <f t="shared" si="8"/>
        <v>60294.49999999996</v>
      </c>
      <c r="C50" s="109">
        <v>-35843</v>
      </c>
      <c r="D50" s="143">
        <v>34187.916666666664</v>
      </c>
      <c r="E50" s="109"/>
      <c r="F50" s="109"/>
      <c r="G50" s="73">
        <f t="shared" si="9"/>
        <v>58639.41666666663</v>
      </c>
      <c r="H50" s="95">
        <v>0.0725</v>
      </c>
      <c r="I50" s="73">
        <f t="shared" si="10"/>
        <v>364.2792708333331</v>
      </c>
      <c r="J50" s="73"/>
    </row>
    <row r="51" spans="1:10" ht="12.75">
      <c r="A51" s="72">
        <v>38292</v>
      </c>
      <c r="B51" s="83">
        <f t="shared" si="8"/>
        <v>58639.41666666663</v>
      </c>
      <c r="C51" s="109">
        <v>-36138</v>
      </c>
      <c r="D51" s="143">
        <v>34187.916666666664</v>
      </c>
      <c r="E51" s="109"/>
      <c r="F51" s="109"/>
      <c r="G51" s="73">
        <f t="shared" si="9"/>
        <v>56689.33333333329</v>
      </c>
      <c r="H51" s="95">
        <v>0.0725</v>
      </c>
      <c r="I51" s="73">
        <f t="shared" si="10"/>
        <v>354.2798090277775</v>
      </c>
      <c r="J51" s="73"/>
    </row>
    <row r="52" spans="1:19" ht="12.75">
      <c r="A52" s="72">
        <v>38322</v>
      </c>
      <c r="B52" s="83">
        <f t="shared" si="8"/>
        <v>56689.33333333329</v>
      </c>
      <c r="C52" s="109">
        <v>-36364</v>
      </c>
      <c r="D52" s="143">
        <v>34187.916666666664</v>
      </c>
      <c r="E52" s="109"/>
      <c r="F52" s="109"/>
      <c r="G52" s="73">
        <f t="shared" si="9"/>
        <v>54513.249999999956</v>
      </c>
      <c r="H52" s="95">
        <v>0.0725</v>
      </c>
      <c r="I52" s="73">
        <f t="shared" si="10"/>
        <v>342.4980555555553</v>
      </c>
      <c r="J52" s="73"/>
      <c r="N52" s="71"/>
      <c r="O52" s="71"/>
      <c r="P52" s="71"/>
      <c r="Q52" s="71"/>
      <c r="R52" s="71"/>
      <c r="S52" s="71"/>
    </row>
    <row r="53" spans="1:19" ht="13.5" thickBot="1">
      <c r="A53" s="74" t="s">
        <v>98</v>
      </c>
      <c r="B53" s="74"/>
      <c r="C53" s="112">
        <f>SUM(C41:C52)</f>
        <v>-400276</v>
      </c>
      <c r="D53" s="76">
        <f>SUM(D41:D52)</f>
        <v>432212.6413043479</v>
      </c>
      <c r="E53" s="112">
        <f>SUM(E41:E52)</f>
        <v>-32924</v>
      </c>
      <c r="F53" s="112">
        <f>SUM(F41:F52)</f>
        <v>-59025</v>
      </c>
      <c r="G53" s="81"/>
      <c r="H53" s="81"/>
      <c r="I53" s="76">
        <f>SUM(I41:I52)</f>
        <v>6613.131105072462</v>
      </c>
      <c r="J53" s="73"/>
      <c r="N53" s="71"/>
      <c r="O53" s="71"/>
      <c r="P53" s="71"/>
      <c r="Q53" s="71"/>
      <c r="R53" s="71"/>
      <c r="S53" s="71"/>
    </row>
    <row r="54" spans="10:19" ht="13.5" thickTop="1">
      <c r="J54" s="73"/>
      <c r="N54" s="71"/>
      <c r="O54" s="71"/>
      <c r="P54" s="71"/>
      <c r="Q54" s="71"/>
      <c r="R54" s="71"/>
      <c r="S54" s="71"/>
    </row>
    <row r="55" spans="10:19" ht="12.75">
      <c r="J55" s="73"/>
      <c r="N55" s="71"/>
      <c r="O55" s="71"/>
      <c r="P55" s="71"/>
      <c r="Q55" s="71"/>
      <c r="R55" s="71"/>
      <c r="S55" s="71"/>
    </row>
    <row r="56" spans="10:19" ht="12.75">
      <c r="J56" s="73"/>
      <c r="N56" s="71"/>
      <c r="O56" s="71"/>
      <c r="P56" s="71"/>
      <c r="Q56" s="71"/>
      <c r="R56" s="71"/>
      <c r="S56" s="71"/>
    </row>
    <row r="57" spans="1:19" ht="12.75">
      <c r="A57" s="72">
        <v>38353</v>
      </c>
      <c r="B57" s="83">
        <f>G52</f>
        <v>54513.249999999956</v>
      </c>
      <c r="C57" s="109">
        <v>-26733</v>
      </c>
      <c r="D57" s="73">
        <f>'2001-2006 1562 Summary'!K12/3</f>
        <v>34187.916666666664</v>
      </c>
      <c r="E57" s="109"/>
      <c r="F57" s="109"/>
      <c r="G57" s="73">
        <f aca="true" t="shared" si="11" ref="G57:G62">SUM(B57:F57)</f>
        <v>61968.16666666662</v>
      </c>
      <c r="H57" s="95">
        <v>0.0725</v>
      </c>
      <c r="I57" s="73">
        <f aca="true" t="shared" si="12" ref="I57:I62">B57*H57/12</f>
        <v>329.35088541666636</v>
      </c>
      <c r="J57" s="73"/>
      <c r="N57" s="71"/>
      <c r="O57" s="71"/>
      <c r="P57" s="71"/>
      <c r="Q57" s="71"/>
      <c r="R57" s="71"/>
      <c r="S57" s="71"/>
    </row>
    <row r="58" spans="1:19" ht="12.75">
      <c r="A58" s="72">
        <v>38384</v>
      </c>
      <c r="B58" s="83">
        <f aca="true" t="shared" si="13" ref="B58:B68">G57</f>
        <v>61968.16666666662</v>
      </c>
      <c r="C58" s="109">
        <v>-39452</v>
      </c>
      <c r="D58" s="73">
        <f>D57</f>
        <v>34187.916666666664</v>
      </c>
      <c r="E58" s="109"/>
      <c r="F58" s="109"/>
      <c r="G58" s="73">
        <f t="shared" si="11"/>
        <v>56704.083333333285</v>
      </c>
      <c r="H58" s="95">
        <v>0.0725</v>
      </c>
      <c r="I58" s="73">
        <f t="shared" si="12"/>
        <v>374.39100694444414</v>
      </c>
      <c r="J58" s="73"/>
      <c r="N58" s="71"/>
      <c r="O58" s="71"/>
      <c r="P58" s="71"/>
      <c r="Q58" s="71"/>
      <c r="R58" s="71"/>
      <c r="S58" s="71"/>
    </row>
    <row r="59" spans="1:19" ht="12.75">
      <c r="A59" s="72">
        <v>38412</v>
      </c>
      <c r="B59" s="83">
        <f t="shared" si="13"/>
        <v>56704.083333333285</v>
      </c>
      <c r="C59" s="109">
        <v>-36427</v>
      </c>
      <c r="D59" s="73">
        <f>D58</f>
        <v>34187.916666666664</v>
      </c>
      <c r="E59" s="109"/>
      <c r="F59" s="109"/>
      <c r="G59" s="73">
        <f t="shared" si="11"/>
        <v>54464.99999999995</v>
      </c>
      <c r="H59" s="95">
        <v>0.0725</v>
      </c>
      <c r="I59" s="73">
        <f t="shared" si="12"/>
        <v>342.58717013888855</v>
      </c>
      <c r="J59" s="73"/>
      <c r="N59" s="71"/>
      <c r="O59" s="71"/>
      <c r="P59" s="71"/>
      <c r="Q59" s="71"/>
      <c r="R59" s="71"/>
      <c r="S59" s="71"/>
    </row>
    <row r="60" spans="1:19" ht="12.75">
      <c r="A60" s="72">
        <v>38443</v>
      </c>
      <c r="B60" s="83">
        <f t="shared" si="13"/>
        <v>54464.99999999995</v>
      </c>
      <c r="C60" s="109">
        <v>-30147</v>
      </c>
      <c r="D60" s="96">
        <f>'2001-2006 1562 Summary'!K13/9</f>
        <v>24094.5</v>
      </c>
      <c r="E60" s="120"/>
      <c r="F60" s="120"/>
      <c r="G60" s="73">
        <f t="shared" si="11"/>
        <v>48412.49999999995</v>
      </c>
      <c r="H60" s="95">
        <v>0.0725</v>
      </c>
      <c r="I60" s="73">
        <f t="shared" si="12"/>
        <v>329.05937499999965</v>
      </c>
      <c r="J60" s="73"/>
      <c r="N60" s="71"/>
      <c r="O60" s="71"/>
      <c r="P60" s="71"/>
      <c r="Q60" s="71"/>
      <c r="R60" s="71"/>
      <c r="S60" s="71"/>
    </row>
    <row r="61" spans="1:19" ht="12.75">
      <c r="A61" s="72">
        <v>38473</v>
      </c>
      <c r="B61" s="83">
        <f t="shared" si="13"/>
        <v>48412.49999999995</v>
      </c>
      <c r="C61" s="109">
        <v>-32597</v>
      </c>
      <c r="D61" s="96">
        <f>D60</f>
        <v>24094.5</v>
      </c>
      <c r="E61" s="120"/>
      <c r="F61" s="120"/>
      <c r="G61" s="73">
        <f t="shared" si="11"/>
        <v>39909.99999999995</v>
      </c>
      <c r="H61" s="95">
        <v>0.0725</v>
      </c>
      <c r="I61" s="73">
        <f t="shared" si="12"/>
        <v>292.49218749999966</v>
      </c>
      <c r="J61" s="73"/>
      <c r="N61" s="71"/>
      <c r="O61" s="71"/>
      <c r="P61" s="71"/>
      <c r="Q61" s="71"/>
      <c r="R61" s="71"/>
      <c r="S61" s="71"/>
    </row>
    <row r="62" spans="1:19" ht="15">
      <c r="A62" s="72">
        <v>38504</v>
      </c>
      <c r="B62" s="83">
        <f t="shared" si="13"/>
        <v>39909.99999999995</v>
      </c>
      <c r="C62" s="109">
        <v>-27431</v>
      </c>
      <c r="D62" s="96">
        <f>D61</f>
        <v>24094.5</v>
      </c>
      <c r="E62" s="120">
        <f>'2001-2006 1562 Summary'!K15</f>
        <v>-4722</v>
      </c>
      <c r="F62" s="120">
        <f>'2001-2006 1562 Summary'!K17</f>
        <v>-56975</v>
      </c>
      <c r="G62" s="73">
        <f t="shared" si="11"/>
        <v>-25123.50000000005</v>
      </c>
      <c r="H62" s="95">
        <v>0.0725</v>
      </c>
      <c r="I62" s="73">
        <f t="shared" si="12"/>
        <v>241.12291666666636</v>
      </c>
      <c r="J62" s="81"/>
      <c r="N62" s="81"/>
      <c r="O62" s="81"/>
      <c r="P62" s="81"/>
      <c r="Q62"/>
      <c r="R62" s="81"/>
      <c r="S62" s="81"/>
    </row>
    <row r="63" spans="1:19" ht="12.75">
      <c r="A63" s="72">
        <v>38534</v>
      </c>
      <c r="B63" s="83">
        <f t="shared" si="13"/>
        <v>-25123.50000000005</v>
      </c>
      <c r="C63" s="109">
        <v>-26348</v>
      </c>
      <c r="D63" s="96">
        <f aca="true" t="shared" si="14" ref="D63:D68">D62</f>
        <v>24094.5</v>
      </c>
      <c r="E63" s="120"/>
      <c r="F63" s="120"/>
      <c r="G63" s="73">
        <f aca="true" t="shared" si="15" ref="G63:G68">SUM(B63:F63)</f>
        <v>-27377.00000000005</v>
      </c>
      <c r="H63" s="95">
        <v>0.0725</v>
      </c>
      <c r="I63" s="73">
        <f aca="true" t="shared" si="16" ref="I63:I68">B63*H63/12</f>
        <v>-151.78781250000029</v>
      </c>
      <c r="J63" s="71"/>
      <c r="N63" s="71"/>
      <c r="O63" s="71"/>
      <c r="P63" s="71"/>
      <c r="Q63" s="83"/>
      <c r="R63" s="71"/>
      <c r="S63" s="71"/>
    </row>
    <row r="64" spans="1:19" ht="12.75">
      <c r="A64" s="72">
        <v>38565</v>
      </c>
      <c r="B64" s="83">
        <f t="shared" si="13"/>
        <v>-27377.00000000005</v>
      </c>
      <c r="C64" s="109">
        <v>-27478</v>
      </c>
      <c r="D64" s="96">
        <f t="shared" si="14"/>
        <v>24094.5</v>
      </c>
      <c r="E64" s="120"/>
      <c r="F64" s="120"/>
      <c r="G64" s="73">
        <f t="shared" si="15"/>
        <v>-30760.50000000005</v>
      </c>
      <c r="H64" s="95">
        <v>0.0725</v>
      </c>
      <c r="I64" s="73">
        <f t="shared" si="16"/>
        <v>-165.40270833333363</v>
      </c>
      <c r="J64" s="71"/>
      <c r="K64" s="77"/>
      <c r="L64" s="77"/>
      <c r="N64" s="71"/>
      <c r="O64" s="71"/>
      <c r="P64" s="71"/>
      <c r="Q64" s="83"/>
      <c r="R64" s="71"/>
      <c r="S64" s="71"/>
    </row>
    <row r="65" spans="1:19" ht="12.75">
      <c r="A65" s="72">
        <v>38596</v>
      </c>
      <c r="B65" s="83">
        <f t="shared" si="13"/>
        <v>-30760.50000000005</v>
      </c>
      <c r="C65" s="109">
        <v>-42819</v>
      </c>
      <c r="D65" s="96">
        <f t="shared" si="14"/>
        <v>24094.5</v>
      </c>
      <c r="E65" s="120"/>
      <c r="F65" s="120"/>
      <c r="G65" s="73">
        <f t="shared" si="15"/>
        <v>-49485.00000000006</v>
      </c>
      <c r="H65" s="95">
        <v>0.0725</v>
      </c>
      <c r="I65" s="73">
        <f t="shared" si="16"/>
        <v>-185.8446875000003</v>
      </c>
      <c r="J65" s="71"/>
      <c r="K65" s="77"/>
      <c r="L65" s="77"/>
      <c r="N65" s="71"/>
      <c r="O65" s="71"/>
      <c r="P65" s="71"/>
      <c r="Q65" s="83"/>
      <c r="R65" s="71"/>
      <c r="S65" s="71"/>
    </row>
    <row r="66" spans="1:19" ht="12.75">
      <c r="A66" s="72">
        <v>38626</v>
      </c>
      <c r="B66" s="83">
        <f t="shared" si="13"/>
        <v>-49485.00000000006</v>
      </c>
      <c r="C66" s="109">
        <v>-28644</v>
      </c>
      <c r="D66" s="96">
        <f t="shared" si="14"/>
        <v>24094.5</v>
      </c>
      <c r="E66" s="120"/>
      <c r="F66" s="120"/>
      <c r="G66" s="73">
        <f t="shared" si="15"/>
        <v>-54034.50000000006</v>
      </c>
      <c r="H66" s="95">
        <v>0.0725</v>
      </c>
      <c r="I66" s="73">
        <f t="shared" si="16"/>
        <v>-298.97187500000035</v>
      </c>
      <c r="J66" s="71"/>
      <c r="K66" s="77"/>
      <c r="L66" s="77"/>
      <c r="N66" s="71"/>
      <c r="O66" s="71"/>
      <c r="P66" s="71"/>
      <c r="Q66" s="83"/>
      <c r="R66" s="71"/>
      <c r="S66" s="71"/>
    </row>
    <row r="67" spans="1:19" ht="12.75">
      <c r="A67" s="72">
        <v>38657</v>
      </c>
      <c r="B67" s="83">
        <f t="shared" si="13"/>
        <v>-54034.50000000006</v>
      </c>
      <c r="C67" s="109">
        <v>-31619</v>
      </c>
      <c r="D67" s="96">
        <f t="shared" si="14"/>
        <v>24094.5</v>
      </c>
      <c r="E67" s="120"/>
      <c r="F67" s="120"/>
      <c r="G67" s="73">
        <f t="shared" si="15"/>
        <v>-61559.00000000006</v>
      </c>
      <c r="H67" s="95">
        <v>0.0725</v>
      </c>
      <c r="I67" s="73">
        <f t="shared" si="16"/>
        <v>-326.45843750000034</v>
      </c>
      <c r="J67" s="71"/>
      <c r="K67" s="77"/>
      <c r="L67" s="77"/>
      <c r="N67" s="71"/>
      <c r="O67" s="71"/>
      <c r="P67" s="71"/>
      <c r="Q67" s="83"/>
      <c r="R67" s="71"/>
      <c r="S67" s="71"/>
    </row>
    <row r="68" spans="1:19" ht="12.75">
      <c r="A68" s="72">
        <v>38687</v>
      </c>
      <c r="B68" s="83">
        <f t="shared" si="13"/>
        <v>-61559.00000000006</v>
      </c>
      <c r="C68" s="109">
        <v>-27524</v>
      </c>
      <c r="D68" s="96">
        <f t="shared" si="14"/>
        <v>24094.5</v>
      </c>
      <c r="E68" s="120"/>
      <c r="F68" s="120"/>
      <c r="G68" s="73">
        <f t="shared" si="15"/>
        <v>-64988.50000000006</v>
      </c>
      <c r="H68" s="95">
        <v>0.0725</v>
      </c>
      <c r="I68" s="73">
        <f t="shared" si="16"/>
        <v>-371.91895833333365</v>
      </c>
      <c r="J68" s="71"/>
      <c r="N68" s="71"/>
      <c r="O68" s="71"/>
      <c r="P68" s="71"/>
      <c r="Q68" s="83"/>
      <c r="R68" s="71"/>
      <c r="S68" s="71"/>
    </row>
    <row r="69" spans="1:19" ht="15.75" thickBot="1">
      <c r="A69" s="74" t="s">
        <v>98</v>
      </c>
      <c r="B69" s="74"/>
      <c r="C69" s="112">
        <f>SUM(C57:C68)</f>
        <v>-377219</v>
      </c>
      <c r="D69" s="76">
        <f>SUM(D57:D68)</f>
        <v>319414.25</v>
      </c>
      <c r="E69" s="112">
        <f>SUM(E57:E68)</f>
        <v>-4722</v>
      </c>
      <c r="F69" s="112">
        <f>SUM(F57:F68)</f>
        <v>-56975</v>
      </c>
      <c r="G69"/>
      <c r="H69" s="73"/>
      <c r="I69" s="76">
        <f>SUM(I57:I68)</f>
        <v>408.61906249999606</v>
      </c>
      <c r="J69" s="71"/>
      <c r="K69" s="77"/>
      <c r="L69" s="77"/>
      <c r="N69" s="71"/>
      <c r="O69" s="71"/>
      <c r="P69" s="71"/>
      <c r="Q69" s="83"/>
      <c r="R69" s="71"/>
      <c r="S69" s="71"/>
    </row>
    <row r="70" spans="1:19" ht="15.75" thickTop="1">
      <c r="A70" s="77"/>
      <c r="B70" s="77"/>
      <c r="C70" s="113"/>
      <c r="D70" s="73"/>
      <c r="E70" s="109"/>
      <c r="F70" s="109"/>
      <c r="G70"/>
      <c r="H70" s="73"/>
      <c r="I70" s="73"/>
      <c r="J70" s="71"/>
      <c r="N70" s="71"/>
      <c r="O70" s="71"/>
      <c r="P70" s="71"/>
      <c r="Q70" s="83"/>
      <c r="R70" s="71"/>
      <c r="S70" s="71"/>
    </row>
    <row r="71" spans="1:19" ht="15">
      <c r="A71" s="77"/>
      <c r="B71" s="77"/>
      <c r="C71" s="113"/>
      <c r="D71" s="73"/>
      <c r="E71" s="109"/>
      <c r="F71" s="109"/>
      <c r="G71"/>
      <c r="H71" s="73"/>
      <c r="I71" s="73"/>
      <c r="J71" s="71"/>
      <c r="N71" s="71"/>
      <c r="O71" s="71"/>
      <c r="P71" s="71"/>
      <c r="Q71" s="83"/>
      <c r="R71" s="71"/>
      <c r="S71" s="71"/>
    </row>
    <row r="72" spans="3:19" ht="12.75">
      <c r="C72" s="113"/>
      <c r="J72" s="71"/>
      <c r="N72" s="71"/>
      <c r="O72" s="71"/>
      <c r="P72" s="71"/>
      <c r="Q72" s="83"/>
      <c r="R72" s="71"/>
      <c r="S72" s="71"/>
    </row>
    <row r="73" spans="1:19" ht="12.75">
      <c r="A73" s="72">
        <v>38718</v>
      </c>
      <c r="B73" s="83">
        <f>G68</f>
        <v>-64988.50000000006</v>
      </c>
      <c r="C73" s="145">
        <v>-34335</v>
      </c>
      <c r="D73" s="73">
        <f>D68</f>
        <v>24094.5</v>
      </c>
      <c r="E73" s="109"/>
      <c r="F73" s="109"/>
      <c r="G73" s="73">
        <f aca="true" t="shared" si="17" ref="G73:G86">SUM(B73:F73)</f>
        <v>-75229.00000000006</v>
      </c>
      <c r="H73" s="95">
        <v>0.0725</v>
      </c>
      <c r="I73" s="73">
        <f aca="true" t="shared" si="18" ref="I73:I86">B73*H73/12</f>
        <v>-392.638854166667</v>
      </c>
      <c r="J73" s="71"/>
      <c r="N73" s="71"/>
      <c r="O73" s="71"/>
      <c r="P73" s="71"/>
      <c r="Q73" s="83"/>
      <c r="R73" s="71"/>
      <c r="S73" s="71"/>
    </row>
    <row r="74" spans="1:19" ht="12.75">
      <c r="A74" s="72">
        <v>38749</v>
      </c>
      <c r="B74" s="83">
        <f aca="true" t="shared" si="19" ref="B74:B86">G73</f>
        <v>-75229.00000000006</v>
      </c>
      <c r="C74" s="145">
        <v>-32157</v>
      </c>
      <c r="D74" s="73">
        <f>D73</f>
        <v>24094.5</v>
      </c>
      <c r="E74" s="109"/>
      <c r="F74" s="109"/>
      <c r="G74" s="73">
        <f t="shared" si="17"/>
        <v>-83291.50000000006</v>
      </c>
      <c r="H74" s="95">
        <v>0.0725</v>
      </c>
      <c r="I74" s="73">
        <f t="shared" si="18"/>
        <v>-454.508541666667</v>
      </c>
      <c r="J74" s="71"/>
      <c r="N74" s="71"/>
      <c r="O74" s="71"/>
      <c r="P74" s="71"/>
      <c r="Q74" s="83"/>
      <c r="R74" s="71"/>
      <c r="S74" s="71"/>
    </row>
    <row r="75" spans="1:19" ht="12.75">
      <c r="A75" s="72">
        <v>38777</v>
      </c>
      <c r="B75" s="83">
        <f t="shared" si="19"/>
        <v>-83291.50000000006</v>
      </c>
      <c r="C75" s="145">
        <v>-29553</v>
      </c>
      <c r="D75" s="73">
        <f>D74</f>
        <v>24094.5</v>
      </c>
      <c r="E75" s="109"/>
      <c r="F75" s="109"/>
      <c r="G75" s="73">
        <f t="shared" si="17"/>
        <v>-88750.00000000006</v>
      </c>
      <c r="H75" s="95">
        <v>0.0725</v>
      </c>
      <c r="I75" s="73">
        <f t="shared" si="18"/>
        <v>-503.219479166667</v>
      </c>
      <c r="J75" s="71"/>
      <c r="N75" s="71"/>
      <c r="O75" s="71"/>
      <c r="P75" s="71"/>
      <c r="Q75" s="83"/>
      <c r="R75" s="71"/>
      <c r="S75" s="71"/>
    </row>
    <row r="76" spans="1:19" ht="12.75">
      <c r="A76" s="72">
        <v>38808</v>
      </c>
      <c r="B76" s="83">
        <f t="shared" si="19"/>
        <v>-88750.00000000006</v>
      </c>
      <c r="C76" s="145">
        <v>-27789</v>
      </c>
      <c r="D76" s="73">
        <f>D75</f>
        <v>24094.5</v>
      </c>
      <c r="E76" s="109"/>
      <c r="F76" s="109"/>
      <c r="G76" s="73">
        <f t="shared" si="17"/>
        <v>-92444.50000000006</v>
      </c>
      <c r="H76" s="95">
        <v>0.0414</v>
      </c>
      <c r="I76" s="73">
        <f t="shared" si="18"/>
        <v>-306.18750000000017</v>
      </c>
      <c r="J76" s="71"/>
      <c r="N76" s="71"/>
      <c r="O76" s="71"/>
      <c r="P76" s="71"/>
      <c r="Q76" s="83"/>
      <c r="R76" s="71"/>
      <c r="S76" s="71"/>
    </row>
    <row r="77" spans="1:19" ht="12.75">
      <c r="A77" s="72" t="s">
        <v>113</v>
      </c>
      <c r="B77" s="83">
        <f>G76</f>
        <v>-92444.50000000006</v>
      </c>
      <c r="C77" s="145">
        <v>-49010</v>
      </c>
      <c r="D77" s="73"/>
      <c r="E77" s="109"/>
      <c r="F77" s="109"/>
      <c r="G77" s="73">
        <f t="shared" si="17"/>
        <v>-141454.50000000006</v>
      </c>
      <c r="H77" s="95">
        <f>H76</f>
        <v>0.0414</v>
      </c>
      <c r="I77" s="73">
        <f t="shared" si="18"/>
        <v>-318.9335250000002</v>
      </c>
      <c r="J77" s="71"/>
      <c r="N77" s="71"/>
      <c r="O77" s="71"/>
      <c r="P77" s="71"/>
      <c r="Q77" s="83"/>
      <c r="R77" s="71"/>
      <c r="S77" s="71"/>
    </row>
    <row r="78" spans="1:19" ht="13.5" thickBot="1">
      <c r="A78" s="72"/>
      <c r="B78" s="83"/>
      <c r="C78" s="110">
        <f>SUM(C73:C77)</f>
        <v>-172844</v>
      </c>
      <c r="D78" s="110">
        <f>SUM(D73:D77)</f>
        <v>96378</v>
      </c>
      <c r="E78" s="110">
        <f>SUM(E73:E77)</f>
        <v>0</v>
      </c>
      <c r="F78" s="110">
        <f>SUM(F73:F77)</f>
        <v>0</v>
      </c>
      <c r="H78" s="95"/>
      <c r="I78" s="110">
        <f>SUM(I73:I77)</f>
        <v>-1975.4879000000014</v>
      </c>
      <c r="J78" s="71"/>
      <c r="N78" s="71"/>
      <c r="O78" s="71"/>
      <c r="P78" s="71"/>
      <c r="Q78" s="83"/>
      <c r="R78" s="71"/>
      <c r="S78" s="71"/>
    </row>
    <row r="79" spans="1:19" ht="13.5" thickTop="1">
      <c r="A79" s="72"/>
      <c r="B79" s="83"/>
      <c r="C79" s="109"/>
      <c r="D79" s="73"/>
      <c r="E79" s="109"/>
      <c r="F79" s="109"/>
      <c r="H79" s="95"/>
      <c r="I79" s="73"/>
      <c r="J79" s="71"/>
      <c r="N79" s="71"/>
      <c r="O79" s="71"/>
      <c r="P79" s="71"/>
      <c r="Q79" s="83"/>
      <c r="R79" s="71"/>
      <c r="S79" s="71"/>
    </row>
    <row r="80" spans="1:19" ht="12.75">
      <c r="A80" s="72"/>
      <c r="B80" s="83"/>
      <c r="C80" s="109"/>
      <c r="D80" s="73"/>
      <c r="E80" s="109"/>
      <c r="F80" s="109"/>
      <c r="H80" s="95"/>
      <c r="I80" s="73"/>
      <c r="J80" s="71"/>
      <c r="N80" s="71"/>
      <c r="O80" s="71"/>
      <c r="P80" s="71"/>
      <c r="Q80" s="83"/>
      <c r="R80" s="71"/>
      <c r="S80" s="71"/>
    </row>
    <row r="81" spans="1:19" ht="12.75">
      <c r="A81" s="72"/>
      <c r="B81" s="83"/>
      <c r="C81" s="109"/>
      <c r="D81" s="73"/>
      <c r="E81" s="109"/>
      <c r="F81" s="109"/>
      <c r="H81" s="95"/>
      <c r="I81" s="73"/>
      <c r="J81" s="71"/>
      <c r="N81" s="71"/>
      <c r="O81" s="71"/>
      <c r="P81" s="71"/>
      <c r="Q81" s="83"/>
      <c r="R81" s="71"/>
      <c r="S81" s="71"/>
    </row>
    <row r="82" spans="1:19" ht="12.75">
      <c r="A82" s="72">
        <v>38838</v>
      </c>
      <c r="B82" s="83">
        <f>G77</f>
        <v>-141454.50000000006</v>
      </c>
      <c r="C82" s="120"/>
      <c r="D82" s="96">
        <v>0</v>
      </c>
      <c r="E82" s="120"/>
      <c r="F82" s="120"/>
      <c r="G82" s="73">
        <f t="shared" si="17"/>
        <v>-141454.50000000006</v>
      </c>
      <c r="H82" s="95">
        <v>0.0414</v>
      </c>
      <c r="I82" s="73">
        <f t="shared" si="18"/>
        <v>-488.01802500000014</v>
      </c>
      <c r="J82" s="71"/>
      <c r="N82" s="71"/>
      <c r="O82" s="71"/>
      <c r="P82" s="71"/>
      <c r="Q82" s="83"/>
      <c r="R82" s="71"/>
      <c r="S82" s="71"/>
    </row>
    <row r="83" spans="1:9" ht="12.75">
      <c r="A83" s="72">
        <v>38869</v>
      </c>
      <c r="B83" s="83">
        <f t="shared" si="19"/>
        <v>-141454.50000000006</v>
      </c>
      <c r="C83" s="120"/>
      <c r="D83" s="96">
        <v>0</v>
      </c>
      <c r="E83" s="114">
        <f>'2001-2006 1562 Summary'!M15</f>
        <v>-1589</v>
      </c>
      <c r="F83" s="114">
        <f>'2001-2006 1562 Summary'!M17</f>
        <v>66435</v>
      </c>
      <c r="G83" s="73">
        <f t="shared" si="17"/>
        <v>-76608.50000000006</v>
      </c>
      <c r="H83" s="95">
        <v>0.0414</v>
      </c>
      <c r="I83" s="73">
        <f t="shared" si="18"/>
        <v>-488.01802500000014</v>
      </c>
    </row>
    <row r="84" spans="1:9" ht="12.75">
      <c r="A84" s="72">
        <v>38899</v>
      </c>
      <c r="B84" s="83">
        <f t="shared" si="19"/>
        <v>-76608.50000000006</v>
      </c>
      <c r="C84" s="120"/>
      <c r="D84" s="96">
        <v>0</v>
      </c>
      <c r="E84" s="120"/>
      <c r="F84" s="120"/>
      <c r="G84" s="73">
        <f t="shared" si="17"/>
        <v>-76608.50000000006</v>
      </c>
      <c r="H84" s="95">
        <v>0.0459</v>
      </c>
      <c r="I84" s="73">
        <f t="shared" si="18"/>
        <v>-293.0275125000002</v>
      </c>
    </row>
    <row r="85" spans="1:9" ht="12.75">
      <c r="A85" s="72">
        <v>38930</v>
      </c>
      <c r="B85" s="83">
        <f t="shared" si="19"/>
        <v>-76608.50000000006</v>
      </c>
      <c r="C85" s="120"/>
      <c r="D85" s="97">
        <v>0</v>
      </c>
      <c r="E85" s="121"/>
      <c r="F85" s="121"/>
      <c r="G85" s="73">
        <f t="shared" si="17"/>
        <v>-76608.50000000006</v>
      </c>
      <c r="H85" s="95">
        <v>0.0459</v>
      </c>
      <c r="I85" s="73">
        <f t="shared" si="18"/>
        <v>-293.0275125000002</v>
      </c>
    </row>
    <row r="86" spans="1:9" ht="12.75">
      <c r="A86" s="72">
        <v>38961</v>
      </c>
      <c r="B86" s="83">
        <f t="shared" si="19"/>
        <v>-76608.50000000006</v>
      </c>
      <c r="C86" s="109"/>
      <c r="D86" s="98">
        <v>0</v>
      </c>
      <c r="E86" s="122"/>
      <c r="F86" s="122"/>
      <c r="G86" s="73">
        <f t="shared" si="17"/>
        <v>-76608.50000000006</v>
      </c>
      <c r="H86" s="95">
        <v>0.0459</v>
      </c>
      <c r="I86" s="73">
        <f t="shared" si="18"/>
        <v>-293.0275125000002</v>
      </c>
    </row>
    <row r="87" spans="1:9" ht="12.75">
      <c r="A87" s="72">
        <v>38991</v>
      </c>
      <c r="B87" s="83">
        <f>G86</f>
        <v>-76608.50000000006</v>
      </c>
      <c r="C87" s="115"/>
      <c r="D87" s="94"/>
      <c r="E87" s="115"/>
      <c r="F87" s="115"/>
      <c r="G87" s="73">
        <f>SUM(B87:F87)</f>
        <v>-76608.50000000006</v>
      </c>
      <c r="H87" s="95">
        <v>0.0459</v>
      </c>
      <c r="I87" s="73">
        <f>B87*H87/12</f>
        <v>-293.0275125000002</v>
      </c>
    </row>
    <row r="88" spans="1:9" ht="12.75">
      <c r="A88" s="72">
        <v>39022</v>
      </c>
      <c r="B88" s="83">
        <f>G87</f>
        <v>-76608.50000000006</v>
      </c>
      <c r="C88" s="115"/>
      <c r="D88" s="94"/>
      <c r="E88" s="115"/>
      <c r="F88" s="115"/>
      <c r="G88" s="73">
        <f>SUM(B88:F88)</f>
        <v>-76608.50000000006</v>
      </c>
      <c r="H88" s="95">
        <v>0.0459</v>
      </c>
      <c r="I88" s="73">
        <f>B88*H88/12</f>
        <v>-293.0275125000002</v>
      </c>
    </row>
    <row r="89" spans="1:9" ht="12.75">
      <c r="A89" s="72">
        <v>39052</v>
      </c>
      <c r="B89" s="83">
        <f>G88</f>
        <v>-76608.50000000006</v>
      </c>
      <c r="C89" s="115"/>
      <c r="D89" s="94"/>
      <c r="E89" s="115"/>
      <c r="F89" s="115"/>
      <c r="G89" s="73">
        <f>SUM(B89:F89)</f>
        <v>-76608.50000000006</v>
      </c>
      <c r="H89" s="95">
        <v>0.0459</v>
      </c>
      <c r="I89" s="73">
        <f>B89*H89/12</f>
        <v>-293.0275125000002</v>
      </c>
    </row>
    <row r="90" spans="1:9" ht="13.5" thickBot="1">
      <c r="A90" s="74" t="s">
        <v>96</v>
      </c>
      <c r="B90" s="74"/>
      <c r="C90" s="110">
        <f>SUM(C82:C89)</f>
        <v>0</v>
      </c>
      <c r="D90" s="75">
        <f>SUM(D82:D89)</f>
        <v>0</v>
      </c>
      <c r="E90" s="110">
        <f>SUM(E82:E89)</f>
        <v>-1589</v>
      </c>
      <c r="F90" s="110">
        <f>SUM(F82:F89)</f>
        <v>66435</v>
      </c>
      <c r="I90" s="75">
        <f>SUM(I82:I89)</f>
        <v>-2734.201125000002</v>
      </c>
    </row>
    <row r="91" ht="13.5" thickTop="1">
      <c r="C91" s="113"/>
    </row>
    <row r="92" spans="1:9" ht="13.5" thickBot="1">
      <c r="A92" s="74" t="s">
        <v>98</v>
      </c>
      <c r="B92" s="74"/>
      <c r="C92" s="110">
        <f>C90+C78</f>
        <v>-172844</v>
      </c>
      <c r="D92" s="75">
        <f>D90+D78</f>
        <v>96378</v>
      </c>
      <c r="E92" s="110">
        <f>E90+E78</f>
        <v>-1589</v>
      </c>
      <c r="F92" s="110">
        <f>F90+F78</f>
        <v>66435</v>
      </c>
      <c r="G92" s="82"/>
      <c r="H92" s="94"/>
      <c r="I92" s="75">
        <f>I90+I78</f>
        <v>-4709.689025000003</v>
      </c>
    </row>
    <row r="93" spans="3:9" ht="15.75" thickTop="1">
      <c r="C93" s="113"/>
      <c r="D93" s="73"/>
      <c r="E93" s="109"/>
      <c r="F93" s="109"/>
      <c r="G93"/>
      <c r="H93" s="73"/>
      <c r="I93" s="73"/>
    </row>
    <row r="94" spans="3:9" ht="15">
      <c r="C94" s="113"/>
      <c r="D94" s="73"/>
      <c r="E94" s="109"/>
      <c r="F94" s="109"/>
      <c r="G94"/>
      <c r="H94" s="73"/>
      <c r="I94" s="73"/>
    </row>
    <row r="95" spans="1:9" ht="40.5" customHeight="1" thickBot="1">
      <c r="A95" s="100" t="s">
        <v>107</v>
      </c>
      <c r="B95" s="72"/>
      <c r="C95" s="116">
        <f>C21+C37+C53+C69+C92</f>
        <v>-1702549</v>
      </c>
      <c r="D95" s="79">
        <f>D21+D37+D53+D69+D92+D7</f>
        <v>1678147.5</v>
      </c>
      <c r="E95" s="116">
        <f>E21+E37+E53+E69+E92</f>
        <v>47909</v>
      </c>
      <c r="F95" s="116">
        <f>F21+F37+F53+F69+F92</f>
        <v>-100116</v>
      </c>
      <c r="G95" s="88"/>
      <c r="H95" s="73"/>
      <c r="I95" s="79">
        <f>I21+I37+I53+I69+I92</f>
        <v>12344.023787499991</v>
      </c>
    </row>
    <row r="96" spans="3:9" ht="15.75" thickTop="1">
      <c r="C96" s="113"/>
      <c r="D96" s="73"/>
      <c r="E96" s="109"/>
      <c r="F96" s="109"/>
      <c r="G96"/>
      <c r="H96" s="73"/>
      <c r="I96" s="73"/>
    </row>
    <row r="97" spans="1:9" ht="15">
      <c r="A97" s="90" t="s">
        <v>95</v>
      </c>
      <c r="B97" s="90"/>
      <c r="C97" s="117">
        <f>C95-'2001-2006 1562 Summary'!O20</f>
        <v>0</v>
      </c>
      <c r="D97" s="91">
        <f>D95-'2001-2006 1562 Summary'!O12-'2001-2006 1562 Summary'!O13</f>
        <v>0</v>
      </c>
      <c r="E97" s="117">
        <f>E95-'2001-2006 1562 Summary'!O14-'2001-2006 1562 Summary'!O15</f>
        <v>0</v>
      </c>
      <c r="F97" s="123">
        <f>F95-'2001-2006 1562 Summary'!O17</f>
        <v>0</v>
      </c>
      <c r="G97" s="92">
        <f>G89-('2001-2006 1562 Summary'!O22-'2001-2006 1562 Summary'!O19)</f>
        <v>0</v>
      </c>
      <c r="H97" s="89"/>
      <c r="I97" s="92">
        <f>I95-I90-'2001-2006 1562 Summary'!O19</f>
        <v>0</v>
      </c>
    </row>
    <row r="101" spans="1:9" ht="12.75">
      <c r="A101" s="72">
        <v>39083</v>
      </c>
      <c r="B101" s="83">
        <f>G89</f>
        <v>-76608.50000000006</v>
      </c>
      <c r="C101" s="130"/>
      <c r="D101" s="99"/>
      <c r="E101" s="118"/>
      <c r="F101" s="118"/>
      <c r="G101" s="73">
        <f aca="true" t="shared" si="20" ref="G101:G112">SUM(B101:F101)</f>
        <v>-76608.50000000006</v>
      </c>
      <c r="H101" s="95">
        <v>0.0459</v>
      </c>
      <c r="I101" s="73">
        <f aca="true" t="shared" si="21" ref="I101:I112">B101*H101/12</f>
        <v>-293.0275125000002</v>
      </c>
    </row>
    <row r="102" spans="1:9" ht="12.75">
      <c r="A102" s="72">
        <v>39114</v>
      </c>
      <c r="B102" s="83">
        <f>G101</f>
        <v>-76608.50000000006</v>
      </c>
      <c r="C102" s="130"/>
      <c r="D102" s="99"/>
      <c r="E102" s="118"/>
      <c r="F102" s="118"/>
      <c r="G102" s="73">
        <f t="shared" si="20"/>
        <v>-76608.50000000006</v>
      </c>
      <c r="H102" s="95">
        <v>0.0459</v>
      </c>
      <c r="I102" s="73">
        <f t="shared" si="21"/>
        <v>-293.0275125000002</v>
      </c>
    </row>
    <row r="103" spans="1:9" ht="12.75">
      <c r="A103" s="72">
        <v>39142</v>
      </c>
      <c r="B103" s="83">
        <f aca="true" t="shared" si="22" ref="B103:B112">G102</f>
        <v>-76608.50000000006</v>
      </c>
      <c r="C103" s="130"/>
      <c r="D103" s="99"/>
      <c r="E103" s="118"/>
      <c r="F103" s="118"/>
      <c r="G103" s="73">
        <f t="shared" si="20"/>
        <v>-76608.50000000006</v>
      </c>
      <c r="H103" s="95">
        <v>0.0459</v>
      </c>
      <c r="I103" s="73">
        <f t="shared" si="21"/>
        <v>-293.0275125000002</v>
      </c>
    </row>
    <row r="104" spans="1:9" ht="12.75">
      <c r="A104" s="72">
        <v>39173</v>
      </c>
      <c r="B104" s="83">
        <f t="shared" si="22"/>
        <v>-76608.50000000006</v>
      </c>
      <c r="C104" s="130"/>
      <c r="D104" s="99"/>
      <c r="E104" s="118"/>
      <c r="F104" s="118"/>
      <c r="G104" s="73">
        <f t="shared" si="20"/>
        <v>-76608.50000000006</v>
      </c>
      <c r="H104" s="95">
        <v>0.0459</v>
      </c>
      <c r="I104" s="73">
        <f t="shared" si="21"/>
        <v>-293.0275125000002</v>
      </c>
    </row>
    <row r="105" spans="1:9" ht="12.75">
      <c r="A105" s="72">
        <v>39203</v>
      </c>
      <c r="B105" s="83">
        <f t="shared" si="22"/>
        <v>-76608.50000000006</v>
      </c>
      <c r="C105" s="130"/>
      <c r="D105" s="99"/>
      <c r="E105" s="118"/>
      <c r="F105" s="118"/>
      <c r="G105" s="73">
        <f t="shared" si="20"/>
        <v>-76608.50000000006</v>
      </c>
      <c r="H105" s="95">
        <v>0.0459</v>
      </c>
      <c r="I105" s="73">
        <f t="shared" si="21"/>
        <v>-293.0275125000002</v>
      </c>
    </row>
    <row r="106" spans="1:9" ht="12.75">
      <c r="A106" s="72">
        <v>39234</v>
      </c>
      <c r="B106" s="83">
        <f t="shared" si="22"/>
        <v>-76608.50000000006</v>
      </c>
      <c r="C106" s="130"/>
      <c r="D106" s="99"/>
      <c r="E106" s="118"/>
      <c r="F106" s="118"/>
      <c r="G106" s="73">
        <f t="shared" si="20"/>
        <v>-76608.50000000006</v>
      </c>
      <c r="H106" s="95">
        <v>0.0459</v>
      </c>
      <c r="I106" s="73">
        <f t="shared" si="21"/>
        <v>-293.0275125000002</v>
      </c>
    </row>
    <row r="107" spans="1:9" ht="12.75">
      <c r="A107" s="72">
        <v>39264</v>
      </c>
      <c r="B107" s="83">
        <f t="shared" si="22"/>
        <v>-76608.50000000006</v>
      </c>
      <c r="C107" s="130"/>
      <c r="D107" s="99"/>
      <c r="E107" s="118"/>
      <c r="F107" s="118"/>
      <c r="G107" s="73">
        <f t="shared" si="20"/>
        <v>-76608.50000000006</v>
      </c>
      <c r="H107" s="95">
        <v>0.0459</v>
      </c>
      <c r="I107" s="73">
        <f t="shared" si="21"/>
        <v>-293.0275125000002</v>
      </c>
    </row>
    <row r="108" spans="1:9" ht="12.75">
      <c r="A108" s="72">
        <v>39295</v>
      </c>
      <c r="B108" s="83">
        <f t="shared" si="22"/>
        <v>-76608.50000000006</v>
      </c>
      <c r="C108" s="130"/>
      <c r="D108" s="99"/>
      <c r="E108" s="118"/>
      <c r="F108" s="118"/>
      <c r="G108" s="73">
        <f t="shared" si="20"/>
        <v>-76608.50000000006</v>
      </c>
      <c r="H108" s="95">
        <v>0.0459</v>
      </c>
      <c r="I108" s="73">
        <f t="shared" si="21"/>
        <v>-293.0275125000002</v>
      </c>
    </row>
    <row r="109" spans="1:9" ht="12.75">
      <c r="A109" s="72">
        <v>39326</v>
      </c>
      <c r="B109" s="83">
        <f t="shared" si="22"/>
        <v>-76608.50000000006</v>
      </c>
      <c r="C109" s="130"/>
      <c r="D109" s="99"/>
      <c r="E109" s="118"/>
      <c r="F109" s="118"/>
      <c r="G109" s="73">
        <f t="shared" si="20"/>
        <v>-76608.50000000006</v>
      </c>
      <c r="H109" s="95">
        <v>0.0459</v>
      </c>
      <c r="I109" s="73">
        <f t="shared" si="21"/>
        <v>-293.0275125000002</v>
      </c>
    </row>
    <row r="110" spans="1:9" ht="12.75">
      <c r="A110" s="72">
        <v>39356</v>
      </c>
      <c r="B110" s="83">
        <f t="shared" si="22"/>
        <v>-76608.50000000006</v>
      </c>
      <c r="C110" s="130"/>
      <c r="D110" s="99"/>
      <c r="E110" s="118"/>
      <c r="F110" s="118"/>
      <c r="G110" s="73">
        <f t="shared" si="20"/>
        <v>-76608.50000000006</v>
      </c>
      <c r="H110" s="95">
        <v>0.0514</v>
      </c>
      <c r="I110" s="73">
        <f t="shared" si="21"/>
        <v>-328.1397416666669</v>
      </c>
    </row>
    <row r="111" spans="1:9" ht="12.75">
      <c r="A111" s="72">
        <v>39387</v>
      </c>
      <c r="B111" s="83">
        <f t="shared" si="22"/>
        <v>-76608.50000000006</v>
      </c>
      <c r="C111" s="130"/>
      <c r="D111" s="99"/>
      <c r="E111" s="118"/>
      <c r="F111" s="118"/>
      <c r="G111" s="73">
        <f t="shared" si="20"/>
        <v>-76608.50000000006</v>
      </c>
      <c r="H111" s="95">
        <v>0.0514</v>
      </c>
      <c r="I111" s="73">
        <f t="shared" si="21"/>
        <v>-328.1397416666669</v>
      </c>
    </row>
    <row r="112" spans="1:9" ht="12.75">
      <c r="A112" s="72">
        <v>39417</v>
      </c>
      <c r="B112" s="83">
        <f t="shared" si="22"/>
        <v>-76608.50000000006</v>
      </c>
      <c r="C112" s="130"/>
      <c r="D112" s="99"/>
      <c r="E112" s="118"/>
      <c r="F112" s="118"/>
      <c r="G112" s="73">
        <f t="shared" si="20"/>
        <v>-76608.50000000006</v>
      </c>
      <c r="H112" s="95">
        <v>0.0514</v>
      </c>
      <c r="I112" s="73">
        <f t="shared" si="21"/>
        <v>-328.1397416666669</v>
      </c>
    </row>
    <row r="113" spans="1:9" ht="13.5" thickBot="1">
      <c r="A113" s="74" t="s">
        <v>98</v>
      </c>
      <c r="B113" s="74"/>
      <c r="C113" s="131"/>
      <c r="D113" s="94"/>
      <c r="E113" s="115"/>
      <c r="F113" s="115"/>
      <c r="G113" s="82"/>
      <c r="H113" s="94"/>
      <c r="I113" s="75">
        <f>SUM(I101:I112)</f>
        <v>-3621.6668375000027</v>
      </c>
    </row>
    <row r="114" spans="1:3" ht="13.5" thickTop="1">
      <c r="A114" s="72"/>
      <c r="C114" s="132"/>
    </row>
    <row r="115" spans="1:3" ht="12.75">
      <c r="A115" s="72"/>
      <c r="C115" s="132"/>
    </row>
    <row r="116" spans="1:3" ht="12.75">
      <c r="A116" s="72"/>
      <c r="C116" s="132"/>
    </row>
    <row r="117" spans="1:9" ht="12.75">
      <c r="A117" s="72">
        <v>39448</v>
      </c>
      <c r="B117" s="83">
        <f>G112</f>
        <v>-76608.50000000006</v>
      </c>
      <c r="C117" s="130"/>
      <c r="D117" s="99"/>
      <c r="E117" s="118"/>
      <c r="F117" s="118"/>
      <c r="G117" s="73">
        <f aca="true" t="shared" si="23" ref="G117:G128">SUM(B117:F117)</f>
        <v>-76608.50000000006</v>
      </c>
      <c r="H117" s="95">
        <v>0.0514</v>
      </c>
      <c r="I117" s="73">
        <f aca="true" t="shared" si="24" ref="I117:I128">B117*H117/12</f>
        <v>-328.1397416666669</v>
      </c>
    </row>
    <row r="118" spans="1:9" ht="12.75">
      <c r="A118" s="72">
        <v>39479</v>
      </c>
      <c r="B118" s="83">
        <f>G117</f>
        <v>-76608.50000000006</v>
      </c>
      <c r="C118" s="130"/>
      <c r="D118" s="99"/>
      <c r="E118" s="118"/>
      <c r="F118" s="118"/>
      <c r="G118" s="73">
        <f t="shared" si="23"/>
        <v>-76608.50000000006</v>
      </c>
      <c r="H118" s="95">
        <v>0.0514</v>
      </c>
      <c r="I118" s="73">
        <f t="shared" si="24"/>
        <v>-328.1397416666669</v>
      </c>
    </row>
    <row r="119" spans="1:9" ht="12.75">
      <c r="A119" s="72">
        <v>39508</v>
      </c>
      <c r="B119" s="83">
        <f aca="true" t="shared" si="25" ref="B119:B128">G118</f>
        <v>-76608.50000000006</v>
      </c>
      <c r="C119" s="130"/>
      <c r="D119" s="99"/>
      <c r="E119" s="118"/>
      <c r="F119" s="118"/>
      <c r="G119" s="73">
        <f t="shared" si="23"/>
        <v>-76608.50000000006</v>
      </c>
      <c r="H119" s="95">
        <v>0.0514</v>
      </c>
      <c r="I119" s="73">
        <f t="shared" si="24"/>
        <v>-328.1397416666669</v>
      </c>
    </row>
    <row r="120" spans="1:9" ht="12.75">
      <c r="A120" s="72">
        <v>39539</v>
      </c>
      <c r="B120" s="83">
        <f t="shared" si="25"/>
        <v>-76608.50000000006</v>
      </c>
      <c r="C120" s="130"/>
      <c r="D120" s="99"/>
      <c r="E120" s="118"/>
      <c r="F120" s="118"/>
      <c r="G120" s="73">
        <f t="shared" si="23"/>
        <v>-76608.50000000006</v>
      </c>
      <c r="H120" s="101">
        <v>0.0408</v>
      </c>
      <c r="I120" s="73">
        <f t="shared" si="24"/>
        <v>-260.46890000000025</v>
      </c>
    </row>
    <row r="121" spans="1:9" ht="12.75">
      <c r="A121" s="72">
        <v>39569</v>
      </c>
      <c r="B121" s="83">
        <f t="shared" si="25"/>
        <v>-76608.50000000006</v>
      </c>
      <c r="C121" s="130"/>
      <c r="D121" s="99"/>
      <c r="E121" s="118"/>
      <c r="F121" s="118"/>
      <c r="G121" s="73">
        <f t="shared" si="23"/>
        <v>-76608.50000000006</v>
      </c>
      <c r="H121" s="101">
        <v>0.0408</v>
      </c>
      <c r="I121" s="73">
        <f t="shared" si="24"/>
        <v>-260.46890000000025</v>
      </c>
    </row>
    <row r="122" spans="1:9" ht="12.75">
      <c r="A122" s="72">
        <v>39600</v>
      </c>
      <c r="B122" s="83">
        <f t="shared" si="25"/>
        <v>-76608.50000000006</v>
      </c>
      <c r="C122" s="130"/>
      <c r="D122" s="99"/>
      <c r="E122" s="118"/>
      <c r="F122" s="118"/>
      <c r="G122" s="73">
        <f t="shared" si="23"/>
        <v>-76608.50000000006</v>
      </c>
      <c r="H122" s="101">
        <v>0.0408</v>
      </c>
      <c r="I122" s="73">
        <f t="shared" si="24"/>
        <v>-260.46890000000025</v>
      </c>
    </row>
    <row r="123" spans="1:9" ht="12.75">
      <c r="A123" s="72">
        <v>39630</v>
      </c>
      <c r="B123" s="83">
        <f t="shared" si="25"/>
        <v>-76608.50000000006</v>
      </c>
      <c r="C123" s="130"/>
      <c r="D123" s="99"/>
      <c r="E123" s="118"/>
      <c r="F123" s="118"/>
      <c r="G123" s="73">
        <f t="shared" si="23"/>
        <v>-76608.50000000006</v>
      </c>
      <c r="H123" s="101">
        <v>0.0335</v>
      </c>
      <c r="I123" s="73">
        <f t="shared" si="24"/>
        <v>-213.8653958333335</v>
      </c>
    </row>
    <row r="124" spans="1:9" ht="12.75">
      <c r="A124" s="72">
        <v>39661</v>
      </c>
      <c r="B124" s="83">
        <f t="shared" si="25"/>
        <v>-76608.50000000006</v>
      </c>
      <c r="C124" s="130"/>
      <c r="D124" s="99"/>
      <c r="E124" s="118"/>
      <c r="F124" s="118"/>
      <c r="G124" s="73">
        <f t="shared" si="23"/>
        <v>-76608.50000000006</v>
      </c>
      <c r="H124" s="101">
        <v>0.0335</v>
      </c>
      <c r="I124" s="73">
        <f t="shared" si="24"/>
        <v>-213.8653958333335</v>
      </c>
    </row>
    <row r="125" spans="1:9" ht="12.75">
      <c r="A125" s="72">
        <v>39692</v>
      </c>
      <c r="B125" s="83">
        <f t="shared" si="25"/>
        <v>-76608.50000000006</v>
      </c>
      <c r="C125" s="130"/>
      <c r="D125" s="99"/>
      <c r="E125" s="118"/>
      <c r="F125" s="118"/>
      <c r="G125" s="73">
        <f t="shared" si="23"/>
        <v>-76608.50000000006</v>
      </c>
      <c r="H125" s="101">
        <v>0.0335</v>
      </c>
      <c r="I125" s="73">
        <f t="shared" si="24"/>
        <v>-213.8653958333335</v>
      </c>
    </row>
    <row r="126" spans="1:9" ht="12.75">
      <c r="A126" s="72">
        <v>39722</v>
      </c>
      <c r="B126" s="83">
        <f t="shared" si="25"/>
        <v>-76608.50000000006</v>
      </c>
      <c r="C126" s="130"/>
      <c r="D126" s="99"/>
      <c r="E126" s="118"/>
      <c r="F126" s="118"/>
      <c r="G126" s="73">
        <f t="shared" si="23"/>
        <v>-76608.50000000006</v>
      </c>
      <c r="H126" s="101">
        <v>0.0335</v>
      </c>
      <c r="I126" s="73">
        <f t="shared" si="24"/>
        <v>-213.8653958333335</v>
      </c>
    </row>
    <row r="127" spans="1:9" ht="12.75">
      <c r="A127" s="72">
        <v>39753</v>
      </c>
      <c r="B127" s="83">
        <f t="shared" si="25"/>
        <v>-76608.50000000006</v>
      </c>
      <c r="C127" s="130"/>
      <c r="D127" s="99"/>
      <c r="E127" s="118"/>
      <c r="F127" s="118"/>
      <c r="G127" s="73">
        <f t="shared" si="23"/>
        <v>-76608.50000000006</v>
      </c>
      <c r="H127" s="101">
        <v>0.0335</v>
      </c>
      <c r="I127" s="73">
        <f t="shared" si="24"/>
        <v>-213.8653958333335</v>
      </c>
    </row>
    <row r="128" spans="1:9" ht="12.75">
      <c r="A128" s="72">
        <v>39783</v>
      </c>
      <c r="B128" s="83">
        <f t="shared" si="25"/>
        <v>-76608.50000000006</v>
      </c>
      <c r="C128" s="130"/>
      <c r="D128" s="99"/>
      <c r="E128" s="118"/>
      <c r="F128" s="118"/>
      <c r="G128" s="73">
        <f t="shared" si="23"/>
        <v>-76608.50000000006</v>
      </c>
      <c r="H128" s="101">
        <v>0.0335</v>
      </c>
      <c r="I128" s="73">
        <f t="shared" si="24"/>
        <v>-213.8653958333335</v>
      </c>
    </row>
    <row r="129" spans="1:9" ht="13.5" thickBot="1">
      <c r="A129" s="74" t="s">
        <v>98</v>
      </c>
      <c r="B129" s="74"/>
      <c r="C129" s="131"/>
      <c r="D129" s="94"/>
      <c r="E129" s="115"/>
      <c r="F129" s="115"/>
      <c r="G129" s="82"/>
      <c r="H129" s="94"/>
      <c r="I129" s="75">
        <f>SUM(I117:I128)</f>
        <v>-3049.0183000000025</v>
      </c>
    </row>
    <row r="130" spans="1:3" ht="13.5" thickTop="1">
      <c r="A130" s="72"/>
      <c r="C130" s="132"/>
    </row>
    <row r="131" spans="1:3" ht="12.75">
      <c r="A131" s="72"/>
      <c r="C131" s="132"/>
    </row>
    <row r="132" spans="1:3" ht="12.75">
      <c r="A132" s="72"/>
      <c r="C132" s="132"/>
    </row>
    <row r="133" spans="1:9" ht="12.75">
      <c r="A133" s="72">
        <v>39814</v>
      </c>
      <c r="B133" s="83">
        <f>G128</f>
        <v>-76608.50000000006</v>
      </c>
      <c r="C133" s="130"/>
      <c r="D133" s="99"/>
      <c r="E133" s="118"/>
      <c r="F133" s="118"/>
      <c r="G133" s="73">
        <f aca="true" t="shared" si="26" ref="G133:G144">SUM(B133:F133)</f>
        <v>-76608.50000000006</v>
      </c>
      <c r="H133" s="101">
        <v>0.0245</v>
      </c>
      <c r="I133" s="73">
        <f aca="true" t="shared" si="27" ref="I133:I144">B133*H133/12</f>
        <v>-156.40902083333347</v>
      </c>
    </row>
    <row r="134" spans="1:9" ht="12.75">
      <c r="A134" s="72">
        <v>39845</v>
      </c>
      <c r="B134" s="83">
        <f>G133</f>
        <v>-76608.50000000006</v>
      </c>
      <c r="C134" s="130"/>
      <c r="D134" s="99"/>
      <c r="E134" s="118"/>
      <c r="F134" s="118"/>
      <c r="G134" s="73">
        <f t="shared" si="26"/>
        <v>-76608.50000000006</v>
      </c>
      <c r="H134" s="101">
        <v>0.0245</v>
      </c>
      <c r="I134" s="73">
        <f t="shared" si="27"/>
        <v>-156.40902083333347</v>
      </c>
    </row>
    <row r="135" spans="1:9" ht="12.75">
      <c r="A135" s="72">
        <v>39873</v>
      </c>
      <c r="B135" s="83">
        <f aca="true" t="shared" si="28" ref="B135:B144">G134</f>
        <v>-76608.50000000006</v>
      </c>
      <c r="C135" s="130"/>
      <c r="D135" s="99"/>
      <c r="E135" s="118"/>
      <c r="F135" s="118"/>
      <c r="G135" s="73">
        <f t="shared" si="26"/>
        <v>-76608.50000000006</v>
      </c>
      <c r="H135" s="101">
        <v>0.0245</v>
      </c>
      <c r="I135" s="73">
        <f t="shared" si="27"/>
        <v>-156.40902083333347</v>
      </c>
    </row>
    <row r="136" spans="1:9" ht="12.75">
      <c r="A136" s="72">
        <v>39904</v>
      </c>
      <c r="B136" s="83">
        <f t="shared" si="28"/>
        <v>-76608.50000000006</v>
      </c>
      <c r="C136" s="130"/>
      <c r="D136" s="99"/>
      <c r="E136" s="118"/>
      <c r="F136" s="118"/>
      <c r="G136" s="73">
        <f t="shared" si="26"/>
        <v>-76608.50000000006</v>
      </c>
      <c r="H136" s="101">
        <v>0.01</v>
      </c>
      <c r="I136" s="73">
        <f t="shared" si="27"/>
        <v>-63.84041666666672</v>
      </c>
    </row>
    <row r="137" spans="1:9" ht="12.75">
      <c r="A137" s="72">
        <v>39934</v>
      </c>
      <c r="B137" s="83">
        <f t="shared" si="28"/>
        <v>-76608.50000000006</v>
      </c>
      <c r="C137" s="130"/>
      <c r="D137" s="99"/>
      <c r="E137" s="118"/>
      <c r="F137" s="118"/>
      <c r="G137" s="73">
        <f t="shared" si="26"/>
        <v>-76608.50000000006</v>
      </c>
      <c r="H137" s="101">
        <v>0.01</v>
      </c>
      <c r="I137" s="73">
        <f t="shared" si="27"/>
        <v>-63.84041666666672</v>
      </c>
    </row>
    <row r="138" spans="1:9" ht="12.75">
      <c r="A138" s="72">
        <v>39965</v>
      </c>
      <c r="B138" s="83">
        <f t="shared" si="28"/>
        <v>-76608.50000000006</v>
      </c>
      <c r="C138" s="130"/>
      <c r="D138" s="99"/>
      <c r="E138" s="118"/>
      <c r="F138" s="118"/>
      <c r="G138" s="73">
        <f t="shared" si="26"/>
        <v>-76608.50000000006</v>
      </c>
      <c r="H138" s="101">
        <v>0.01</v>
      </c>
      <c r="I138" s="73">
        <f t="shared" si="27"/>
        <v>-63.84041666666672</v>
      </c>
    </row>
    <row r="139" spans="1:9" ht="12.75">
      <c r="A139" s="72">
        <v>39995</v>
      </c>
      <c r="B139" s="83">
        <f t="shared" si="28"/>
        <v>-76608.50000000006</v>
      </c>
      <c r="C139" s="130"/>
      <c r="D139" s="99"/>
      <c r="E139" s="118"/>
      <c r="F139" s="118"/>
      <c r="G139" s="73">
        <f t="shared" si="26"/>
        <v>-76608.50000000006</v>
      </c>
      <c r="H139" s="101">
        <v>0.0055</v>
      </c>
      <c r="I139" s="73">
        <f t="shared" si="27"/>
        <v>-35.11222916666669</v>
      </c>
    </row>
    <row r="140" spans="1:9" ht="12.75">
      <c r="A140" s="72">
        <v>40026</v>
      </c>
      <c r="B140" s="83">
        <f t="shared" si="28"/>
        <v>-76608.50000000006</v>
      </c>
      <c r="C140" s="130"/>
      <c r="D140" s="99"/>
      <c r="E140" s="118"/>
      <c r="F140" s="118"/>
      <c r="G140" s="73">
        <f t="shared" si="26"/>
        <v>-76608.50000000006</v>
      </c>
      <c r="H140" s="101">
        <v>0.0055</v>
      </c>
      <c r="I140" s="73">
        <f t="shared" si="27"/>
        <v>-35.11222916666669</v>
      </c>
    </row>
    <row r="141" spans="1:9" ht="12.75">
      <c r="A141" s="72">
        <v>40057</v>
      </c>
      <c r="B141" s="83">
        <f t="shared" si="28"/>
        <v>-76608.50000000006</v>
      </c>
      <c r="C141" s="130"/>
      <c r="D141" s="99"/>
      <c r="E141" s="118"/>
      <c r="F141" s="118"/>
      <c r="G141" s="73">
        <f t="shared" si="26"/>
        <v>-76608.50000000006</v>
      </c>
      <c r="H141" s="101">
        <v>0.0055</v>
      </c>
      <c r="I141" s="73">
        <f t="shared" si="27"/>
        <v>-35.11222916666669</v>
      </c>
    </row>
    <row r="142" spans="1:9" ht="12.75">
      <c r="A142" s="72">
        <v>40087</v>
      </c>
      <c r="B142" s="83">
        <f t="shared" si="28"/>
        <v>-76608.50000000006</v>
      </c>
      <c r="C142" s="130"/>
      <c r="D142" s="99"/>
      <c r="E142" s="118"/>
      <c r="F142" s="118"/>
      <c r="G142" s="73">
        <f t="shared" si="26"/>
        <v>-76608.50000000006</v>
      </c>
      <c r="H142" s="101">
        <v>0.0055</v>
      </c>
      <c r="I142" s="73">
        <f t="shared" si="27"/>
        <v>-35.11222916666669</v>
      </c>
    </row>
    <row r="143" spans="1:9" ht="12.75">
      <c r="A143" s="72">
        <v>40118</v>
      </c>
      <c r="B143" s="83">
        <f t="shared" si="28"/>
        <v>-76608.50000000006</v>
      </c>
      <c r="C143" s="130"/>
      <c r="D143" s="99"/>
      <c r="E143" s="118"/>
      <c r="F143" s="118"/>
      <c r="G143" s="73">
        <f t="shared" si="26"/>
        <v>-76608.50000000006</v>
      </c>
      <c r="H143" s="101">
        <v>0.0055</v>
      </c>
      <c r="I143" s="73">
        <f t="shared" si="27"/>
        <v>-35.11222916666669</v>
      </c>
    </row>
    <row r="144" spans="1:9" ht="12.75">
      <c r="A144" s="72">
        <v>40148</v>
      </c>
      <c r="B144" s="83">
        <f t="shared" si="28"/>
        <v>-76608.50000000006</v>
      </c>
      <c r="C144" s="130"/>
      <c r="D144" s="99"/>
      <c r="E144" s="118"/>
      <c r="F144" s="118"/>
      <c r="G144" s="73">
        <f t="shared" si="26"/>
        <v>-76608.50000000006</v>
      </c>
      <c r="H144" s="101">
        <v>0.0055</v>
      </c>
      <c r="I144" s="73">
        <f t="shared" si="27"/>
        <v>-35.11222916666669</v>
      </c>
    </row>
    <row r="145" spans="1:9" ht="13.5" thickBot="1">
      <c r="A145" s="74" t="s">
        <v>98</v>
      </c>
      <c r="B145" s="74"/>
      <c r="C145" s="131"/>
      <c r="D145" s="94"/>
      <c r="E145" s="115"/>
      <c r="F145" s="115"/>
      <c r="G145" s="82"/>
      <c r="H145" s="94"/>
      <c r="I145" s="75">
        <f>SUM(I133:I144)</f>
        <v>-871.4216875000005</v>
      </c>
    </row>
    <row r="146" spans="1:3" ht="13.5" thickTop="1">
      <c r="A146" s="72"/>
      <c r="C146" s="132"/>
    </row>
    <row r="147" spans="1:3" ht="12.75">
      <c r="A147" s="72"/>
      <c r="C147" s="132"/>
    </row>
    <row r="148" spans="1:3" ht="12.75">
      <c r="A148" s="72"/>
      <c r="C148" s="132"/>
    </row>
    <row r="149" spans="1:9" ht="12.75">
      <c r="A149" s="72">
        <v>40179</v>
      </c>
      <c r="B149" s="83">
        <f>G144</f>
        <v>-76608.50000000006</v>
      </c>
      <c r="C149" s="130"/>
      <c r="D149" s="99"/>
      <c r="E149" s="118"/>
      <c r="F149" s="118"/>
      <c r="G149" s="73">
        <f aca="true" t="shared" si="29" ref="G149:G160">SUM(B149:F149)</f>
        <v>-76608.50000000006</v>
      </c>
      <c r="H149" s="101">
        <v>0.0055</v>
      </c>
      <c r="I149" s="73">
        <f aca="true" t="shared" si="30" ref="I149:I160">B149*H149/12</f>
        <v>-35.11222916666669</v>
      </c>
    </row>
    <row r="150" spans="1:9" ht="12.75">
      <c r="A150" s="72">
        <v>40210</v>
      </c>
      <c r="B150" s="83">
        <f>G149</f>
        <v>-76608.50000000006</v>
      </c>
      <c r="C150" s="130"/>
      <c r="D150" s="99"/>
      <c r="E150" s="118"/>
      <c r="F150" s="118"/>
      <c r="G150" s="73">
        <f t="shared" si="29"/>
        <v>-76608.50000000006</v>
      </c>
      <c r="H150" s="101">
        <v>0.0055</v>
      </c>
      <c r="I150" s="73">
        <f t="shared" si="30"/>
        <v>-35.11222916666669</v>
      </c>
    </row>
    <row r="151" spans="1:9" ht="12.75">
      <c r="A151" s="72">
        <v>40238</v>
      </c>
      <c r="B151" s="83">
        <f aca="true" t="shared" si="31" ref="B151:B160">G150</f>
        <v>-76608.50000000006</v>
      </c>
      <c r="C151" s="130"/>
      <c r="D151" s="99"/>
      <c r="E151" s="118"/>
      <c r="F151" s="118"/>
      <c r="G151" s="73">
        <f t="shared" si="29"/>
        <v>-76608.50000000006</v>
      </c>
      <c r="H151" s="101">
        <v>0.0055</v>
      </c>
      <c r="I151" s="73">
        <f t="shared" si="30"/>
        <v>-35.11222916666669</v>
      </c>
    </row>
    <row r="152" spans="1:9" ht="12.75">
      <c r="A152" s="72">
        <v>40269</v>
      </c>
      <c r="B152" s="83">
        <f t="shared" si="31"/>
        <v>-76608.50000000006</v>
      </c>
      <c r="C152" s="130"/>
      <c r="D152" s="99"/>
      <c r="E152" s="118"/>
      <c r="F152" s="118"/>
      <c r="G152" s="73">
        <f t="shared" si="29"/>
        <v>-76608.50000000006</v>
      </c>
      <c r="H152" s="101">
        <v>0.0055</v>
      </c>
      <c r="I152" s="73">
        <f t="shared" si="30"/>
        <v>-35.11222916666669</v>
      </c>
    </row>
    <row r="153" spans="1:9" ht="12.75">
      <c r="A153" s="72">
        <v>40299</v>
      </c>
      <c r="B153" s="83">
        <f t="shared" si="31"/>
        <v>-76608.50000000006</v>
      </c>
      <c r="C153" s="130"/>
      <c r="D153" s="99"/>
      <c r="E153" s="118"/>
      <c r="F153" s="118"/>
      <c r="G153" s="73">
        <f t="shared" si="29"/>
        <v>-76608.50000000006</v>
      </c>
      <c r="H153" s="101">
        <v>0.0055</v>
      </c>
      <c r="I153" s="73">
        <f t="shared" si="30"/>
        <v>-35.11222916666669</v>
      </c>
    </row>
    <row r="154" spans="1:9" ht="12.75">
      <c r="A154" s="72">
        <v>40330</v>
      </c>
      <c r="B154" s="83">
        <f t="shared" si="31"/>
        <v>-76608.50000000006</v>
      </c>
      <c r="C154" s="130"/>
      <c r="D154" s="99"/>
      <c r="E154" s="118"/>
      <c r="F154" s="118"/>
      <c r="G154" s="73">
        <f t="shared" si="29"/>
        <v>-76608.50000000006</v>
      </c>
      <c r="H154" s="101">
        <v>0.0055</v>
      </c>
      <c r="I154" s="73">
        <f t="shared" si="30"/>
        <v>-35.11222916666669</v>
      </c>
    </row>
    <row r="155" spans="1:9" ht="12.75">
      <c r="A155" s="72">
        <v>40360</v>
      </c>
      <c r="B155" s="83">
        <f t="shared" si="31"/>
        <v>-76608.50000000006</v>
      </c>
      <c r="C155" s="130"/>
      <c r="D155" s="99"/>
      <c r="E155" s="118"/>
      <c r="F155" s="118"/>
      <c r="G155" s="73">
        <f t="shared" si="29"/>
        <v>-76608.50000000006</v>
      </c>
      <c r="H155" s="101">
        <v>0.0089</v>
      </c>
      <c r="I155" s="73">
        <f t="shared" si="30"/>
        <v>-56.81797083333337</v>
      </c>
    </row>
    <row r="156" spans="1:9" ht="12.75">
      <c r="A156" s="72">
        <v>40391</v>
      </c>
      <c r="B156" s="83">
        <f t="shared" si="31"/>
        <v>-76608.50000000006</v>
      </c>
      <c r="C156" s="130"/>
      <c r="D156" s="99"/>
      <c r="E156" s="118"/>
      <c r="F156" s="118"/>
      <c r="G156" s="73">
        <f t="shared" si="29"/>
        <v>-76608.50000000006</v>
      </c>
      <c r="H156" s="101">
        <v>0.0089</v>
      </c>
      <c r="I156" s="73">
        <f t="shared" si="30"/>
        <v>-56.81797083333337</v>
      </c>
    </row>
    <row r="157" spans="1:9" ht="12.75">
      <c r="A157" s="72">
        <v>40422</v>
      </c>
      <c r="B157" s="83">
        <f t="shared" si="31"/>
        <v>-76608.50000000006</v>
      </c>
      <c r="C157" s="130"/>
      <c r="D157" s="99"/>
      <c r="E157" s="118"/>
      <c r="F157" s="118"/>
      <c r="G157" s="73">
        <f t="shared" si="29"/>
        <v>-76608.50000000006</v>
      </c>
      <c r="H157" s="101">
        <v>0.0089</v>
      </c>
      <c r="I157" s="73">
        <f t="shared" si="30"/>
        <v>-56.81797083333337</v>
      </c>
    </row>
    <row r="158" spans="1:9" ht="12.75">
      <c r="A158" s="72">
        <v>40452</v>
      </c>
      <c r="B158" s="83">
        <f t="shared" si="31"/>
        <v>-76608.50000000006</v>
      </c>
      <c r="C158" s="130"/>
      <c r="D158" s="99"/>
      <c r="E158" s="118"/>
      <c r="F158" s="118"/>
      <c r="G158" s="73">
        <f t="shared" si="29"/>
        <v>-76608.50000000006</v>
      </c>
      <c r="H158" s="101">
        <v>0.012</v>
      </c>
      <c r="I158" s="73">
        <f t="shared" si="30"/>
        <v>-76.60850000000006</v>
      </c>
    </row>
    <row r="159" spans="1:9" ht="12.75">
      <c r="A159" s="72">
        <v>40483</v>
      </c>
      <c r="B159" s="83">
        <f t="shared" si="31"/>
        <v>-76608.50000000006</v>
      </c>
      <c r="C159" s="130"/>
      <c r="D159" s="99"/>
      <c r="E159" s="118"/>
      <c r="F159" s="118"/>
      <c r="G159" s="73">
        <f t="shared" si="29"/>
        <v>-76608.50000000006</v>
      </c>
      <c r="H159" s="101">
        <v>0.012</v>
      </c>
      <c r="I159" s="73">
        <f t="shared" si="30"/>
        <v>-76.60850000000006</v>
      </c>
    </row>
    <row r="160" spans="1:9" ht="12.75">
      <c r="A160" s="72">
        <v>40513</v>
      </c>
      <c r="B160" s="83">
        <f t="shared" si="31"/>
        <v>-76608.50000000006</v>
      </c>
      <c r="C160" s="130"/>
      <c r="D160" s="99"/>
      <c r="E160" s="118"/>
      <c r="F160" s="118"/>
      <c r="G160" s="73">
        <f t="shared" si="29"/>
        <v>-76608.50000000006</v>
      </c>
      <c r="H160" s="101">
        <v>0.012</v>
      </c>
      <c r="I160" s="73">
        <f t="shared" si="30"/>
        <v>-76.60850000000006</v>
      </c>
    </row>
    <row r="161" spans="1:9" ht="13.5" thickBot="1">
      <c r="A161" s="74" t="s">
        <v>98</v>
      </c>
      <c r="B161" s="74"/>
      <c r="C161" s="131"/>
      <c r="D161" s="94"/>
      <c r="E161" s="115"/>
      <c r="F161" s="115"/>
      <c r="G161" s="82"/>
      <c r="H161" s="94"/>
      <c r="I161" s="75">
        <f>SUM(I149:I160)</f>
        <v>-610.9527875000005</v>
      </c>
    </row>
    <row r="162" spans="1:3" ht="13.5" thickTop="1">
      <c r="A162" s="72"/>
      <c r="C162" s="132"/>
    </row>
    <row r="163" ht="12.75">
      <c r="C163" s="132"/>
    </row>
    <row r="164" ht="12.75">
      <c r="C164" s="132"/>
    </row>
    <row r="165" spans="1:9" ht="12.75">
      <c r="A165" s="72">
        <v>40544</v>
      </c>
      <c r="B165" s="83">
        <f>G160</f>
        <v>-76608.50000000006</v>
      </c>
      <c r="C165" s="130"/>
      <c r="D165" s="99"/>
      <c r="E165" s="118"/>
      <c r="F165" s="118"/>
      <c r="G165" s="73">
        <f aca="true" t="shared" si="32" ref="G165:G176">SUM(B165:F165)</f>
        <v>-76608.50000000006</v>
      </c>
      <c r="H165" s="101">
        <v>0.0147</v>
      </c>
      <c r="I165" s="73">
        <f aca="true" t="shared" si="33" ref="I165:I176">B165*H165/12</f>
        <v>-93.84541250000007</v>
      </c>
    </row>
    <row r="166" spans="1:9" ht="12.75">
      <c r="A166" s="72">
        <v>40575</v>
      </c>
      <c r="B166" s="83">
        <f>G165</f>
        <v>-76608.50000000006</v>
      </c>
      <c r="C166" s="130"/>
      <c r="D166" s="99"/>
      <c r="E166" s="118"/>
      <c r="F166" s="118"/>
      <c r="G166" s="73">
        <f t="shared" si="32"/>
        <v>-76608.50000000006</v>
      </c>
      <c r="H166" s="101">
        <v>0.0147</v>
      </c>
      <c r="I166" s="73">
        <f t="shared" si="33"/>
        <v>-93.84541250000007</v>
      </c>
    </row>
    <row r="167" spans="1:9" ht="12.75">
      <c r="A167" s="72">
        <v>40603</v>
      </c>
      <c r="B167" s="83">
        <f aca="true" t="shared" si="34" ref="B167:B176">G166</f>
        <v>-76608.50000000006</v>
      </c>
      <c r="C167" s="130"/>
      <c r="D167" s="99"/>
      <c r="E167" s="118"/>
      <c r="F167" s="118"/>
      <c r="G167" s="73">
        <f t="shared" si="32"/>
        <v>-76608.50000000006</v>
      </c>
      <c r="H167" s="101">
        <v>0.0147</v>
      </c>
      <c r="I167" s="73">
        <f t="shared" si="33"/>
        <v>-93.84541250000007</v>
      </c>
    </row>
    <row r="168" spans="1:9" ht="12.75">
      <c r="A168" s="72">
        <v>40634</v>
      </c>
      <c r="B168" s="83">
        <f t="shared" si="34"/>
        <v>-76608.50000000006</v>
      </c>
      <c r="C168" s="130"/>
      <c r="D168" s="99"/>
      <c r="E168" s="118"/>
      <c r="F168" s="118"/>
      <c r="G168" s="73">
        <f t="shared" si="32"/>
        <v>-76608.50000000006</v>
      </c>
      <c r="H168" s="101">
        <v>0.0147</v>
      </c>
      <c r="I168" s="73">
        <f t="shared" si="33"/>
        <v>-93.84541250000007</v>
      </c>
    </row>
    <row r="169" spans="1:9" ht="12.75">
      <c r="A169" s="72">
        <v>40664</v>
      </c>
      <c r="B169" s="83">
        <f t="shared" si="34"/>
        <v>-76608.50000000006</v>
      </c>
      <c r="C169" s="130"/>
      <c r="D169" s="99"/>
      <c r="E169" s="118"/>
      <c r="F169" s="118"/>
      <c r="G169" s="73">
        <f t="shared" si="32"/>
        <v>-76608.50000000006</v>
      </c>
      <c r="H169" s="101">
        <v>0.0147</v>
      </c>
      <c r="I169" s="73">
        <f t="shared" si="33"/>
        <v>-93.84541250000007</v>
      </c>
    </row>
    <row r="170" spans="1:9" ht="12.75">
      <c r="A170" s="72">
        <v>40695</v>
      </c>
      <c r="B170" s="83">
        <f t="shared" si="34"/>
        <v>-76608.50000000006</v>
      </c>
      <c r="C170" s="130"/>
      <c r="D170" s="99"/>
      <c r="E170" s="118"/>
      <c r="F170" s="118"/>
      <c r="G170" s="73">
        <f t="shared" si="32"/>
        <v>-76608.50000000006</v>
      </c>
      <c r="H170" s="101">
        <v>0.0147</v>
      </c>
      <c r="I170" s="73">
        <f t="shared" si="33"/>
        <v>-93.84541250000007</v>
      </c>
    </row>
    <row r="171" spans="1:9" ht="12.75">
      <c r="A171" s="72">
        <v>40725</v>
      </c>
      <c r="B171" s="83">
        <f t="shared" si="34"/>
        <v>-76608.50000000006</v>
      </c>
      <c r="C171" s="130"/>
      <c r="D171" s="99"/>
      <c r="E171" s="118"/>
      <c r="F171" s="118"/>
      <c r="G171" s="73">
        <f t="shared" si="32"/>
        <v>-76608.50000000006</v>
      </c>
      <c r="H171" s="101">
        <v>0.0147</v>
      </c>
      <c r="I171" s="73">
        <f t="shared" si="33"/>
        <v>-93.84541250000007</v>
      </c>
    </row>
    <row r="172" spans="1:9" ht="12.75">
      <c r="A172" s="72">
        <v>40756</v>
      </c>
      <c r="B172" s="83">
        <f t="shared" si="34"/>
        <v>-76608.50000000006</v>
      </c>
      <c r="C172" s="130"/>
      <c r="D172" s="99"/>
      <c r="E172" s="118"/>
      <c r="F172" s="118"/>
      <c r="G172" s="73">
        <f t="shared" si="32"/>
        <v>-76608.50000000006</v>
      </c>
      <c r="H172" s="101">
        <v>0.0147</v>
      </c>
      <c r="I172" s="73">
        <f t="shared" si="33"/>
        <v>-93.84541250000007</v>
      </c>
    </row>
    <row r="173" spans="1:9" ht="12.75">
      <c r="A173" s="72">
        <v>40787</v>
      </c>
      <c r="B173" s="83">
        <f t="shared" si="34"/>
        <v>-76608.50000000006</v>
      </c>
      <c r="C173" s="130"/>
      <c r="D173" s="99"/>
      <c r="E173" s="118"/>
      <c r="F173" s="118"/>
      <c r="G173" s="73">
        <f t="shared" si="32"/>
        <v>-76608.50000000006</v>
      </c>
      <c r="H173" s="101">
        <v>0.0147</v>
      </c>
      <c r="I173" s="73">
        <f t="shared" si="33"/>
        <v>-93.84541250000007</v>
      </c>
    </row>
    <row r="174" spans="1:9" ht="12.75">
      <c r="A174" s="72">
        <v>40817</v>
      </c>
      <c r="B174" s="83">
        <f t="shared" si="34"/>
        <v>-76608.50000000006</v>
      </c>
      <c r="C174" s="130"/>
      <c r="D174" s="99"/>
      <c r="E174" s="118"/>
      <c r="F174" s="118"/>
      <c r="G174" s="73">
        <f t="shared" si="32"/>
        <v>-76608.50000000006</v>
      </c>
      <c r="H174" s="101">
        <v>0.0147</v>
      </c>
      <c r="I174" s="73">
        <f t="shared" si="33"/>
        <v>-93.84541250000007</v>
      </c>
    </row>
    <row r="175" spans="1:9" ht="12.75">
      <c r="A175" s="72">
        <v>40848</v>
      </c>
      <c r="B175" s="83">
        <f t="shared" si="34"/>
        <v>-76608.50000000006</v>
      </c>
      <c r="C175" s="130"/>
      <c r="D175" s="99"/>
      <c r="E175" s="118"/>
      <c r="F175" s="118"/>
      <c r="G175" s="73">
        <f t="shared" si="32"/>
        <v>-76608.50000000006</v>
      </c>
      <c r="H175" s="101">
        <v>0.0147</v>
      </c>
      <c r="I175" s="73">
        <f t="shared" si="33"/>
        <v>-93.84541250000007</v>
      </c>
    </row>
    <row r="176" spans="1:9" ht="12.75">
      <c r="A176" s="72">
        <v>40878</v>
      </c>
      <c r="B176" s="83">
        <f t="shared" si="34"/>
        <v>-76608.50000000006</v>
      </c>
      <c r="C176" s="130"/>
      <c r="D176" s="99"/>
      <c r="E176" s="118"/>
      <c r="F176" s="118"/>
      <c r="G176" s="73">
        <f t="shared" si="32"/>
        <v>-76608.50000000006</v>
      </c>
      <c r="H176" s="101">
        <v>0.0147</v>
      </c>
      <c r="I176" s="73">
        <f t="shared" si="33"/>
        <v>-93.84541250000007</v>
      </c>
    </row>
    <row r="177" spans="1:9" ht="13.5" thickBot="1">
      <c r="A177" s="74" t="s">
        <v>98</v>
      </c>
      <c r="B177" s="74"/>
      <c r="C177" s="131"/>
      <c r="D177" s="94"/>
      <c r="E177" s="115"/>
      <c r="F177" s="115"/>
      <c r="G177" s="82"/>
      <c r="H177" s="94"/>
      <c r="I177" s="75">
        <f>SUM(I165:I176)</f>
        <v>-1126.1449500000008</v>
      </c>
    </row>
    <row r="178" ht="13.5" thickTop="1">
      <c r="C178" s="132"/>
    </row>
    <row r="179" ht="12.75">
      <c r="C179" s="132"/>
    </row>
    <row r="180" ht="12.75">
      <c r="C180" s="132"/>
    </row>
    <row r="181" spans="1:9" ht="12.75">
      <c r="A181" s="72">
        <v>40909</v>
      </c>
      <c r="B181" s="83">
        <f>G176</f>
        <v>-76608.50000000006</v>
      </c>
      <c r="C181" s="130"/>
      <c r="D181" s="99"/>
      <c r="E181" s="118"/>
      <c r="F181" s="118"/>
      <c r="G181" s="73">
        <f>SUM(B181:F181)</f>
        <v>-76608.50000000006</v>
      </c>
      <c r="H181" s="101">
        <v>0.0147</v>
      </c>
      <c r="I181" s="73">
        <f>B181*H181/12</f>
        <v>-93.84541250000007</v>
      </c>
    </row>
    <row r="182" spans="1:9" ht="12.75">
      <c r="A182" s="72">
        <v>40940</v>
      </c>
      <c r="B182" s="83">
        <f>G181</f>
        <v>-76608.50000000006</v>
      </c>
      <c r="C182" s="130"/>
      <c r="D182" s="99"/>
      <c r="E182" s="118"/>
      <c r="F182" s="118"/>
      <c r="G182" s="73">
        <f>SUM(B182:F182)</f>
        <v>-76608.50000000006</v>
      </c>
      <c r="H182" s="101">
        <v>0.0147</v>
      </c>
      <c r="I182" s="73">
        <f>B182*H182/12</f>
        <v>-93.84541250000007</v>
      </c>
    </row>
    <row r="183" spans="1:9" ht="12.75">
      <c r="A183" s="72">
        <v>40969</v>
      </c>
      <c r="B183" s="83">
        <f>G182</f>
        <v>-76608.50000000006</v>
      </c>
      <c r="C183" s="130"/>
      <c r="D183" s="99"/>
      <c r="E183" s="118"/>
      <c r="F183" s="118"/>
      <c r="G183" s="73">
        <f>SUM(B183:F183)</f>
        <v>-76608.50000000006</v>
      </c>
      <c r="H183" s="101">
        <v>0.0147</v>
      </c>
      <c r="I183" s="73">
        <f>B183*H183/12</f>
        <v>-93.84541250000007</v>
      </c>
    </row>
    <row r="184" spans="1:9" ht="12.75">
      <c r="A184" s="72">
        <v>41000</v>
      </c>
      <c r="B184" s="83">
        <f>G183</f>
        <v>-76608.50000000006</v>
      </c>
      <c r="C184" s="130"/>
      <c r="D184" s="99"/>
      <c r="E184" s="118"/>
      <c r="F184" s="118"/>
      <c r="G184" s="73">
        <f>SUM(B184:F184)</f>
        <v>-76608.50000000006</v>
      </c>
      <c r="H184" s="101">
        <v>0.0147</v>
      </c>
      <c r="I184" s="73">
        <f>B184*H184/12</f>
        <v>-93.84541250000007</v>
      </c>
    </row>
    <row r="185" spans="1:9" ht="13.5" thickBot="1">
      <c r="A185" s="74" t="s">
        <v>106</v>
      </c>
      <c r="B185" s="74"/>
      <c r="C185" s="131"/>
      <c r="D185" s="94"/>
      <c r="E185" s="115"/>
      <c r="F185" s="115"/>
      <c r="G185" s="82"/>
      <c r="H185" s="94"/>
      <c r="I185" s="75">
        <f>SUM(I181:I184)</f>
        <v>-375.38165000000026</v>
      </c>
    </row>
    <row r="186" ht="13.5" thickTop="1"/>
    <row r="187" spans="1:19" s="102" customFormat="1" ht="12.75">
      <c r="A187" s="102" t="s">
        <v>108</v>
      </c>
      <c r="C187" s="119"/>
      <c r="D187" s="103"/>
      <c r="E187" s="119"/>
      <c r="F187" s="119"/>
      <c r="G187" s="105">
        <f>G184</f>
        <v>-76608.50000000006</v>
      </c>
      <c r="H187" s="103"/>
      <c r="I187" s="105">
        <f>+I185+I177+I161+I145+I129+I113+I95</f>
        <v>2689.4375749999836</v>
      </c>
      <c r="J187" s="103"/>
      <c r="N187" s="103"/>
      <c r="O187" s="103"/>
      <c r="P187" s="103"/>
      <c r="Q187" s="104"/>
      <c r="R187" s="103"/>
      <c r="S187" s="103"/>
    </row>
  </sheetData>
  <sheetProtection/>
  <printOptions gridLines="1" headings="1"/>
  <pageMargins left="0.25" right="0.25" top="0.75" bottom="0.75" header="0.3" footer="0.3"/>
  <pageSetup fitToHeight="5" fitToWidth="1" horizontalDpi="600" verticalDpi="600" orientation="portrait" scale="93" r:id="rId3"/>
  <headerFooter>
    <oddHeader>&amp;L&amp;Z&amp;F&amp;A</oddHeader>
    <oddFooter>&amp;L&amp;D&amp;T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Wormwell</dc:creator>
  <cp:keywords/>
  <dc:description/>
  <cp:lastModifiedBy>Lois Ouellette</cp:lastModifiedBy>
  <cp:lastPrinted>2011-09-15T14:50:10Z</cp:lastPrinted>
  <dcterms:created xsi:type="dcterms:W3CDTF">2011-08-12T13:25:13Z</dcterms:created>
  <dcterms:modified xsi:type="dcterms:W3CDTF">2013-02-14T18:01:02Z</dcterms:modified>
  <cp:category/>
  <cp:version/>
  <cp:contentType/>
  <cp:contentStatus/>
</cp:coreProperties>
</file>