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<sst xmlns="http://schemas.openxmlformats.org/spreadsheetml/2006/main" count="879" uniqueCount="506">
  <si>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</si>
  <si>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</si>
  <si>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</si>
  <si>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</si>
  <si>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</si>
  <si>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</si>
  <si>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</si>
  <si>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</si>
  <si>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</si>
  <si>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</si>
  <si>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</si>
  <si>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</si>
  <si>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</si>
  <si>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</si>
  <si>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</si>
  <si>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</si>
  <si>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</si>
  <si>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</si>
  <si>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</si>
  <si>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</si>
  <si>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</si>
  <si>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</si>
  <si>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</si>
  <si>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</si>
  <si>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</si>
  <si>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</si>
  <si>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</si>
  <si>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</si>
  <si>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</si>
  <si>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</si>
  <si>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</si>
  <si>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</si>
  <si>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</si>
  <si>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</si>
  <si>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</si>
  <si>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</si>
  <si>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</si>
  <si>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</si>
  <si>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</si>
  <si>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</si>
  <si>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</si>
  <si>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</si>
  <si>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</si>
  <si>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</si>
  <si>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</si>
  <si>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</si>
  <si>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</si>
  <si>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</si>
  <si>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</si>
  <si>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</si>
  <si>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</si>
  <si>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</si>
  <si>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</si>
  <si>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</si>
  <si>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</si>
  <si>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</si>
  <si>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</si>
  <si>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</si>
  <si>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</si>
  <si>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</si>
  <si>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</si>
  <si>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</si>
  <si>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</si>
  <si>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</si>
  <si>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</si>
  <si>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</si>
  <si>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</si>
  <si>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</si>
  <si>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</si>
  <si>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</si>
  <si>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</si>
  <si>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</si>
  <si>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</si>
  <si>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</si>
  <si>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</si>
  <si>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</si>
  <si>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</si>
  <si>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</si>
  <si>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</si>
  <si>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</si>
  <si>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</si>
  <si>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</si>
  <si>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</si>
  <si>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</si>
  <si>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</si>
  <si>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</si>
  <si>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</si>
  <si>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</si>
  <si>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</si>
  <si>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</si>
  <si>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</si>
  <si>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</si>
  <si>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</si>
  <si>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</si>
  <si>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</si>
  <si>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</si>
  <si>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</si>
  <si>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</si>
  <si>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</si>
  <si>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</si>
  <si>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</si>
  <si>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</si>
  <si>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</si>
  <si>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</si>
  <si>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</si>
  <si>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</si>
  <si>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</si>
  <si>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</si>
  <si>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</si>
  <si>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</si>
  <si>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</si>
  <si>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</si>
  <si>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</si>
  <si>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</si>
  <si>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</si>
  <si>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</si>
  <si>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</si>
  <si>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</si>
  <si>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</si>
  <si>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</si>
  <si>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</si>
  <si>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</si>
  <si>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</si>
  <si>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</si>
  <si>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</si>
  <si>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</si>
  <si>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</si>
  <si>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</si>
  <si>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</si>
  <si>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</si>
  <si>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</si>
  <si>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</si>
  <si>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</si>
  <si>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</si>
  <si>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</si>
  <si>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</si>
  <si>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</si>
  <si>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</si>
  <si>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</si>
  <si>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</si>
  <si>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</si>
  <si>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</si>
  <si>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</si>
  <si>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</si>
  <si>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</si>
  <si>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</si>
  <si>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</si>
  <si>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</si>
  <si>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</si>
  <si>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</si>
  <si>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</si>
  <si>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</si>
  <si>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</si>
  <si>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</si>
  <si>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</si>
  <si>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</si>
  <si>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</si>
  <si>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</si>
  <si>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</si>
  <si>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</si>
  <si>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</si>
  <si>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</si>
  <si>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</si>
  <si>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</si>
  <si>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</si>
  <si>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</si>
  <si>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</si>
  <si>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</si>
  <si>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</si>
  <si>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</si>
  <si>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</si>
  <si>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</si>
  <si>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</si>
  <si>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</si>
  <si>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</si>
  <si>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</si>
  <si>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</si>
  <si>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</si>
  <si>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</si>
  <si>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</si>
  <si>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</si>
  <si>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</si>
  <si>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</si>
  <si>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</si>
  <si>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</si>
  <si>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</si>
  <si>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</si>
  <si>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</si>
  <si>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</si>
  <si>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</si>
  <si>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</si>
  <si>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</si>
  <si>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</si>
  <si>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</si>
  <si>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</si>
  <si>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</si>
  <si>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</si>
  <si>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</si>
  <si>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</si>
  <si>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</si>
  <si>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</si>
  <si>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</si>
  <si>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</si>
  <si>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</si>
  <si>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</si>
  <si>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</si>
  <si>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</si>
  <si>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</si>
  <si>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</si>
  <si>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</si>
  <si>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</si>
  <si>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</si>
  <si>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</si>
  <si>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</si>
  <si>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</si>
  <si>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</si>
  <si>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</si>
  <si>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</si>
  <si>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</si>
  <si>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</si>
  <si>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</si>
  <si>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</si>
  <si>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</si>
  <si>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</si>
  <si>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</si>
  <si>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</si>
  <si>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</si>
  <si>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</si>
  <si>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</si>
  <si>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</si>
  <si>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</si>
  <si>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</si>
  <si>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</si>
  <si>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</si>
  <si>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</si>
  <si>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</si>
  <si>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</si>
  <si>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</si>
  <si>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</si>
  <si>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</si>
  <si>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</si>
  <si>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</si>
  <si>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</si>
  <si>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</si>
  <si>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</si>
  <si>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</si>
  <si>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</si>
  <si>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</si>
  <si>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</si>
  <si>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</si>
  <si>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</si>
  <si>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</si>
  <si>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</si>
  <si>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</si>
  <si>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</si>
  <si>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</si>
  <si>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</si>
  <si>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</si>
  <si>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</si>
  <si>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</si>
  <si>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</si>
  <si>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</si>
  <si>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</si>
  <si>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</si>
  <si>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</si>
  <si>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</si>
  <si>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</si>
  <si>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</si>
  <si>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</si>
  <si>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</si>
  <si>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</si>
  <si>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</si>
  <si>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</si>
  <si>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</si>
  <si>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</si>
  <si>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</si>
  <si>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</si>
  <si>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</si>
  <si>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</si>
  <si>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</si>
  <si>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</si>
  <si>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</si>
  <si>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</si>
  <si>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</si>
  <si>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</si>
  <si>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</si>
  <si>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</si>
  <si>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</si>
  <si>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</si>
  <si>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</si>
  <si>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</si>
  <si>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</si>
  <si>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</si>
  <si>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</si>
  <si>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</si>
  <si>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</si>
  <si>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</si>
  <si>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</si>
  <si>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</si>
  <si>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</si>
  <si>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</si>
  <si>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</si>
  <si>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</si>
  <si>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</si>
  <si>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</si>
  <si>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</si>
  <si>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</si>
  <si>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</si>
  <si>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</si>
  <si>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</si>
  <si>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</si>
  <si>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</si>
  <si>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</si>
  <si>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</si>
  <si>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</si>
  <si>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</si>
  <si>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</si>
  <si>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</si>
  <si>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</si>
  <si>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</si>
  <si>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</si>
  <si>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</si>
  <si>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</si>
  <si>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</si>
  <si>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</si>
  <si>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</si>
  <si>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</si>
  <si>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</si>
  <si>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</si>
  <si>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</si>
  <si>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</si>
  <si>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</si>
  <si>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</si>
  <si>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</si>
  <si>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</si>
  <si>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</si>
  <si>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</si>
  <si>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</si>
  <si>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</si>
  <si>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</si>
  <si>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</si>
  <si>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</si>
  <si>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</si>
  <si>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</si>
  <si>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</si>
  <si>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</si>
  <si>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</si>
  <si>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</si>
  <si>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</si>
  <si>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</si>
  <si>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</si>
  <si>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</si>
  <si>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</si>
  <si>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</si>
  <si>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</si>
  <si>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</si>
  <si>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</si>
  <si>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</si>
  <si>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</si>
  <si>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</si>
  <si>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</si>
  <si>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</si>
  <si>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</si>
  <si>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</si>
  <si>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</si>
  <si>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</si>
  <si>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</si>
  <si>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</si>
  <si>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</si>
  <si>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</si>
  <si>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</si>
  <si>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</si>
  <si>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</si>
  <si>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</si>
  <si>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</si>
  <si>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</si>
  <si>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</si>
  <si>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</si>
  <si>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</si>
  <si>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</si>
  <si>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</si>
  <si>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</si>
  <si>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</si>
  <si>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</si>
  <si>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</si>
  <si>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</si>
  <si>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</si>
  <si>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</si>
  <si>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</si>
  <si>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</si>
  <si>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</si>
  <si>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</si>
  <si>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</si>
  <si>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</si>
  <si>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</si>
  <si>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</si>
  <si>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</si>
  <si>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</si>
  <si>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</si>
  <si>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</si>
  <si>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</si>
  <si>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</si>
  <si>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</si>
  <si>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</si>
  <si>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</si>
  <si>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</si>
  <si>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</si>
  <si>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</si>
  <si>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</si>
  <si>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</si>
  <si>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</si>
  <si>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</si>
  <si>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</si>
  <si>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</si>
  <si>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</si>
  <si>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</si>
  <si>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</si>
  <si>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</si>
  <si>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</si>
  <si>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</si>
  <si>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</si>
  <si>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</si>
  <si>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</si>
  <si>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</si>
  <si>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</si>
  <si>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</si>
  <si>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</si>
  <si>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</si>
  <si>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</si>
  <si>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</si>
  <si>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</si>
  <si>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</si>
  <si>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</si>
  <si>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</si>
  <si>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</si>
  <si>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</si>
  <si>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</si>
  <si>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</si>
  <si>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</si>
  <si>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</si>
  <si>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</si>
  <si>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</si>
  <si>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</si>
  <si>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</si>
  <si>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</si>
  <si>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</si>
  <si>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</si>
  <si>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</si>
  <si>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</si>
  <si>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</si>
  <si>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</si>
  <si>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</si>
  <si>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</si>
  <si>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</si>
  <si>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</si>
  <si>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</si>
  <si>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</si>
  <si>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</si>
  <si>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</si>
  <si>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</si>
  <si>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</si>
  <si>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</si>
  <si>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</si>
  <si>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</si>
  <si>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</si>
  <si>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</si>
  <si>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</si>
  <si>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</si>
  <si>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</si>
  <si>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</si>
  <si>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</si>
  <si>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</si>
  <si>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</si>
  <si>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</si>
  <si>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</si>
  <si>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</si>
  <si>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</si>
  <si>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</si>
  <si>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</si>
  <si>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</si>
  <si>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</si>
  <si>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</si>
  <si>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</si>
  <si>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Does this include LCT?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</si>
  <si>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</si>
  <si>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</si>
  <si>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</si>
  <si>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</si>
  <si>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</si>
  <si>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</si>
  <si>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</si>
  <si>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</si>
  <si>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</si>
  <si>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</si>
  <si>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</si>
  <si>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</si>
  <si>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</si>
  <si>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</si>
  <si>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</si>
  <si>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Assessment Notice</t>
  </si>
  <si>
    <t>Actual Interest Paid</t>
  </si>
  <si>
    <t>Utility Name:  UTILITYNAME</t>
  </si>
  <si>
    <t>Employee future benefits</t>
  </si>
  <si>
    <t>Y</t>
  </si>
  <si>
    <t>N</t>
  </si>
  <si>
    <t xml:space="preserve">     Interest on customer deposits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</si>
</sst>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7">
      <selection activeCell="D20" sqref="D2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461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501</v>
      </c>
      <c r="C3" s="8"/>
      <c r="D3" s="456" t="s">
        <v>447</v>
      </c>
      <c r="E3" s="8"/>
      <c r="F3" s="8"/>
      <c r="G3" s="8"/>
      <c r="H3" s="8"/>
    </row>
    <row r="4" spans="1:8" ht="12.75">
      <c r="A4" s="2" t="s">
        <v>488</v>
      </c>
      <c r="C4" s="8"/>
      <c r="D4" s="455" t="s">
        <v>442</v>
      </c>
      <c r="E4" s="429"/>
      <c r="H4" s="8"/>
    </row>
    <row r="5" spans="1:8" ht="12.75">
      <c r="A5" s="52"/>
      <c r="C5" s="8"/>
      <c r="D5" s="454" t="s">
        <v>443</v>
      </c>
      <c r="E5" s="399"/>
      <c r="H5" s="8"/>
    </row>
    <row r="6" spans="1:8" ht="12.75">
      <c r="A6" s="2" t="s">
        <v>126</v>
      </c>
      <c r="B6" s="389">
        <v>366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504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504</v>
      </c>
    </row>
    <row r="18" spans="1:4" ht="15" customHeight="1">
      <c r="A18" s="390" t="s">
        <v>315</v>
      </c>
      <c r="C18" s="8"/>
      <c r="D18" s="8"/>
    </row>
    <row r="19" spans="1:4" ht="15" customHeight="1">
      <c r="A19" s="496" t="s">
        <v>316</v>
      </c>
      <c r="B19" s="8" t="s">
        <v>313</v>
      </c>
      <c r="C19" s="8" t="s">
        <v>64</v>
      </c>
      <c r="D19" s="389" t="s">
        <v>503</v>
      </c>
    </row>
    <row r="20" spans="1:4" ht="13.5" thickBot="1">
      <c r="A20" s="497"/>
      <c r="B20" s="8" t="s">
        <v>314</v>
      </c>
      <c r="C20" s="8" t="s">
        <v>64</v>
      </c>
      <c r="D20" s="258" t="s">
        <v>503</v>
      </c>
    </row>
    <row r="21" spans="1:4" ht="12.75">
      <c r="A21" s="496" t="s">
        <v>312</v>
      </c>
      <c r="B21" s="8" t="s">
        <v>313</v>
      </c>
      <c r="C21" s="8"/>
      <c r="D21" s="424">
        <v>1</v>
      </c>
    </row>
    <row r="22" spans="1:4" ht="12.75">
      <c r="A22" s="496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489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297</v>
      </c>
    </row>
    <row r="27" spans="1:5" ht="12.75">
      <c r="A27" s="256" t="s">
        <v>68</v>
      </c>
      <c r="C27" s="8"/>
      <c r="E27" s="445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2">
        <v>11068045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947978.05425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255161</v>
      </c>
      <c r="E43" s="388">
        <f>D43</f>
        <v>255161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692817.05425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v>230939</v>
      </c>
      <c r="E47" s="388">
        <f aca="true" t="shared" si="0" ref="E47:E53">D47</f>
        <v>230939</v>
      </c>
      <c r="H47" s="40"/>
      <c r="J47" s="5"/>
      <c r="K47" s="5"/>
    </row>
    <row r="48" spans="1:11" ht="12.75">
      <c r="A48" t="s">
        <v>290</v>
      </c>
      <c r="D48" s="427">
        <v>230939</v>
      </c>
      <c r="E48" s="388">
        <f>D48</f>
        <v>230939</v>
      </c>
      <c r="F48" s="22"/>
      <c r="H48" s="40"/>
      <c r="J48" s="5"/>
      <c r="K48" s="5"/>
    </row>
    <row r="49" spans="1:11" ht="12.75">
      <c r="A49" t="s">
        <v>291</v>
      </c>
      <c r="D49" s="428">
        <v>230939</v>
      </c>
      <c r="E49" s="388">
        <v>0</v>
      </c>
      <c r="F49" s="22"/>
      <c r="H49" s="40"/>
      <c r="J49" s="5"/>
      <c r="K49" s="5"/>
    </row>
    <row r="50" spans="1:11" ht="12.75">
      <c r="A50" t="s">
        <v>292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439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463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717039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5534022.5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546761.423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5534022.5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401216.63125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205734.09223584353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303475.350262697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303475.350262697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401216.63125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  <headerFooter alignWithMargins="0">
    <oddFooter>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75" zoomScaleNormal="75" zoomScalePageLayoutView="0" workbookViewId="0" topLeftCell="A150">
      <selection activeCell="E176" sqref="E176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465</v>
      </c>
      <c r="H1" s="210"/>
    </row>
    <row r="2" spans="1:8" ht="12.75">
      <c r="A2" s="211" t="s">
        <v>464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466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 UTILITYNAME</v>
      </c>
      <c r="B6" s="115"/>
      <c r="D6" s="137"/>
      <c r="E6" s="115"/>
      <c r="G6" s="115"/>
      <c r="H6" s="466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0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717039</v>
      </c>
      <c r="D16" s="17"/>
      <c r="E16" s="267">
        <f>G16-C16</f>
        <v>1380794</v>
      </c>
      <c r="F16" s="3"/>
      <c r="G16" s="267">
        <f>TAXREC!E50</f>
        <v>2097833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663503</v>
      </c>
      <c r="D20" s="18"/>
      <c r="E20" s="267">
        <f>G20-C20</f>
        <v>-55594</v>
      </c>
      <c r="F20" s="6"/>
      <c r="G20" s="267">
        <f>TAXREC!E61</f>
        <v>607909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42844</v>
      </c>
      <c r="F21" s="6"/>
      <c r="G21" s="267">
        <f>TAXREC!E62</f>
        <v>42844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83" t="s">
        <v>395</v>
      </c>
      <c r="B30" s="127"/>
      <c r="C30" s="259"/>
      <c r="D30" s="18"/>
      <c r="E30" s="267">
        <f>G30-C30</f>
        <v>560938</v>
      </c>
      <c r="F30" s="6"/>
      <c r="G30" s="267">
        <f>TAXREC!E66</f>
        <v>560938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453968</v>
      </c>
      <c r="D33" s="132"/>
      <c r="E33" s="267">
        <f aca="true" t="shared" si="0" ref="E33:E42">G33-C33</f>
        <v>140986</v>
      </c>
      <c r="F33" s="6"/>
      <c r="G33" s="267">
        <f>TAXREC!E97+TAXREC!E98</f>
        <v>594954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34381</v>
      </c>
      <c r="F34" s="6"/>
      <c r="G34" s="267">
        <f>TAXREC!E99</f>
        <v>34381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303475.350262697</v>
      </c>
      <c r="D37" s="132"/>
      <c r="E37" s="267">
        <f t="shared" si="0"/>
        <v>116251.64973730303</v>
      </c>
      <c r="F37" s="6"/>
      <c r="G37" s="267">
        <f>TAXREC!E51</f>
        <v>419727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3" t="s">
        <v>395</v>
      </c>
      <c r="B48" s="127"/>
      <c r="C48" s="259"/>
      <c r="D48" s="132"/>
      <c r="E48" s="267">
        <f>G48-C48</f>
        <v>37504</v>
      </c>
      <c r="F48" s="6"/>
      <c r="G48" s="251">
        <f>TAXREC!E108</f>
        <v>37504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623098.649737303</v>
      </c>
      <c r="D50" s="102"/>
      <c r="E50" s="263">
        <f>E16+SUM(E20:E30)-SUM(E33:E48)</f>
        <v>1599859.3502626969</v>
      </c>
      <c r="F50" s="432" t="s">
        <v>367</v>
      </c>
      <c r="G50" s="263">
        <f>G16+SUM(G20:G30)-SUM(G33:G48)</f>
        <v>2222958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v>0.3862</v>
      </c>
      <c r="D53" s="102"/>
      <c r="E53" s="268">
        <f>+G53-C53</f>
        <v>-0.06290000000000001</v>
      </c>
      <c r="F53" s="114"/>
      <c r="G53" s="474">
        <v>0.3233</v>
      </c>
      <c r="H53" s="151"/>
      <c r="I53" s="471" t="s">
        <v>475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240640.69852854643</v>
      </c>
      <c r="D55" s="102"/>
      <c r="E55" s="267">
        <f>G55-C55</f>
        <v>562291.3014714536</v>
      </c>
      <c r="F55" s="432" t="s">
        <v>368</v>
      </c>
      <c r="G55" s="264">
        <f>TAXREC!E144</f>
        <v>802932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 t="s">
        <v>368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240640.69852854643</v>
      </c>
      <c r="D60" s="133"/>
      <c r="E60" s="269">
        <f>+E55-E58</f>
        <v>562291.3014714536</v>
      </c>
      <c r="F60" s="432" t="s">
        <v>368</v>
      </c>
      <c r="G60" s="269">
        <f>+G55-G58</f>
        <v>802932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11068045</v>
      </c>
      <c r="D66" s="102"/>
      <c r="E66" s="267">
        <f>G66-C66</f>
        <v>-11068045</v>
      </c>
      <c r="F66" s="6"/>
      <c r="G66" s="476"/>
      <c r="H66" s="151"/>
      <c r="I66" s="477" t="s">
        <v>476</v>
      </c>
    </row>
    <row r="67" spans="1:10" ht="12.75">
      <c r="A67" s="152" t="s">
        <v>360</v>
      </c>
      <c r="B67" s="125">
        <v>16</v>
      </c>
      <c r="C67" s="260">
        <f>IF(C66&gt;0,'Tax Rates'!C21,0)</f>
        <v>5000000</v>
      </c>
      <c r="D67" s="102"/>
      <c r="E67" s="267">
        <f>G67-C67</f>
        <v>-315157</v>
      </c>
      <c r="F67" s="6"/>
      <c r="G67" s="267">
        <f>'Tax Rates'!C57</f>
        <v>4684843</v>
      </c>
      <c r="H67" s="151"/>
      <c r="I67" s="477" t="s">
        <v>476</v>
      </c>
      <c r="J67" s="478" t="s">
        <v>477</v>
      </c>
    </row>
    <row r="68" spans="1:8" ht="12.75">
      <c r="A68" s="152" t="s">
        <v>42</v>
      </c>
      <c r="B68" s="125"/>
      <c r="C68" s="264">
        <f>IF((C66-C67)&gt;0,C66-C67,0)</f>
        <v>6068045</v>
      </c>
      <c r="D68" s="102"/>
      <c r="E68" s="267">
        <f>SUM(E66:E67)</f>
        <v>-11383202</v>
      </c>
      <c r="F68" s="114"/>
      <c r="G68" s="264">
        <f>G66-G67</f>
        <v>-4684843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18204.135000000002</v>
      </c>
      <c r="D72" s="101"/>
      <c r="E72" s="267">
        <f>+G72-C72</f>
        <v>-18204.135000000002</v>
      </c>
      <c r="F72" s="479"/>
      <c r="G72" s="264">
        <f>IF(G68&gt;0,G68*G70,0)*REGINFO!$B$6/REGINFO!$B$7</f>
        <v>0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11068045</v>
      </c>
      <c r="D75" s="102"/>
      <c r="E75" s="267">
        <f>+G75-C75</f>
        <v>-11068045</v>
      </c>
      <c r="F75" s="6"/>
      <c r="G75" s="476"/>
      <c r="H75" s="151"/>
      <c r="I75" s="477" t="s">
        <v>476</v>
      </c>
    </row>
    <row r="76" spans="1:9" ht="12.75">
      <c r="A76" s="152" t="s">
        <v>360</v>
      </c>
      <c r="B76" s="125">
        <v>19</v>
      </c>
      <c r="C76" s="260">
        <f>IF(C75&gt;0,'Tax Rates'!C22,0)</f>
        <v>10000000</v>
      </c>
      <c r="D76" s="18"/>
      <c r="E76" s="267">
        <f>+G76-C76</f>
        <v>35995000</v>
      </c>
      <c r="F76" s="6"/>
      <c r="G76" s="267">
        <f>'Tax Rates'!C58</f>
        <v>45995000</v>
      </c>
      <c r="H76" s="151"/>
      <c r="I76" s="477" t="s">
        <v>476</v>
      </c>
    </row>
    <row r="77" spans="1:8" ht="12.75">
      <c r="A77" s="152" t="s">
        <v>42</v>
      </c>
      <c r="B77" s="125"/>
      <c r="C77" s="264">
        <f>IF((C75-C76)&gt;0,C75-C76,0)</f>
        <v>1068045</v>
      </c>
      <c r="D77" s="19"/>
      <c r="E77" s="267">
        <f>SUM(E75:E76)</f>
        <v>24926955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2403.1012499999997</v>
      </c>
      <c r="D81" s="102"/>
      <c r="E81" s="267">
        <f>+G81-C81</f>
        <v>-2403.1012499999997</v>
      </c>
      <c r="F81" s="6"/>
      <c r="G81" s="264">
        <f>G77*G79*B9/B10</f>
        <v>0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6978.704877057794</v>
      </c>
      <c r="D82" s="102"/>
      <c r="E82" s="267">
        <f>+G82-C82</f>
        <v>-6978.704877057794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IF(C81-C82&lt;0,0,C81-C82)</f>
        <v>0</v>
      </c>
      <c r="D84" s="16"/>
      <c r="E84" s="267">
        <f>E81-E82</f>
        <v>4575.603627057794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C53</f>
        <v>0.3862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4">
        <f>C60/(1-C88)</f>
        <v>392050.66557273775</v>
      </c>
      <c r="D90" s="20"/>
      <c r="E90" s="139"/>
      <c r="F90" s="431" t="s">
        <v>491</v>
      </c>
      <c r="G90" s="270">
        <f>TAXREC!E156</f>
        <v>802932</v>
      </c>
      <c r="H90" s="151"/>
    </row>
    <row r="91" spans="1:8" ht="12.75">
      <c r="A91" s="158" t="s">
        <v>370</v>
      </c>
      <c r="B91" s="127">
        <v>23</v>
      </c>
      <c r="C91" s="264">
        <f>C84/(1-C88)</f>
        <v>0</v>
      </c>
      <c r="D91" s="20"/>
      <c r="E91" s="139"/>
      <c r="F91" s="431" t="s">
        <v>491</v>
      </c>
      <c r="G91" s="270">
        <f>TAXREC!E158</f>
        <v>0</v>
      </c>
      <c r="H91" s="151"/>
    </row>
    <row r="92" spans="1:8" ht="12.75">
      <c r="A92" s="158" t="s">
        <v>348</v>
      </c>
      <c r="B92" s="127">
        <v>24</v>
      </c>
      <c r="C92" s="264">
        <f>C72</f>
        <v>18204.135000000002</v>
      </c>
      <c r="D92" s="20"/>
      <c r="E92" s="139"/>
      <c r="F92" s="431" t="s">
        <v>491</v>
      </c>
      <c r="G92" s="270">
        <f>TAXREC!E157</f>
        <v>37479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481</v>
      </c>
      <c r="B95" s="125">
        <v>25</v>
      </c>
      <c r="C95" s="269">
        <f>SUM(C90:C93)</f>
        <v>410254.80057273776</v>
      </c>
      <c r="D95" s="6"/>
      <c r="E95" s="139"/>
      <c r="F95" s="431" t="s">
        <v>491</v>
      </c>
      <c r="G95" s="414">
        <f>SUM(G90:G94)</f>
        <v>840411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42844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34381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486</v>
      </c>
      <c r="B112" s="127">
        <v>11</v>
      </c>
      <c r="C112" s="112"/>
      <c r="D112" s="3"/>
      <c r="E112" s="473">
        <f>E206</f>
        <v>18510.368750000023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-10047.368750000023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490</v>
      </c>
      <c r="B122" s="127"/>
      <c r="C122" s="112"/>
      <c r="D122" s="3" t="s">
        <v>231</v>
      </c>
      <c r="E122" s="470">
        <f>G53</f>
        <v>0.3233</v>
      </c>
      <c r="F122" s="471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-3248.314316875007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-3248.314316875007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G53-0.0112</f>
        <v>0.3121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7">
        <f>E128/(1-E130)</f>
        <v>-4722.073436364308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623098.649737303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E122</f>
        <v>0.3233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201447.79346007007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201447.79346007007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240640.69852854643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-39192.905068476364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2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11068045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6068045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18204.135000000002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18204.135000000002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11068045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-38931955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347</v>
      </c>
      <c r="B172" s="130"/>
      <c r="C172" s="112"/>
      <c r="D172" s="118" t="s">
        <v>188</v>
      </c>
      <c r="E172" s="305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5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70">
        <f>E130</f>
        <v>0.3121</v>
      </c>
      <c r="F175" s="471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-56974.71299386011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6">
        <f>SUM(E177:E179)</f>
        <v>-56974.71299386011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485</v>
      </c>
      <c r="B183" s="130"/>
      <c r="C183" s="112"/>
      <c r="D183" s="119" t="s">
        <v>187</v>
      </c>
      <c r="E183" s="486">
        <f>E132</f>
        <v>-4722.073436364308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6">
        <f>E181+E183</f>
        <v>-61696.78643022441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401216.63125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303475.350262697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97741.280987303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92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419727</v>
      </c>
      <c r="F201" s="3"/>
      <c r="G201" s="492"/>
      <c r="H201" s="164"/>
    </row>
    <row r="202" spans="1:8" ht="12.75">
      <c r="A202" s="155" t="s">
        <v>500</v>
      </c>
      <c r="B202" s="127"/>
      <c r="C202" s="112"/>
      <c r="D202" s="120"/>
      <c r="E202" s="491"/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419727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487</v>
      </c>
      <c r="B206" s="127"/>
      <c r="C206" s="112"/>
      <c r="D206" s="120"/>
      <c r="E206" s="472">
        <f>IF((E201-E193)&gt;0,E201-E193,0)</f>
        <v>18510.368750000023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-321985.719012697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zoomScalePageLayoutView="0" workbookViewId="0" topLeftCell="A13">
      <selection activeCell="A46" sqref="A4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 UTILITYNAME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9">
        <f>Ratebase*REGINFO!D33*0.0025</f>
        <v>13835.05625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503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12574922</v>
      </c>
      <c r="D31" s="286"/>
      <c r="E31" s="284">
        <f>C31-D31</f>
        <v>12574922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3875737</v>
      </c>
      <c r="D32" s="286"/>
      <c r="E32" s="284">
        <f>C32-D32</f>
        <v>3875737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512938</v>
      </c>
      <c r="D33" s="286"/>
      <c r="E33" s="284">
        <f>C33-D33</f>
        <v>512938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12574922</v>
      </c>
      <c r="D39" s="286"/>
      <c r="E39" s="284">
        <f>C39-D39</f>
        <v>12574922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705839</v>
      </c>
      <c r="D40" s="286"/>
      <c r="E40" s="284">
        <f aca="true" t="shared" si="0" ref="E40:E48">C40-D40</f>
        <v>705839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>
        <v>521215</v>
      </c>
      <c r="D41" s="286"/>
      <c r="E41" s="284">
        <f t="shared" si="0"/>
        <v>521215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447559</v>
      </c>
      <c r="D42" s="286"/>
      <c r="E42" s="284">
        <f t="shared" si="0"/>
        <v>447559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607909</v>
      </c>
      <c r="D43" s="286"/>
      <c r="E43" s="284">
        <f t="shared" si="0"/>
        <v>607909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95" t="s">
        <v>505</v>
      </c>
      <c r="B45" s="23" t="s">
        <v>188</v>
      </c>
      <c r="C45" s="285">
        <v>8320</v>
      </c>
      <c r="D45" s="286"/>
      <c r="E45" s="284">
        <f t="shared" si="0"/>
        <v>8320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SUM(C31:C35)-SUM(C39:C48)</f>
        <v>2097833</v>
      </c>
      <c r="D50" s="281">
        <f>SUM(D31:D36)-SUM(D39:D49)</f>
        <v>0</v>
      </c>
      <c r="E50" s="281">
        <f>SUM(E31:E35)-SUM(E39:E48)</f>
        <v>2097833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f>-8320+428047</f>
        <v>419727</v>
      </c>
      <c r="D51" s="285"/>
      <c r="E51" s="282">
        <f>+C51-D51</f>
        <v>419727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390000</v>
      </c>
      <c r="D52" s="285"/>
      <c r="E52" s="283">
        <f>+C52-D52</f>
        <v>390000</v>
      </c>
      <c r="F52" s="8"/>
      <c r="G52" s="416" t="s">
        <v>483</v>
      </c>
    </row>
    <row r="53" spans="1:6" ht="12.75">
      <c r="A53" s="2" t="s">
        <v>131</v>
      </c>
      <c r="B53" s="8" t="s">
        <v>189</v>
      </c>
      <c r="C53" s="281">
        <f>C50-C51-C52</f>
        <v>1288106</v>
      </c>
      <c r="D53" s="281">
        <f>D50-D51-D52</f>
        <v>0</v>
      </c>
      <c r="E53" s="281">
        <f>E50-E51-E52</f>
        <v>1288106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390000</v>
      </c>
      <c r="D59" s="287">
        <f>D52</f>
        <v>0</v>
      </c>
      <c r="E59" s="272">
        <f>+C59-D59</f>
        <v>390000</v>
      </c>
      <c r="F59" s="8"/>
      <c r="G59" s="416" t="s">
        <v>483</v>
      </c>
    </row>
    <row r="60" spans="1:6" ht="12.75">
      <c r="A60" s="4" t="s">
        <v>327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607909</v>
      </c>
      <c r="D61" s="287">
        <f>D43</f>
        <v>0</v>
      </c>
      <c r="E61" s="272">
        <f>+C61-D61</f>
        <v>607909</v>
      </c>
      <c r="F61" s="8"/>
      <c r="G61" s="416"/>
    </row>
    <row r="62" spans="1:6" ht="12.75">
      <c r="A62" t="s">
        <v>6</v>
      </c>
      <c r="B62" s="8" t="s">
        <v>187</v>
      </c>
      <c r="C62" s="318">
        <f>5038+37806</f>
        <v>42844</v>
      </c>
      <c r="D62" s="287">
        <v>0</v>
      </c>
      <c r="E62" s="272">
        <f>+C62-D62</f>
        <v>42844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444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8" t="s">
        <v>395</v>
      </c>
      <c r="B66" s="8"/>
      <c r="C66" s="447">
        <f>'TAXREC 3 No True-up'!C47</f>
        <v>560938</v>
      </c>
      <c r="D66" s="447">
        <f>'TAXREC 3 No True-up'!D47</f>
        <v>0</v>
      </c>
      <c r="E66" s="272">
        <f>+C66-D66</f>
        <v>560938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1601691</v>
      </c>
      <c r="D70" s="272">
        <f>SUM(D59:D68)</f>
        <v>0</v>
      </c>
      <c r="E70" s="272">
        <f>SUM(E59:E68)</f>
        <v>1601691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2:11" ht="12.75"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4">
        <v>0</v>
      </c>
      <c r="D76" s="294"/>
      <c r="E76" s="480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1601691</v>
      </c>
      <c r="D82" s="251">
        <f>D70+D80</f>
        <v>0</v>
      </c>
      <c r="E82" s="251">
        <f>E70+E80</f>
        <v>1601691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432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546206</v>
      </c>
      <c r="D97" s="294"/>
      <c r="E97" s="272">
        <f>+C97-D97</f>
        <v>546206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48748</v>
      </c>
      <c r="D98" s="294"/>
      <c r="E98" s="272">
        <f>+C98-D98</f>
        <v>48748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>
        <v>34381</v>
      </c>
      <c r="D99" s="294"/>
      <c r="E99" s="272">
        <f>+C99-D99</f>
        <v>34381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395</v>
      </c>
      <c r="B108" s="8"/>
      <c r="C108" s="254">
        <f>'TAXREC 3 No True-up'!C73</f>
        <v>37504</v>
      </c>
      <c r="D108" s="254">
        <f>'TAXREC 3 No True-up'!D73</f>
        <v>0</v>
      </c>
      <c r="E108" s="272">
        <f t="shared" si="5"/>
        <v>37504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666839</v>
      </c>
      <c r="D113" s="251">
        <f>SUM(D97:D111)</f>
        <v>0</v>
      </c>
      <c r="E113" s="251">
        <f>SUM(E97:E111)</f>
        <v>666839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666839</v>
      </c>
      <c r="D122" s="251">
        <f>D113+D120</f>
        <v>0</v>
      </c>
      <c r="E122" s="251">
        <f>+E113+E120</f>
        <v>666839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/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aca="true" t="shared" si="6" ref="C126:E129">IF($E116&gt;$C$13,C116,)</f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2222958</v>
      </c>
      <c r="D134" s="251">
        <f>D53+D82-D122</f>
        <v>0</v>
      </c>
      <c r="E134" s="251">
        <f>E53+E82-E122</f>
        <v>2222958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2222958</v>
      </c>
      <c r="D139" s="252">
        <f>D134-D136-D137-D138</f>
        <v>0</v>
      </c>
      <c r="E139" s="252">
        <f>E134-E136-E137-E138</f>
        <v>2222958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491718</v>
      </c>
      <c r="D142" s="488">
        <f>D139*C149</f>
        <v>0</v>
      </c>
      <c r="E142" s="252">
        <f>C142-D142</f>
        <v>491718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311214</v>
      </c>
      <c r="D143" s="488">
        <f>D139*C150</f>
        <v>0</v>
      </c>
      <c r="E143" s="292">
        <f>C143-D143</f>
        <v>311214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802932</v>
      </c>
      <c r="D144" s="252">
        <f>D142+D143</f>
        <v>0</v>
      </c>
      <c r="E144" s="252">
        <f>E142+E143</f>
        <v>802932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>
        <v>0</v>
      </c>
      <c r="D145" s="48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802932</v>
      </c>
      <c r="D146" s="252">
        <f>D144-D145</f>
        <v>0</v>
      </c>
      <c r="E146" s="252">
        <f>E144-E145</f>
        <v>802932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5">
        <f>+'Tax Rates'!F50</f>
        <v>0.2212</v>
      </c>
      <c r="D149" s="5"/>
      <c r="E149" s="406">
        <f>C149</f>
        <v>0.2212</v>
      </c>
      <c r="F149" s="8"/>
      <c r="G149" s="485" t="s">
        <v>470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5">
        <f>+'Tax Rates'!F51</f>
        <v>0.14</v>
      </c>
      <c r="D150" s="5"/>
      <c r="E150" s="406">
        <f>C150</f>
        <v>0.14</v>
      </c>
      <c r="F150" s="8"/>
      <c r="G150" s="485" t="s">
        <v>471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6">
        <f>SUM(C149:C150)</f>
        <v>0.3612</v>
      </c>
      <c r="D151" s="5"/>
      <c r="E151" s="406">
        <f>SUM(E149:E150)</f>
        <v>0.3612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480</v>
      </c>
      <c r="B155" s="8"/>
    </row>
    <row r="156" spans="1:5" ht="12.75">
      <c r="A156" t="s">
        <v>219</v>
      </c>
      <c r="B156" s="86" t="s">
        <v>187</v>
      </c>
      <c r="C156" s="251">
        <f>C146</f>
        <v>802932</v>
      </c>
      <c r="D156" s="251">
        <f>D146</f>
        <v>0</v>
      </c>
      <c r="E156" s="251">
        <f>E146</f>
        <v>802932</v>
      </c>
    </row>
    <row r="157" spans="1:5" ht="12.75">
      <c r="A157" t="s">
        <v>20</v>
      </c>
      <c r="B157" s="86" t="s">
        <v>187</v>
      </c>
      <c r="C157" s="481">
        <v>37479</v>
      </c>
      <c r="D157" s="251"/>
      <c r="E157" s="251">
        <f>C157+D157</f>
        <v>37479</v>
      </c>
    </row>
    <row r="158" spans="1:5" ht="12.75">
      <c r="A158" t="s">
        <v>218</v>
      </c>
      <c r="B158" s="86" t="s">
        <v>187</v>
      </c>
      <c r="C158" s="481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840411</v>
      </c>
      <c r="D160" s="251">
        <f>D156+D157+D158</f>
        <v>0</v>
      </c>
      <c r="E160" s="251">
        <f>E156+E157+E158</f>
        <v>840411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25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 UTILITYNAME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449</v>
      </c>
      <c r="B18" s="61"/>
      <c r="C18" s="294"/>
      <c r="D18" s="294"/>
      <c r="E18" s="251">
        <f t="shared" si="0"/>
        <v>0</v>
      </c>
    </row>
    <row r="19" spans="1:5" ht="12.75">
      <c r="A19" s="61" t="s">
        <v>449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449</v>
      </c>
      <c r="B30" s="61"/>
      <c r="C30" s="294"/>
      <c r="D30" s="294"/>
      <c r="E30" s="251">
        <f t="shared" si="1"/>
        <v>0</v>
      </c>
    </row>
    <row r="31" spans="1:5" ht="12.75">
      <c r="A31" s="61" t="s">
        <v>449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502</v>
      </c>
      <c r="B47" s="61"/>
      <c r="C47" s="294"/>
      <c r="D47" s="294"/>
      <c r="E47" s="251">
        <f t="shared" si="2"/>
        <v>0</v>
      </c>
    </row>
    <row r="48" spans="1:5" ht="12.75">
      <c r="A48" s="61" t="s">
        <v>449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502</v>
      </c>
      <c r="B59" s="61"/>
      <c r="C59" s="294"/>
      <c r="D59" s="294"/>
      <c r="E59" s="251">
        <f t="shared" si="3"/>
        <v>0</v>
      </c>
    </row>
    <row r="60" spans="1:5" ht="12.75">
      <c r="A60" s="61" t="s">
        <v>449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18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43" sqref="A4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467</v>
      </c>
      <c r="B5" s="8"/>
      <c r="C5" s="8" t="s">
        <v>2</v>
      </c>
      <c r="D5" s="8"/>
      <c r="E5" s="8"/>
      <c r="F5" s="8"/>
    </row>
    <row r="6" spans="1:6" ht="12.75">
      <c r="A6" s="416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 UTILITYNAME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90">
        <f>TAXREC!C13</f>
        <v>13835.05625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450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478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494"/>
      <c r="B41" t="s">
        <v>187</v>
      </c>
      <c r="C41" s="294"/>
      <c r="D41" s="294"/>
      <c r="E41" s="251">
        <f t="shared" si="0"/>
        <v>0</v>
      </c>
    </row>
    <row r="42" spans="1:5" ht="12.75">
      <c r="A42" s="494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479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25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41" sqref="C4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385</v>
      </c>
      <c r="E3" s="92"/>
    </row>
    <row r="4" spans="1:6" ht="15.75">
      <c r="A4" s="465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 UTILITYNAME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388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454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391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392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455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438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390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389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433</v>
      </c>
      <c r="B32" t="s">
        <v>187</v>
      </c>
      <c r="C32" s="295">
        <v>1241</v>
      </c>
      <c r="D32" s="295"/>
      <c r="E32" s="313">
        <f t="shared" si="0"/>
        <v>1241</v>
      </c>
    </row>
    <row r="33" spans="1:5" ht="12.75">
      <c r="A33" s="67" t="s">
        <v>434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451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452</v>
      </c>
      <c r="C35" s="295">
        <v>25</v>
      </c>
      <c r="D35" s="295"/>
      <c r="E35" s="313">
        <f t="shared" si="0"/>
        <v>25</v>
      </c>
    </row>
    <row r="36" spans="1:5" ht="12.75">
      <c r="A36" s="67" t="s">
        <v>435</v>
      </c>
      <c r="C36" s="295"/>
      <c r="D36" s="295"/>
      <c r="E36" s="313">
        <f t="shared" si="0"/>
        <v>0</v>
      </c>
    </row>
    <row r="37" spans="1:5" ht="12.75">
      <c r="A37" s="67" t="s">
        <v>436</v>
      </c>
      <c r="C37" s="295"/>
      <c r="D37" s="295"/>
      <c r="E37" s="313">
        <f t="shared" si="0"/>
        <v>0</v>
      </c>
    </row>
    <row r="38" spans="1:5" ht="12.75">
      <c r="A38" s="81" t="s">
        <v>393</v>
      </c>
      <c r="C38" s="295">
        <v>37000</v>
      </c>
      <c r="D38" s="295"/>
      <c r="E38" s="313">
        <f t="shared" si="0"/>
        <v>37000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387</v>
      </c>
      <c r="B40" t="s">
        <v>187</v>
      </c>
      <c r="C40" s="295">
        <f>169692+352980</f>
        <v>522672</v>
      </c>
      <c r="D40" s="295"/>
      <c r="E40" s="313">
        <f t="shared" si="0"/>
        <v>522672</v>
      </c>
    </row>
    <row r="41" spans="1:5" ht="12.75">
      <c r="A41" s="67" t="s">
        <v>458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50" t="s">
        <v>397</v>
      </c>
      <c r="B47" t="s">
        <v>189</v>
      </c>
      <c r="C47" s="251">
        <f>SUM(C19:C46)</f>
        <v>560938</v>
      </c>
      <c r="D47" s="251">
        <f>SUM(D19:D46)</f>
        <v>0</v>
      </c>
      <c r="E47" s="251">
        <f>SUM(E19:E46)</f>
        <v>560938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389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437</v>
      </c>
      <c r="B54" s="8" t="s">
        <v>188</v>
      </c>
      <c r="C54" s="484"/>
      <c r="D54" s="294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4">
        <v>25</v>
      </c>
      <c r="D57" s="294"/>
      <c r="E57" s="251">
        <f t="shared" si="1"/>
        <v>25</v>
      </c>
    </row>
    <row r="58" spans="1:5" ht="12.75">
      <c r="A58" s="67" t="s">
        <v>456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9" t="s">
        <v>394</v>
      </c>
      <c r="B60" s="8" t="s">
        <v>188</v>
      </c>
      <c r="C60" s="294">
        <v>37479</v>
      </c>
      <c r="D60" s="294"/>
      <c r="E60" s="251">
        <f t="shared" si="1"/>
        <v>37479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9" t="s">
        <v>387</v>
      </c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t="s">
        <v>499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9" t="s">
        <v>396</v>
      </c>
      <c r="B73" s="8" t="s">
        <v>189</v>
      </c>
      <c r="C73" s="251">
        <f>SUM(C51:C72)</f>
        <v>37504</v>
      </c>
      <c r="D73" s="251">
        <f>SUM(D51:D72)</f>
        <v>0</v>
      </c>
      <c r="E73" s="251">
        <f>SUM(E51:E72)</f>
        <v>37504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31">
      <selection activeCell="C57" sqref="C57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EB-2008-381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 UTILITYNAME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4" t="s">
        <v>482</v>
      </c>
      <c r="B8" s="505"/>
      <c r="C8" s="505"/>
      <c r="D8" s="505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469</v>
      </c>
      <c r="B10" s="327"/>
      <c r="C10" s="376" t="s">
        <v>111</v>
      </c>
      <c r="D10" s="376"/>
      <c r="E10" s="376" t="s">
        <v>111</v>
      </c>
      <c r="F10" s="377" t="s">
        <v>484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332</v>
      </c>
      <c r="B21" s="407" t="s">
        <v>473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333</v>
      </c>
      <c r="B22" s="408" t="s">
        <v>474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8" t="s">
        <v>498</v>
      </c>
      <c r="B23" s="499"/>
      <c r="C23" s="499"/>
      <c r="D23" s="499"/>
      <c r="E23" s="499"/>
      <c r="F23" s="499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4" t="s">
        <v>494</v>
      </c>
      <c r="B26" s="505"/>
      <c r="C26" s="505"/>
      <c r="D26" s="505"/>
      <c r="E26" s="505"/>
      <c r="F26" s="505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441</v>
      </c>
      <c r="B28" s="327"/>
      <c r="C28" s="370" t="s">
        <v>111</v>
      </c>
      <c r="D28" s="370" t="s">
        <v>111</v>
      </c>
      <c r="E28" s="370" t="s">
        <v>111</v>
      </c>
      <c r="F28" s="371" t="s">
        <v>497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495</v>
      </c>
      <c r="B39" s="407" t="s">
        <v>473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496</v>
      </c>
      <c r="B40" s="408" t="s">
        <v>493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0" t="s">
        <v>335</v>
      </c>
      <c r="B41" s="499"/>
      <c r="C41" s="499"/>
      <c r="D41" s="499"/>
      <c r="E41" s="499"/>
      <c r="F41" s="499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1"/>
      <c r="B42" s="501"/>
      <c r="C42" s="501"/>
      <c r="D42" s="501"/>
      <c r="E42" s="501"/>
      <c r="F42" s="501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492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497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>
        <v>0.2212</v>
      </c>
      <c r="E50" s="353">
        <v>0.2229</v>
      </c>
      <c r="F50" s="353">
        <v>0.2212</v>
      </c>
      <c r="G50" s="194"/>
      <c r="H50" s="493">
        <v>0.2212</v>
      </c>
      <c r="I50" s="493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0.1377</v>
      </c>
      <c r="F51" s="355">
        <v>0.14</v>
      </c>
      <c r="G51" s="194"/>
      <c r="H51" s="493">
        <v>0.14</v>
      </c>
      <c r="I51" s="493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0.3606</v>
      </c>
      <c r="F52" s="333">
        <f>SUM(F50:F51)</f>
        <v>0.3612</v>
      </c>
      <c r="G52" s="194"/>
      <c r="H52" s="493">
        <f>+H50+H51</f>
        <v>0.3612</v>
      </c>
      <c r="I52" s="493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349</v>
      </c>
      <c r="B57" s="407" t="s">
        <v>473</v>
      </c>
      <c r="C57" s="362">
        <v>4684843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350</v>
      </c>
      <c r="B58" s="408" t="s">
        <v>493</v>
      </c>
      <c r="C58" s="363">
        <v>45995000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8" t="s">
        <v>351</v>
      </c>
      <c r="B59" s="502"/>
      <c r="C59" s="502"/>
      <c r="D59" s="502"/>
      <c r="E59" s="502"/>
      <c r="F59" s="502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3"/>
      <c r="B60" s="503"/>
      <c r="C60" s="503"/>
      <c r="D60" s="503"/>
      <c r="E60" s="503"/>
      <c r="F60" s="503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0">
      <selection activeCell="M15" sqref="M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 UTILITYNAME</v>
      </c>
      <c r="O3" s="417" t="str">
        <f>REGINFO!E1</f>
        <v>Version 2009.1</v>
      </c>
    </row>
    <row r="4" spans="1:15" ht="12.75">
      <c r="A4" s="2" t="str">
        <f>REGINFO!A4</f>
        <v>Reporting period:  2004</v>
      </c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398</v>
      </c>
      <c r="B12" s="66" t="s">
        <v>190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440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399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400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-4722.073436364308</v>
      </c>
      <c r="N15" s="392"/>
      <c r="O15" s="397">
        <f t="shared" si="0"/>
        <v>-4722.073436364308</v>
      </c>
    </row>
    <row r="16" spans="1:15" ht="27" customHeight="1">
      <c r="A16" s="81" t="s">
        <v>401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402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-56974.71299386011</v>
      </c>
      <c r="N17" s="392"/>
      <c r="O17" s="397">
        <f t="shared" si="0"/>
        <v>-56974.71299386011</v>
      </c>
    </row>
    <row r="18" spans="1:15" ht="25.5">
      <c r="A18" s="81" t="s">
        <v>403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404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472</v>
      </c>
      <c r="B20" s="66" t="s">
        <v>188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374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-61696.78643022441</v>
      </c>
      <c r="N22" s="391"/>
      <c r="O22" s="451">
        <f>SUM(O11:O20)</f>
        <v>-61696.78643022441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405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406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407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2" t="s">
        <v>408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07" t="s">
        <v>409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421"/>
      <c r="Q33" s="421"/>
      <c r="R33" s="421"/>
      <c r="S33" s="421"/>
    </row>
    <row r="34" spans="1:19" ht="12.75">
      <c r="A34" s="506" t="s">
        <v>410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421"/>
      <c r="Q34" s="421"/>
      <c r="R34" s="421"/>
      <c r="S34" s="421"/>
    </row>
    <row r="35" spans="1:19" ht="12.75">
      <c r="A35" s="506" t="s">
        <v>431</v>
      </c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421"/>
      <c r="Q35" s="421"/>
      <c r="R35" s="421"/>
      <c r="S35" s="421"/>
    </row>
    <row r="36" spans="1:19" ht="12.75">
      <c r="A36" s="506" t="s">
        <v>411</v>
      </c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421"/>
      <c r="Q36" s="421"/>
      <c r="R36" s="421"/>
      <c r="S36" s="421"/>
    </row>
    <row r="37" spans="1:19" ht="12.75">
      <c r="A37" s="438" t="s">
        <v>371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372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412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413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414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415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416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417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418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419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420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417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421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422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423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424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425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381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426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427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383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382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384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428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429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430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06" t="s">
        <v>460</v>
      </c>
      <c r="B74" s="506"/>
      <c r="C74" s="506"/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</row>
    <row r="75" spans="1:15" ht="12.75">
      <c r="A75" s="435" t="s">
        <v>373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06"/>
      <c r="D92" s="506"/>
      <c r="E92" s="506"/>
      <c r="F92" s="506"/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6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9" r:id="rId1"/>
  <headerFooter alignWithMargins="0">
    <oddHeader>&amp;R&amp;9Halton Hills Hydro Inc.
EB-2008-0381
Deferred PILs Combined Proceeding
Appendix C</oddHeader>
    <oddFooter>&amp;L&amp;8July 07, 2011&amp;R&amp;"Arial,Bold"&amp;9&amp;A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Lois Ouellette</cp:lastModifiedBy>
  <cp:lastPrinted>2012-05-08T18:58:58Z</cp:lastPrinted>
  <dcterms:created xsi:type="dcterms:W3CDTF">2001-11-07T16:15:53Z</dcterms:created>
  <dcterms:modified xsi:type="dcterms:W3CDTF">2013-02-14T18:04:38Z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