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5" yWindow="-15" windowWidth="28830" windowHeight="5955" tabRatio="720"/>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externalReferences>
    <externalReference r:id="rId7"/>
  </externalReference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Q15" i="5" l="1"/>
  <c r="O15" i="5" l="1"/>
  <c r="Q7" i="5"/>
  <c r="M15" i="5" l="1"/>
  <c r="K15" i="5"/>
  <c r="I15" i="5"/>
  <c r="G15" i="5"/>
  <c r="M7" i="5"/>
  <c r="O7" i="5" l="1"/>
  <c r="K7" i="5" l="1"/>
  <c r="I7" i="5"/>
  <c r="G7" i="5"/>
  <c r="O5" i="5" l="1"/>
  <c r="M5" i="5"/>
  <c r="K5" i="5"/>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<sst xmlns="http://schemas.openxmlformats.org/spreadsheetml/2006/main" count="1155" uniqueCount="190">
  <si>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</si>
  <si>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</si>
  <si>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</si>
  <si>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</si>
  <si>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</si>
  <si>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</si>
  <si>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</si>
  <si>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</si>
  <si>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</si>
  <si>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</si>
  <si>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</si>
  <si>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</si>
  <si>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</si>
  <si>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</si>
  <si>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</si>
  <si>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</si>
  <si>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</si>
  <si>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</si>
  <si>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</si>
  <si>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</si>
  <si>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</si>
  <si>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</si>
  <si>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</si>
  <si>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</si>
  <si>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</si>
  <si>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</si>
  <si>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</si>
  <si>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</si>
  <si>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</si>
  <si>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</si>
  <si>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</si>
  <si>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</si>
  <si>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</si>
  <si>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</si>
  <si>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</si>
  <si>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</si>
  <si>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</si>
  <si>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</si>
  <si>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</si>
  <si>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</si>
  <si>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</si>
  <si>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</si>
  <si>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</si>
  <si>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</si>
  <si>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</si>
  <si>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</si>
  <si>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</si>
  <si>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</si>
  <si>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</si>
  <si>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</si>
  <si>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</si>
  <si>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</si>
  <si>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</si>
  <si>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</si>
  <si>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</si>
  <si>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</si>
  <si>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</si>
  <si>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</si>
  <si>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</si>
  <si>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</si>
  <si>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</si>
  <si>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</si>
  <si>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</si>
  <si>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</si>
  <si>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</si>
  <si>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</si>
  <si>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</si>
  <si>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</si>
  <si>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</si>
  <si>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</si>
  <si>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</si>
  <si>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</si>
  <si>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</si>
  <si>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</si>
  <si>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</si>
  <si>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</si>
  <si>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</si>
  <si>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</si>
  <si>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</si>
  <si>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</si>
  <si>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</si>
  <si>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</si>
  <si>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</si>
  <si>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</si>
  <si>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</si>
  <si>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</si>
  <si>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</si>
  <si>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</si>
  <si>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</si>
  <si>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</si>
  <si>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</si>
  <si>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</si>
  <si>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</si>
  <si>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</si>
  <si>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</si>
  <si>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</si>
  <si>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</si>
  <si>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</si>
  <si>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</si>
  <si>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</si>
  <si>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</si>
  <si>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</si>
  <si>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</si>
  <si>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</si>
  <si>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</si>
  <si>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</si>
  <si>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</si>
  <si>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</si>
  <si>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</si>
  <si>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</si>
  <si>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</si>
  <si>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</si>
  <si>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</si>
  <si>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</si>
  <si>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</si>
  <si>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</si>
  <si>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</si>
  <si>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</si>
  <si>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</si>
  <si>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</si>
  <si>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</si>
  <si>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</si>
  <si>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</si>
  <si>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</si>
  <si>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</si>
  <si>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</si>
  <si>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</si>
  <si>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</si>
  <si>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</si>
  <si>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</si>
  <si>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</si>
  <si>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</si>
  <si>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</si>
  <si>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</si>
  <si>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</si>
  <si>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</si>
  <si>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</si>
  <si>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</si>
  <si>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</si>
  <si>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</si>
  <si>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</si>
  <si>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</si>
  <si>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</si>
  <si>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</si>
  <si>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</si>
  <si>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</si>
  <si>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</si>
  <si>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</si>
  <si>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</si>
  <si>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</si>
  <si>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</si>
  <si>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</si>
  <si>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</si>
  <si>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</si>
  <si>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</si>
  <si>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</si>
  <si>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</si>
  <si>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</si>
  <si>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</si>
  <si>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</si>
  <si>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</si>
  <si>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</si>
  <si>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</si>
  <si>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</si>
  <si>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</si>
  <si>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</si>
  <si>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</si>
  <si>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</si>
  <si>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</si>
  <si>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</si>
  <si>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</si>
  <si>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</si>
  <si>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</si>
  <si>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</si>
  <si>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</si>
  <si>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</si>
  <si>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</si>
  <si>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</si>
  <si>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</si>
  <si>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</si>
  <si>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</si>
  <si>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</si>
  <si>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</si>
  <si>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</si>
  <si>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No</t>
  </si>
  <si>
    <t>905-468-4235 x380</t>
  </si>
  <si>
    <t>pwormwell@notlhydro.com</t>
  </si>
  <si>
    <t>EB-2012-0036</t>
  </si>
  <si>
    <t>Yes-June 7/12.  #s transferred from 1555 to accts as shown</t>
  </si>
  <si>
    <t>Philip Wormwell, Director of Corporate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</si>
</sst>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MART%20METER%20RATE%20RIDER%202012/DECISION/NOTL_smart%20meter%20model_FINAL_201206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Utility_Info"/>
      <sheetName val="2. Smart_Meter_Costs"/>
      <sheetName val="3. Cost_of_Service_Parameters"/>
      <sheetName val="4. SM_Assets_and_Rate_Base"/>
      <sheetName val="5. SM_Rev_Reqt"/>
      <sheetName val="6. UCC_Calculation"/>
      <sheetName val="7_Taxes_PILs"/>
      <sheetName val="8. Funding_Adder_Revs"/>
      <sheetName val="8A. Opex_Interest_monthly"/>
      <sheetName val="8B. Opex_Interest_annual"/>
      <sheetName val="9. SMFA_SMDR_SMIRR"/>
    </sheetNames>
    <sheetDataSet>
      <sheetData sheetId="0"/>
      <sheetData sheetId="1">
        <row r="29">
          <cell r="M29">
            <v>159</v>
          </cell>
          <cell r="O29">
            <v>7472</v>
          </cell>
          <cell r="Q29">
            <v>282</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abSelected="1" zoomScale="115" zoomScaleNormal="115" workbookViewId="0">
      <selection activeCell="F18" sqref="F18:J18"/>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74</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189</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H5" activePane="bottomRight" state="frozen"/>
      <selection pane="topRight" activeCell="D1" sqref="D1"/>
      <selection pane="bottomLeft" activeCell="A4" sqref="A4"/>
      <selection pane="bottomRight" activeCell="Q16" sqref="Q16"/>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Niagara-on-the-Lake Hydro Inc.</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f>'[1]2. Smart_Meter_Costs'!$M$29</f>
        <v>159</v>
      </c>
      <c r="L5" s="90">
        <f>J5+K5</f>
        <v>159</v>
      </c>
      <c r="M5" s="103">
        <f>'[1]2. Smart_Meter_Costs'!$O$29</f>
        <v>7472</v>
      </c>
      <c r="N5" s="90">
        <f>L5+M5</f>
        <v>7631</v>
      </c>
      <c r="O5" s="103">
        <f>'[1]2. Smart_Meter_Costs'!$Q$29</f>
        <v>282</v>
      </c>
      <c r="P5" s="90">
        <f>N5+O5</f>
        <v>7913</v>
      </c>
      <c r="Q5" s="103">
        <v>197</v>
      </c>
      <c r="R5" s="91">
        <f>P5+Q5</f>
        <v>8110</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2435.08</v>
      </c>
      <c r="F7" s="92">
        <f t="shared" ref="F7:F12" si="0">D7+E7</f>
        <v>2435.08</v>
      </c>
      <c r="G7" s="104">
        <f>24582.48-2435.08</f>
        <v>22147.4</v>
      </c>
      <c r="H7" s="92">
        <f t="shared" ref="H7:H12" si="1">F7+G7</f>
        <v>24582.480000000003</v>
      </c>
      <c r="I7" s="104">
        <f>85962.91-24582.48</f>
        <v>61380.430000000008</v>
      </c>
      <c r="J7" s="92">
        <f t="shared" ref="J7:J12" si="2">H7+I7</f>
        <v>85962.91</v>
      </c>
      <c r="K7" s="104">
        <f>630672.7-85962.91</f>
        <v>544709.78999999992</v>
      </c>
      <c r="L7" s="92">
        <f t="shared" ref="L7:L12" si="3">J7+K7</f>
        <v>630672.69999999995</v>
      </c>
      <c r="M7" s="104">
        <f>1572278.45-630672.7-M10</f>
        <v>771605.75</v>
      </c>
      <c r="N7" s="92">
        <f t="shared" ref="N7:N12" si="4">L7+M7</f>
        <v>1402278.45</v>
      </c>
      <c r="O7" s="104">
        <f>1826770.92-1572278.45</f>
        <v>254492.46999999997</v>
      </c>
      <c r="P7" s="92">
        <f t="shared" ref="P7:P12" si="5">N7+O7</f>
        <v>1656770.92</v>
      </c>
      <c r="Q7" s="104">
        <f>(1655721.93+49943.84+170000)-1826770.92-10580.49+3089.6</f>
        <v>41403.960000000094</v>
      </c>
      <c r="R7" s="93">
        <f t="shared" ref="R7:R12" si="6">P7+Q7</f>
        <v>1698174.8800000001</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v>0</v>
      </c>
      <c r="L9" s="92">
        <f t="shared" si="3"/>
        <v>0</v>
      </c>
      <c r="M9" s="104">
        <v>0</v>
      </c>
      <c r="N9" s="92">
        <f t="shared" si="4"/>
        <v>0</v>
      </c>
      <c r="O9" s="104">
        <v>0</v>
      </c>
      <c r="P9" s="92">
        <f t="shared" si="5"/>
        <v>0</v>
      </c>
      <c r="Q9" s="104">
        <v>0</v>
      </c>
      <c r="R9" s="93">
        <f t="shared" si="6"/>
        <v>0</v>
      </c>
    </row>
    <row r="10" spans="2:19" x14ac:dyDescent="0.25">
      <c r="B10" s="29" t="s">
        <v>128</v>
      </c>
      <c r="C10" s="57">
        <v>1925</v>
      </c>
      <c r="D10" s="104">
        <v>0</v>
      </c>
      <c r="E10" s="104">
        <v>0</v>
      </c>
      <c r="F10" s="92">
        <f t="shared" si="0"/>
        <v>0</v>
      </c>
      <c r="G10" s="104">
        <v>0</v>
      </c>
      <c r="H10" s="92">
        <f t="shared" si="1"/>
        <v>0</v>
      </c>
      <c r="I10" s="104">
        <v>0</v>
      </c>
      <c r="J10" s="92">
        <f t="shared" si="2"/>
        <v>0</v>
      </c>
      <c r="K10" s="104">
        <v>0</v>
      </c>
      <c r="L10" s="92">
        <f t="shared" si="3"/>
        <v>0</v>
      </c>
      <c r="M10" s="104">
        <v>170000</v>
      </c>
      <c r="N10" s="92">
        <f t="shared" si="4"/>
        <v>170000</v>
      </c>
      <c r="O10" s="104">
        <v>0</v>
      </c>
      <c r="P10" s="92">
        <f t="shared" si="5"/>
        <v>170000</v>
      </c>
      <c r="Q10" s="104">
        <v>0</v>
      </c>
      <c r="R10" s="93">
        <f t="shared" si="6"/>
        <v>170000</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2435.08</v>
      </c>
      <c r="F13" s="96">
        <f t="shared" si="7"/>
        <v>2435.08</v>
      </c>
      <c r="G13" s="106">
        <f t="shared" si="7"/>
        <v>22147.4</v>
      </c>
      <c r="H13" s="96">
        <f t="shared" si="7"/>
        <v>24582.480000000003</v>
      </c>
      <c r="I13" s="106">
        <f t="shared" si="7"/>
        <v>61380.430000000008</v>
      </c>
      <c r="J13" s="96">
        <f t="shared" si="7"/>
        <v>85962.91</v>
      </c>
      <c r="K13" s="106">
        <f t="shared" si="7"/>
        <v>544709.78999999992</v>
      </c>
      <c r="L13" s="96">
        <f t="shared" si="7"/>
        <v>630672.69999999995</v>
      </c>
      <c r="M13" s="106">
        <f t="shared" si="7"/>
        <v>941605.75</v>
      </c>
      <c r="N13" s="96">
        <f t="shared" si="7"/>
        <v>1572278.45</v>
      </c>
      <c r="O13" s="106">
        <f t="shared" si="7"/>
        <v>254492.46999999997</v>
      </c>
      <c r="P13" s="96">
        <f t="shared" si="7"/>
        <v>1826770.92</v>
      </c>
      <c r="Q13" s="106">
        <f t="shared" si="7"/>
        <v>41403.960000000094</v>
      </c>
      <c r="R13" s="97">
        <f t="shared" si="7"/>
        <v>1868174.8800000001</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-81</v>
      </c>
      <c r="F15" s="92">
        <f>D15+E15</f>
        <v>-81</v>
      </c>
      <c r="G15" s="104">
        <f>-162-738-1</f>
        <v>-901</v>
      </c>
      <c r="H15" s="92">
        <f>F15+G15</f>
        <v>-982</v>
      </c>
      <c r="I15" s="104">
        <f>-162-1476-2046-1</f>
        <v>-3685</v>
      </c>
      <c r="J15" s="92">
        <f>H15+I15</f>
        <v>-4667</v>
      </c>
      <c r="K15" s="104">
        <f>-162-1476-4092-4186-1</f>
        <v>-9917</v>
      </c>
      <c r="L15" s="92">
        <f>J15+K15</f>
        <v>-14584</v>
      </c>
      <c r="M15" s="104">
        <f>-162-1476-4092-8372-39691-5667-2</f>
        <v>-59462</v>
      </c>
      <c r="N15" s="92">
        <f>L15+M15</f>
        <v>-74046</v>
      </c>
      <c r="O15" s="104">
        <f>-162-1476-4092-8372-79382-7797-11333</f>
        <v>-112614</v>
      </c>
      <c r="P15" s="92">
        <f>N15+O15</f>
        <v>-186660</v>
      </c>
      <c r="Q15" s="104">
        <f>-162-1476-4092-8372-79382-16966-5667-24556-1380</f>
        <v>-142053</v>
      </c>
      <c r="R15" s="93">
        <f>P15+Q15</f>
        <v>-328713</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-81</v>
      </c>
      <c r="F19" s="96">
        <f t="shared" si="8"/>
        <v>-81</v>
      </c>
      <c r="G19" s="106">
        <f t="shared" si="8"/>
        <v>-901</v>
      </c>
      <c r="H19" s="96">
        <f t="shared" si="8"/>
        <v>-982</v>
      </c>
      <c r="I19" s="106">
        <f t="shared" si="8"/>
        <v>-3685</v>
      </c>
      <c r="J19" s="96">
        <f t="shared" si="8"/>
        <v>-4667</v>
      </c>
      <c r="K19" s="106">
        <f t="shared" si="8"/>
        <v>-9917</v>
      </c>
      <c r="L19" s="96">
        <f t="shared" si="8"/>
        <v>-14584</v>
      </c>
      <c r="M19" s="106">
        <f t="shared" si="8"/>
        <v>-59462</v>
      </c>
      <c r="N19" s="96">
        <f t="shared" si="8"/>
        <v>-74046</v>
      </c>
      <c r="O19" s="106">
        <f t="shared" si="8"/>
        <v>-112614</v>
      </c>
      <c r="P19" s="96">
        <f t="shared" si="8"/>
        <v>-186660</v>
      </c>
      <c r="Q19" s="106">
        <f t="shared" si="8"/>
        <v>-142053</v>
      </c>
      <c r="R19" s="97">
        <f t="shared" si="8"/>
        <v>-328713</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2354.08</v>
      </c>
      <c r="F21" s="98">
        <f t="shared" si="9"/>
        <v>2354.08</v>
      </c>
      <c r="G21" s="107">
        <f t="shared" si="9"/>
        <v>21246.400000000001</v>
      </c>
      <c r="H21" s="98">
        <f t="shared" si="9"/>
        <v>23600.480000000003</v>
      </c>
      <c r="I21" s="107">
        <f t="shared" si="9"/>
        <v>57695.430000000008</v>
      </c>
      <c r="J21" s="98">
        <f t="shared" si="9"/>
        <v>81295.91</v>
      </c>
      <c r="K21" s="107">
        <f t="shared" si="9"/>
        <v>534792.78999999992</v>
      </c>
      <c r="L21" s="98">
        <f t="shared" si="9"/>
        <v>616088.69999999995</v>
      </c>
      <c r="M21" s="107">
        <f t="shared" si="9"/>
        <v>882143.75</v>
      </c>
      <c r="N21" s="98">
        <f t="shared" si="9"/>
        <v>1498232.45</v>
      </c>
      <c r="O21" s="107">
        <f t="shared" si="9"/>
        <v>141878.46999999997</v>
      </c>
      <c r="P21" s="98">
        <f t="shared" si="9"/>
        <v>1640110.92</v>
      </c>
      <c r="Q21" s="107">
        <f t="shared" si="9"/>
        <v>-100649.03999999991</v>
      </c>
      <c r="R21" s="99">
        <f t="shared" si="9"/>
        <v>1539461.8800000001</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188</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t="s">
        <v>187</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rintOptions headings="1" gridLines="1"/>
  <pageMargins left="0.70866141732283505" right="0.70866141732283505" top="0.74803149606299202" bottom="0.74803149606299202" header="0.31496062992126" footer="0.31496062992126"/>
  <pageSetup scale="51" fitToWidth="2" orientation="landscape" r:id="rId1"/>
  <headerFooter>
    <oddHeader>&amp;C&amp;F</oddHeader>
    <oddFooter>&amp;L&amp;D&amp;T &amp;Z&amp;F&amp;A&amp;RPage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M6" sqref="M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Niagara-on-the-Lake Hydro Inc.</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104579.49</v>
      </c>
      <c r="E5" s="126">
        <f>IF(ISERR(DGET(BALANCES_IN_1815_TABLE,TS_Primary_Above_50,BALANCE2003)),0,DGET(BALANCES_IN_1815_TABLE,TS_Primary_Above_50,BALANCE2003))</f>
        <v>2708439.22</v>
      </c>
      <c r="F5" s="126">
        <f>IF(ISERR(DGET(BALANCES_IN_1815_TABLE,TS_Primary_Above_50,BALANCE2004)),0,DGET(BALANCES_IN_1815_TABLE,TS_Primary_Above_50,BALANCE2004))</f>
        <v>2707537.94</v>
      </c>
      <c r="G5" s="126">
        <f>IF(ISERR(DGET(BALANCES_IN_1815_TABLE,TS_Primary_Above_50,BALANCE2005)),0,DGET(BALANCES_IN_1815_TABLE,TS_Primary_Above_50,BALANCE2005))</f>
        <v>4816646.2</v>
      </c>
      <c r="H5" s="126">
        <f>IF(ISERR(DGET(BALANCES_IN_1815_TABLE,TS_Primary_Above_50,BALANCE2006)),0,DGET(BALANCES_IN_1815_TABLE,TS_Primary_Above_50,BALANCE2006))</f>
        <v>4996118.2</v>
      </c>
      <c r="I5" s="126">
        <f>IF(ISERR(DGET(BALANCES_IN_1815_TABLE,TS_Primary_Above_50,BALANCE2007)),0,DGET(BALANCES_IN_1815_TABLE,TS_Primary_Above_50,BALANCE2007))</f>
        <v>5181653.9800000004</v>
      </c>
      <c r="J5" s="126">
        <f>IF(ISERR(DGET(BALANCES_IN_1815_TABLE,TS_Primary_Above_50,BALANCE2008)),0,DGET(BALANCES_IN_1815_TABLE,TS_Primary_Above_50,BALANCE2008))</f>
        <v>5370392.0999999996</v>
      </c>
      <c r="K5" s="126">
        <f>IF(ISERR(DGET(BALANCES_IN_1815_TABLE,TS_Primary_Above_50,BALANCE2009)),0,DGET(BALANCES_IN_1815_TABLE,TS_Primary_Above_50,BALANCE2009))</f>
        <v>5379894.7400000002</v>
      </c>
      <c r="L5" s="126">
        <f>IF(ISERR(DGET(BALANCES_IN_1815_TABLE,TS_Primary_Above_50,BALANCE2010)),0,DGET(BALANCES_IN_1815_TABLE,TS_Primary_Above_50,BALANCE2010))</f>
        <v>5399696.4299999997</v>
      </c>
      <c r="M5" s="139">
        <f>IF(ISERR(DGET(BALANCES_IN_1815_TABLE,TS_Primary_Above_50,BALANCE2011)),0,DGET(BALANCES_IN_1815_TABLE,TS_Primary_Above_50,BALANCE2011))</f>
        <v>5411028.04</v>
      </c>
    </row>
    <row r="6" spans="1:13" s="44" customFormat="1" ht="45" x14ac:dyDescent="0.25">
      <c r="A6" s="36"/>
      <c r="B6" s="115" t="s">
        <v>182</v>
      </c>
      <c r="C6" s="116"/>
      <c r="D6" s="117" t="s">
        <v>184</v>
      </c>
      <c r="E6" s="117" t="s">
        <v>184</v>
      </c>
      <c r="F6" s="117" t="s">
        <v>184</v>
      </c>
      <c r="G6" s="117" t="s">
        <v>184</v>
      </c>
      <c r="H6" s="117" t="s">
        <v>184</v>
      </c>
      <c r="I6" s="117" t="s">
        <v>184</v>
      </c>
      <c r="J6" s="117" t="s">
        <v>184</v>
      </c>
      <c r="K6" s="117" t="s">
        <v>184</v>
      </c>
      <c r="L6" s="117" t="s">
        <v>184</v>
      </c>
      <c r="M6" s="118" t="s">
        <v>184</v>
      </c>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8"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8" sqref="D8"/>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Niagara-on-the-Lake Hydro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=Niagara-on-the-Lake Hydro Inc.</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ht="22.5"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=Niagara-on-the-Lake Hydro Inc.</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=Niagara-on-the-Lake Hydro Inc.</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=Niagara-on-the-Lake Hydro Inc.</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=Niagara-on-the-Lake Hydro Inc.</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=Niagara-on-the-Lake Hydro Inc.</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=Niagara-on-the-Lake Hydro Inc.</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=Niagara-on-the-Lake Hydro Inc.</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=Niagara-on-the-Lake Hydro Inc.</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=Niagara-on-the-Lake Hydro Inc.</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=Niagara-on-the-Lake Hydro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Philip Wormwell</cp:lastModifiedBy>
  <cp:lastPrinted>2013-02-27T21:29:57Z</cp:lastPrinted>
  <dcterms:created xsi:type="dcterms:W3CDTF">2013-02-20T13:45:42Z</dcterms:created>
  <dcterms:modified xsi:type="dcterms:W3CDTF">2013-02-27T21:36:56Z</dcterms:modified>
</cp:coreProperties>
</file>