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210" windowWidth="21075" windowHeight="10425" tabRatio="720" activeTab="3"/>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O10" i="5" l="1"/>
  <c r="M10" i="5"/>
  <c r="K10" i="5"/>
  <c r="O7" i="5"/>
  <c r="M7" i="5"/>
  <c r="K7" i="5"/>
  <c r="K12" i="5"/>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<sst xmlns="http://schemas.openxmlformats.org/spreadsheetml/2006/main" count="1156" uniqueCount="191">
  <si>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</si>
  <si>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</si>
  <si>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</si>
  <si>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</si>
  <si>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</si>
  <si>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</si>
  <si>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</si>
  <si>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</si>
  <si>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</si>
  <si>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</si>
  <si>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</si>
  <si>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</si>
  <si>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</si>
  <si>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</si>
  <si>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</si>
  <si>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</si>
  <si>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</si>
  <si>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</si>
  <si>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</si>
  <si>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</si>
  <si>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</si>
  <si>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</si>
  <si>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</si>
  <si>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</si>
  <si>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</si>
  <si>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</si>
  <si>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</si>
  <si>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</si>
  <si>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</si>
  <si>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</si>
  <si>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</si>
  <si>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</si>
  <si>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</si>
  <si>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</si>
  <si>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</si>
  <si>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</si>
  <si>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</si>
  <si>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</si>
  <si>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</si>
  <si>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</si>
  <si>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</si>
  <si>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</si>
  <si>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</si>
  <si>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</si>
  <si>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</si>
  <si>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</si>
  <si>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</si>
  <si>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</si>
  <si>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</si>
  <si>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</si>
  <si>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</si>
  <si>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</si>
  <si>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</si>
  <si>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</si>
  <si>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</si>
  <si>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</si>
  <si>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</si>
  <si>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</si>
  <si>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</si>
  <si>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</si>
  <si>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</si>
  <si>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</si>
  <si>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</si>
  <si>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</si>
  <si>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</si>
  <si>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</si>
  <si>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</si>
  <si>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</si>
  <si>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</si>
  <si>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</si>
  <si>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</si>
  <si>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</si>
  <si>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</si>
  <si>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</si>
  <si>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</si>
  <si>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</si>
  <si>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</si>
  <si>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</si>
  <si>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</si>
  <si>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</si>
  <si>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</si>
  <si>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</si>
  <si>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</si>
  <si>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</si>
  <si>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</si>
  <si>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</si>
  <si>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</si>
  <si>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</si>
  <si>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</si>
  <si>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</si>
  <si>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</si>
  <si>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</si>
  <si>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</si>
  <si>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</si>
  <si>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</si>
  <si>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</si>
  <si>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</si>
  <si>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</si>
  <si>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</si>
  <si>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</si>
  <si>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</si>
  <si>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</si>
  <si>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</si>
  <si>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</si>
  <si>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</si>
  <si>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</si>
  <si>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</si>
  <si>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</si>
  <si>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</si>
  <si>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</si>
  <si>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</si>
  <si>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</si>
  <si>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</si>
  <si>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</si>
  <si>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</si>
  <si>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</si>
  <si>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</si>
  <si>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</si>
  <si>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</si>
  <si>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</si>
  <si>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</si>
  <si>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</si>
  <si>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</si>
  <si>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</si>
  <si>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</si>
  <si>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</si>
  <si>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</si>
  <si>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</si>
  <si>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</si>
  <si>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</si>
  <si>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</si>
  <si>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</si>
  <si>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</si>
  <si>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</si>
  <si>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</si>
  <si>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</si>
  <si>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</si>
  <si>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</si>
  <si>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</si>
  <si>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</si>
  <si>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</si>
  <si>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</si>
  <si>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</si>
  <si>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</si>
  <si>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</si>
  <si>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</si>
  <si>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</si>
  <si>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</si>
  <si>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</si>
  <si>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</si>
  <si>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</si>
  <si>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</si>
  <si>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</si>
  <si>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</si>
  <si>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</si>
  <si>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</si>
  <si>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</si>
  <si>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</si>
  <si>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</si>
  <si>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</si>
  <si>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</si>
  <si>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</si>
  <si>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</si>
  <si>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</si>
  <si>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</si>
  <si>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</si>
  <si>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</si>
  <si>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</si>
  <si>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</si>
  <si>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</si>
  <si>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</si>
  <si>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</si>
  <si>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</si>
  <si>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</si>
  <si>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</si>
  <si>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</si>
  <si>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</si>
  <si>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</si>
  <si>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</si>
  <si>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</si>
  <si>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</si>
  <si>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</si>
  <si>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</si>
  <si>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</si>
  <si>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Margaret Nanninga, Vice-President Finance</t>
  </si>
  <si>
    <t>519-749-6177</t>
  </si>
  <si>
    <t>mnanninga@kwhydro.on.ca</t>
  </si>
  <si>
    <t>No</t>
  </si>
  <si>
    <t>1940/1955</t>
  </si>
  <si>
    <t>Yes, November 8, 2012.</t>
  </si>
  <si>
    <t>EB-2012-0288</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</si>
</sst>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opLeftCell="A12" zoomScale="115" zoomScaleNormal="115" workbookViewId="0">
      <selection activeCell="F14" sqref="F14:L14"/>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62</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L5" activePane="bottomRight" state="frozen"/>
      <selection pane="topRight" activeCell="D1" sqref="D1"/>
      <selection pane="bottomLeft" activeCell="A4" sqref="A4"/>
      <selection pane="bottomRight" activeCell="C12" sqref="C12"/>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Kitchener-Wilmot Hydro Inc.</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1974</v>
      </c>
      <c r="J5" s="90">
        <f>H5+I5</f>
        <v>1974</v>
      </c>
      <c r="K5" s="103">
        <v>44416</v>
      </c>
      <c r="L5" s="90">
        <f>J5+K5</f>
        <v>46390</v>
      </c>
      <c r="M5" s="103">
        <v>37504</v>
      </c>
      <c r="N5" s="90">
        <f>L5+M5</f>
        <v>83894</v>
      </c>
      <c r="O5" s="103">
        <v>3097</v>
      </c>
      <c r="P5" s="90">
        <f>N5+O5</f>
        <v>86991</v>
      </c>
      <c r="Q5" s="103">
        <v>8</v>
      </c>
      <c r="R5" s="91">
        <f>P5+Q5</f>
        <v>86999</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0</v>
      </c>
      <c r="H7" s="92">
        <f t="shared" ref="H7:H12" si="1">F7+G7</f>
        <v>0</v>
      </c>
      <c r="I7" s="104">
        <v>231045.71000000002</v>
      </c>
      <c r="J7" s="92">
        <f t="shared" ref="J7:J12" si="2">H7+I7</f>
        <v>231045.71000000002</v>
      </c>
      <c r="K7" s="104">
        <f>6001592.48+140123.14</f>
        <v>6141715.6200000001</v>
      </c>
      <c r="L7" s="92">
        <f t="shared" ref="L7:L12" si="3">J7+K7</f>
        <v>6372761.3300000001</v>
      </c>
      <c r="M7" s="104">
        <f>4393684.07+151924.22</f>
        <v>4545608.29</v>
      </c>
      <c r="N7" s="92">
        <f t="shared" ref="N7:N12" si="4">L7+M7</f>
        <v>10918369.620000001</v>
      </c>
      <c r="O7" s="104">
        <f>896276.56+129112.06</f>
        <v>1025388.6200000001</v>
      </c>
      <c r="P7" s="92">
        <f t="shared" ref="P7:P12" si="5">N7+O7</f>
        <v>11943758.240000002</v>
      </c>
      <c r="Q7" s="104">
        <v>0</v>
      </c>
      <c r="R7" s="93">
        <f t="shared" ref="R7:R12" si="6">P7+Q7</f>
        <v>11943758.240000002</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v>221260.7</v>
      </c>
      <c r="L9" s="92">
        <f t="shared" si="3"/>
        <v>221260.7</v>
      </c>
      <c r="M9" s="104">
        <v>0</v>
      </c>
      <c r="N9" s="92">
        <f t="shared" si="4"/>
        <v>221260.7</v>
      </c>
      <c r="O9" s="104">
        <v>0</v>
      </c>
      <c r="P9" s="92">
        <f t="shared" si="5"/>
        <v>221260.7</v>
      </c>
      <c r="Q9" s="104">
        <v>0</v>
      </c>
      <c r="R9" s="93">
        <f t="shared" si="6"/>
        <v>221260.7</v>
      </c>
    </row>
    <row r="10" spans="2:19" x14ac:dyDescent="0.25">
      <c r="B10" s="29" t="s">
        <v>128</v>
      </c>
      <c r="C10" s="57">
        <v>1925</v>
      </c>
      <c r="D10" s="104">
        <v>0</v>
      </c>
      <c r="E10" s="104">
        <v>0</v>
      </c>
      <c r="F10" s="92">
        <f t="shared" si="0"/>
        <v>0</v>
      </c>
      <c r="G10" s="104">
        <v>0</v>
      </c>
      <c r="H10" s="92">
        <f t="shared" si="1"/>
        <v>0</v>
      </c>
      <c r="I10" s="104">
        <v>98926.32</v>
      </c>
      <c r="J10" s="92">
        <f t="shared" si="2"/>
        <v>98926.32</v>
      </c>
      <c r="K10" s="104">
        <f>63349.94+124649.41</f>
        <v>187999.35</v>
      </c>
      <c r="L10" s="92">
        <f t="shared" si="3"/>
        <v>286925.67000000004</v>
      </c>
      <c r="M10" s="104">
        <f>2576.12+56046.6</f>
        <v>58622.720000000001</v>
      </c>
      <c r="N10" s="92">
        <f t="shared" si="4"/>
        <v>345548.39</v>
      </c>
      <c r="O10" s="104">
        <f>17842.13+154626.25</f>
        <v>172468.38</v>
      </c>
      <c r="P10" s="92">
        <f t="shared" si="5"/>
        <v>518016.77</v>
      </c>
      <c r="Q10" s="104">
        <v>0</v>
      </c>
      <c r="R10" s="93">
        <f t="shared" si="6"/>
        <v>518016.77</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t="s">
        <v>188</v>
      </c>
      <c r="D12" s="105">
        <v>0</v>
      </c>
      <c r="E12" s="105">
        <v>0</v>
      </c>
      <c r="F12" s="94">
        <f t="shared" si="0"/>
        <v>0</v>
      </c>
      <c r="G12" s="105">
        <v>0</v>
      </c>
      <c r="H12" s="94">
        <f t="shared" si="1"/>
        <v>0</v>
      </c>
      <c r="I12" s="105">
        <v>0</v>
      </c>
      <c r="J12" s="94">
        <f t="shared" si="2"/>
        <v>0</v>
      </c>
      <c r="K12" s="105">
        <f>635601.36+3727.83</f>
        <v>639329.18999999994</v>
      </c>
      <c r="L12" s="94">
        <f t="shared" si="3"/>
        <v>639329.18999999994</v>
      </c>
      <c r="M12" s="105">
        <v>60505.25</v>
      </c>
      <c r="N12" s="94">
        <f t="shared" si="4"/>
        <v>699834.44</v>
      </c>
      <c r="O12" s="105">
        <v>0</v>
      </c>
      <c r="P12" s="94">
        <f t="shared" si="5"/>
        <v>699834.44</v>
      </c>
      <c r="Q12" s="105">
        <v>0</v>
      </c>
      <c r="R12" s="95">
        <f t="shared" si="6"/>
        <v>699834.44</v>
      </c>
    </row>
    <row r="13" spans="2:19" s="31" customFormat="1" x14ac:dyDescent="0.25">
      <c r="B13" s="30" t="s">
        <v>130</v>
      </c>
      <c r="C13" s="58"/>
      <c r="D13" s="106">
        <f t="shared" ref="D13:R13" si="7">SUM(D7:D12)</f>
        <v>0</v>
      </c>
      <c r="E13" s="106">
        <f t="shared" si="7"/>
        <v>0</v>
      </c>
      <c r="F13" s="96">
        <f t="shared" si="7"/>
        <v>0</v>
      </c>
      <c r="G13" s="106">
        <f t="shared" si="7"/>
        <v>0</v>
      </c>
      <c r="H13" s="96">
        <f t="shared" si="7"/>
        <v>0</v>
      </c>
      <c r="I13" s="106">
        <f t="shared" si="7"/>
        <v>329972.03000000003</v>
      </c>
      <c r="J13" s="96">
        <f t="shared" si="7"/>
        <v>329972.03000000003</v>
      </c>
      <c r="K13" s="106">
        <f t="shared" si="7"/>
        <v>7190304.8599999994</v>
      </c>
      <c r="L13" s="96">
        <f t="shared" si="7"/>
        <v>7520276.8900000006</v>
      </c>
      <c r="M13" s="106">
        <f t="shared" si="7"/>
        <v>4664736.26</v>
      </c>
      <c r="N13" s="96">
        <f t="shared" si="7"/>
        <v>12185013.15</v>
      </c>
      <c r="O13" s="106">
        <f t="shared" si="7"/>
        <v>1197857</v>
      </c>
      <c r="P13" s="96">
        <f t="shared" si="7"/>
        <v>13382870.15</v>
      </c>
      <c r="Q13" s="106">
        <f t="shared" si="7"/>
        <v>0</v>
      </c>
      <c r="R13" s="97">
        <f t="shared" si="7"/>
        <v>13382870.15</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0</v>
      </c>
      <c r="H15" s="92">
        <f>F15+G15</f>
        <v>0</v>
      </c>
      <c r="I15" s="104">
        <v>-5636</v>
      </c>
      <c r="J15" s="92">
        <f>H15+I15</f>
        <v>-5636</v>
      </c>
      <c r="K15" s="104">
        <v>-218366</v>
      </c>
      <c r="L15" s="92">
        <f>J15+K15</f>
        <v>-224002</v>
      </c>
      <c r="M15" s="104">
        <v>-850150</v>
      </c>
      <c r="N15" s="92">
        <f>L15+M15</f>
        <v>-1074152</v>
      </c>
      <c r="O15" s="104">
        <v>-1000360</v>
      </c>
      <c r="P15" s="92">
        <f>N15+O15</f>
        <v>-2074512</v>
      </c>
      <c r="Q15" s="104">
        <v>-1061032</v>
      </c>
      <c r="R15" s="93">
        <f>P15+Q15</f>
        <v>-3135544</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0</v>
      </c>
      <c r="H19" s="96">
        <f t="shared" si="8"/>
        <v>0</v>
      </c>
      <c r="I19" s="106">
        <f t="shared" si="8"/>
        <v>-5636</v>
      </c>
      <c r="J19" s="96">
        <f t="shared" si="8"/>
        <v>-5636</v>
      </c>
      <c r="K19" s="106">
        <f t="shared" si="8"/>
        <v>-218366</v>
      </c>
      <c r="L19" s="96">
        <f t="shared" si="8"/>
        <v>-224002</v>
      </c>
      <c r="M19" s="106">
        <f t="shared" si="8"/>
        <v>-850150</v>
      </c>
      <c r="N19" s="96">
        <f t="shared" si="8"/>
        <v>-1074152</v>
      </c>
      <c r="O19" s="106">
        <f t="shared" si="8"/>
        <v>-1000360</v>
      </c>
      <c r="P19" s="96">
        <f t="shared" si="8"/>
        <v>-2074512</v>
      </c>
      <c r="Q19" s="106">
        <f t="shared" si="8"/>
        <v>-1061032</v>
      </c>
      <c r="R19" s="97">
        <f t="shared" si="8"/>
        <v>-3135544</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0</v>
      </c>
      <c r="H21" s="98">
        <f t="shared" si="9"/>
        <v>0</v>
      </c>
      <c r="I21" s="107">
        <f t="shared" si="9"/>
        <v>324336.03000000003</v>
      </c>
      <c r="J21" s="98">
        <f t="shared" si="9"/>
        <v>324336.03000000003</v>
      </c>
      <c r="K21" s="107">
        <f t="shared" si="9"/>
        <v>6971938.8599999994</v>
      </c>
      <c r="L21" s="98">
        <f t="shared" si="9"/>
        <v>7296274.8900000006</v>
      </c>
      <c r="M21" s="107">
        <f t="shared" si="9"/>
        <v>3814586.26</v>
      </c>
      <c r="N21" s="98">
        <f t="shared" si="9"/>
        <v>11110861.15</v>
      </c>
      <c r="O21" s="107">
        <f t="shared" si="9"/>
        <v>197497</v>
      </c>
      <c r="P21" s="98">
        <f t="shared" si="9"/>
        <v>11308358.15</v>
      </c>
      <c r="Q21" s="107">
        <f t="shared" si="9"/>
        <v>-1061032</v>
      </c>
      <c r="R21" s="99">
        <f t="shared" si="9"/>
        <v>10247326.15</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189</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t="s">
        <v>190</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H5" activePane="bottomRight" state="frozen"/>
      <selection pane="topRight" activeCell="D1" sqref="D1"/>
      <selection pane="bottomLeft" activeCell="A5" sqref="A5"/>
      <selection pane="bottomRight" activeCell="J6" sqref="J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Kitchener-Wilmot Hydro Inc.</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30742815.920000002</v>
      </c>
      <c r="E5" s="126">
        <f>IF(ISERR(DGET(BALANCES_IN_1815_TABLE,TS_Primary_Above_50,BALANCE2003)),0,DGET(BALANCES_IN_1815_TABLE,TS_Primary_Above_50,BALANCE2003))</f>
        <v>31879136.98</v>
      </c>
      <c r="F5" s="126">
        <f>IF(ISERR(DGET(BALANCES_IN_1815_TABLE,TS_Primary_Above_50,BALANCE2004)),0,DGET(BALANCES_IN_1815_TABLE,TS_Primary_Above_50,BALANCE2004))</f>
        <v>35768198.93</v>
      </c>
      <c r="G5" s="126">
        <f>IF(ISERR(DGET(BALANCES_IN_1815_TABLE,TS_Primary_Above_50,BALANCE2005)),0,DGET(BALANCES_IN_1815_TABLE,TS_Primary_Above_50,BALANCE2005))</f>
        <v>36707954.119999997</v>
      </c>
      <c r="H5" s="126">
        <f>IF(ISERR(DGET(BALANCES_IN_1815_TABLE,TS_Primary_Above_50,BALANCE2006)),0,DGET(BALANCES_IN_1815_TABLE,TS_Primary_Above_50,BALANCE2006))</f>
        <v>37461400.710000001</v>
      </c>
      <c r="I5" s="126">
        <f>IF(ISERR(DGET(BALANCES_IN_1815_TABLE,TS_Primary_Above_50,BALANCE2007)),0,DGET(BALANCES_IN_1815_TABLE,TS_Primary_Above_50,BALANCE2007))</f>
        <v>37975643.240000002</v>
      </c>
      <c r="J5" s="126">
        <f>IF(ISERR(DGET(BALANCES_IN_1815_TABLE,TS_Primary_Above_50,BALANCE2008)),0,DGET(BALANCES_IN_1815_TABLE,TS_Primary_Above_50,BALANCE2008))</f>
        <v>38712089.520000003</v>
      </c>
      <c r="K5" s="126">
        <f>IF(ISERR(DGET(BALANCES_IN_1815_TABLE,TS_Primary_Above_50,BALANCE2009)),0,DGET(BALANCES_IN_1815_TABLE,TS_Primary_Above_50,BALANCE2009))</f>
        <v>40963390.390000001</v>
      </c>
      <c r="L5" s="126">
        <f>IF(ISERR(DGET(BALANCES_IN_1815_TABLE,TS_Primary_Above_50,BALANCE2010)),0,DGET(BALANCES_IN_1815_TABLE,TS_Primary_Above_50,BALANCE2010))</f>
        <v>51454525.270000003</v>
      </c>
      <c r="M5" s="139">
        <f>IF(ISERR(DGET(BALANCES_IN_1815_TABLE,TS_Primary_Above_50,BALANCE2011)),0,DGET(BALANCES_IN_1815_TABLE,TS_Primary_Above_50,BALANCE2011))</f>
        <v>59878130.020000003</v>
      </c>
    </row>
    <row r="6" spans="1:13" s="44" customFormat="1" ht="45" x14ac:dyDescent="0.25">
      <c r="A6" s="36"/>
      <c r="B6" s="115" t="s">
        <v>182</v>
      </c>
      <c r="C6" s="116"/>
      <c r="D6" s="117" t="s">
        <v>187</v>
      </c>
      <c r="E6" s="117" t="s">
        <v>187</v>
      </c>
      <c r="F6" s="117" t="s">
        <v>187</v>
      </c>
      <c r="G6" s="117" t="s">
        <v>187</v>
      </c>
      <c r="H6" s="117" t="s">
        <v>187</v>
      </c>
      <c r="I6" s="117" t="s">
        <v>187</v>
      </c>
      <c r="J6" s="117" t="s">
        <v>187</v>
      </c>
      <c r="K6" s="117" t="s">
        <v>187</v>
      </c>
      <c r="L6" s="117" t="s">
        <v>187</v>
      </c>
      <c r="M6" s="118" t="s">
        <v>187</v>
      </c>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tabSelected="1" zoomScale="115" zoomScaleNormal="115" zoomScaleSheetLayoutView="100" workbookViewId="0">
      <pane xSplit="3" ySplit="4" topLeftCell="I5" activePane="bottomRight" state="frozen"/>
      <selection pane="topRight" activeCell="D1" sqref="D1"/>
      <selection pane="bottomLeft" activeCell="A5" sqref="A5"/>
      <selection pane="bottomRight" activeCell="D8" sqref="D8"/>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Kitchener-Wilmot Hydro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Waterloo North Hydro Inc.</v>
      </c>
      <c r="C6" s="73" t="str">
        <f>IF(LEN($B$6)=0,"","Distribution Charge Amounts (for LV Services)")</f>
        <v>Distribution Charge Amounts (for LV Services)</v>
      </c>
      <c r="D6" s="122">
        <v>37531</v>
      </c>
      <c r="E6" s="122">
        <v>50275</v>
      </c>
      <c r="F6" s="122">
        <v>29959</v>
      </c>
      <c r="G6" s="122">
        <v>46876</v>
      </c>
      <c r="H6" s="122">
        <v>23175</v>
      </c>
      <c r="I6" s="122">
        <v>61407</v>
      </c>
      <c r="J6" s="122">
        <v>59513</v>
      </c>
      <c r="K6" s="122">
        <v>61324</v>
      </c>
      <c r="L6" s="122">
        <v>66795</v>
      </c>
      <c r="M6" s="122">
        <v>62623</v>
      </c>
      <c r="N6" s="123">
        <v>56329</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=Kitchener-Wilmot Hydro Inc.</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=Kitchener-Wilmot Hydro Inc.</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=Kitchener-Wilmot Hydro Inc.</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=Kitchener-Wilmot Hydro Inc.</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=Kitchener-Wilmot Hydro Inc.</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=Kitchener-Wilmot Hydro Inc.</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=Kitchener-Wilmot Hydro Inc.</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=Kitchener-Wilmot Hydro Inc.</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=Kitchener-Wilmot Hydro Inc.</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=Kitchener-Wilmot Hydro Inc.</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=Kitchener-Wilmot Hydro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Blakeman, Kelly</cp:lastModifiedBy>
  <cp:lastPrinted>2013-02-25T16:20:03Z</cp:lastPrinted>
  <dcterms:created xsi:type="dcterms:W3CDTF">2013-02-20T13:45:42Z</dcterms:created>
  <dcterms:modified xsi:type="dcterms:W3CDTF">2013-02-28T13:39:31Z</dcterms:modified>
</cp:coreProperties>
</file>