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040" activeTab="1"/>
  </bookViews>
  <sheets>
    <sheet name="CDM_Adjusted (2)" sheetId="1" r:id="rId1"/>
    <sheet name="CDM_Adjusted" sheetId="2" r:id="rId2"/>
    <sheet name="Reporting_Table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Marc-Antoine Fleury</author>
  </authors>
  <commentList>
    <comment ref="O2" authorId="0">
      <text>
        <r>
          <rPr>
            <b/>
            <sz val="9"/>
            <rFont val="Tahoma"/>
            <family val="2"/>
          </rPr>
          <t>+Col. B
+Col. M
- Col. K</t>
        </r>
      </text>
    </comment>
  </commentList>
</comments>
</file>

<file path=xl/comments2.xml><?xml version="1.0" encoding="utf-8"?>
<comments xmlns="http://schemas.openxmlformats.org/spreadsheetml/2006/main">
  <authors>
    <author>Marc-Antoine Fleury</author>
  </authors>
  <commentList>
    <comment ref="O2" authorId="0">
      <text>
        <r>
          <rPr>
            <b/>
            <sz val="9"/>
            <rFont val="Tahoma"/>
            <family val="2"/>
          </rPr>
          <t>+Col. B
+Col. M
- Col. K</t>
        </r>
      </text>
    </comment>
  </commentList>
</comments>
</file>

<file path=xl/sharedStrings.xml><?xml version="1.0" encoding="utf-8"?>
<sst xmlns="http://schemas.openxmlformats.org/spreadsheetml/2006/main" count="129" uniqueCount="45">
  <si>
    <t>2013F</t>
  </si>
  <si>
    <t>2013f Normalized</t>
  </si>
  <si>
    <t>Residential (kWh)</t>
  </si>
  <si>
    <t>GS&lt;50 (kWh)</t>
  </si>
  <si>
    <t>Street Lights (kWh)</t>
  </si>
  <si>
    <t>Sentinel Lights (kWh)</t>
  </si>
  <si>
    <t>USL (kWh)</t>
  </si>
  <si>
    <t>Street Lights (kW)</t>
  </si>
  <si>
    <t>Sentinel Lights (kW)</t>
  </si>
  <si>
    <t>Total Demand</t>
  </si>
  <si>
    <t>Total Customer (kWh)</t>
  </si>
  <si>
    <t>Revised</t>
  </si>
  <si>
    <t>Target</t>
  </si>
  <si>
    <t>Average 2006-2011</t>
  </si>
  <si>
    <t>Adjusted</t>
  </si>
  <si>
    <t>Change with Original</t>
  </si>
  <si>
    <t>Original</t>
  </si>
  <si>
    <t>2006 - 2010 CDM Savings</t>
  </si>
  <si>
    <t>Share of Total Volume</t>
  </si>
  <si>
    <t>Weather Normalized</t>
  </si>
  <si>
    <t>2006-2010 CDM Programs</t>
  </si>
  <si>
    <t>2011-2014 CDM Target</t>
  </si>
  <si>
    <t>(Elenchus)</t>
  </si>
  <si>
    <t>(2006/11)</t>
  </si>
  <si>
    <t>Persistence</t>
  </si>
  <si>
    <t>(30% of Target)</t>
  </si>
  <si>
    <t>Proportional</t>
  </si>
  <si>
    <t>ENERGY (kWh)</t>
  </si>
  <si>
    <t>GS 500-1499 (kWh)</t>
  </si>
  <si>
    <t>GS&gt;1500 (kWh)</t>
  </si>
  <si>
    <t>GS&gt;50-499 (kWh)</t>
  </si>
  <si>
    <t>Energy CDM (Total)</t>
  </si>
  <si>
    <t>Demand CDM (Total)</t>
  </si>
  <si>
    <t>(all. on energy)</t>
  </si>
  <si>
    <t>DEMAND (kW)</t>
  </si>
  <si>
    <t>6 yr. Avg.</t>
  </si>
  <si>
    <t>GS&gt;50-499 (kW)</t>
  </si>
  <si>
    <t>GS 500-1499 (kW)</t>
  </si>
  <si>
    <t>GS&gt;1500 (kW)</t>
  </si>
  <si>
    <t>A</t>
  </si>
  <si>
    <t>B</t>
  </si>
  <si>
    <t>C</t>
  </si>
  <si>
    <t>D = A + B - C</t>
  </si>
  <si>
    <t>E</t>
  </si>
  <si>
    <t>F = D - 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</si>
</sst>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/>
    </xf>
    <xf numFmtId="166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4" fillId="33" borderId="10" xfId="0" applyNumberFormat="1" applyFont="1" applyFill="1" applyBorder="1" applyAlignment="1">
      <alignment horizontal="right" vertical="center"/>
    </xf>
    <xf numFmtId="38" fontId="4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right" vertical="center"/>
    </xf>
    <xf numFmtId="3" fontId="43" fillId="0" borderId="11" xfId="0" applyNumberFormat="1" applyFont="1" applyBorder="1" applyAlignment="1">
      <alignment horizontal="right" vertical="center" wrapText="1"/>
    </xf>
    <xf numFmtId="3" fontId="42" fillId="0" borderId="11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3" fontId="42" fillId="0" borderId="11" xfId="0" applyNumberFormat="1" applyFont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33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164" fontId="3" fillId="34" borderId="0" xfId="0" applyNumberFormat="1" applyFont="1" applyFill="1" applyBorder="1" applyAlignment="1">
      <alignment horizontal="right" vertical="center"/>
    </xf>
    <xf numFmtId="164" fontId="3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 horizontal="right" vertical="center" wrapText="1"/>
    </xf>
    <xf numFmtId="166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 vertical="center"/>
    </xf>
    <xf numFmtId="166" fontId="3" fillId="3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164" fontId="4" fillId="34" borderId="0" xfId="0" applyNumberFormat="1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left"/>
    </xf>
    <xf numFmtId="164" fontId="3" fillId="35" borderId="0" xfId="0" applyNumberFormat="1" applyFont="1" applyFill="1" applyBorder="1" applyAlignment="1">
      <alignment horizontal="right" vertical="center"/>
    </xf>
    <xf numFmtId="164" fontId="3" fillId="35" borderId="0" xfId="0" applyNumberFormat="1" applyFont="1" applyFill="1" applyBorder="1" applyAlignment="1">
      <alignment/>
    </xf>
    <xf numFmtId="164" fontId="3" fillId="35" borderId="0" xfId="0" applyNumberFormat="1" applyFont="1" applyFill="1" applyBorder="1" applyAlignment="1">
      <alignment horizontal="right" vertical="center" wrapText="1"/>
    </xf>
    <xf numFmtId="165" fontId="3" fillId="35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>
      <alignment horizontal="right" vertical="center"/>
    </xf>
    <xf numFmtId="166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164" fontId="4" fillId="35" borderId="13" xfId="0" applyNumberFormat="1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66" fontId="3" fillId="35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9" fillId="34" borderId="11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SheetLayoutView="110" zoomScalePageLayoutView="0" workbookViewId="0" topLeftCell="A1">
      <selection activeCell="B21" sqref="B21"/>
    </sheetView>
  </sheetViews>
  <sheetFormatPr defaultColWidth="9.140625" defaultRowHeight="15" outlineLevelCol="2"/>
  <cols>
    <col min="1" max="1" width="19.421875" style="15" bestFit="1" customWidth="1"/>
    <col min="2" max="2" width="15.28125" style="8" bestFit="1" customWidth="1"/>
    <col min="3" max="3" width="1.57421875" style="8" customWidth="1"/>
    <col min="4" max="7" width="10.57421875" style="8" customWidth="1" outlineLevel="2"/>
    <col min="8" max="8" width="11.00390625" style="8" bestFit="1" customWidth="1" outlineLevel="2"/>
    <col min="9" max="9" width="12.7109375" style="8" bestFit="1" customWidth="1" outlineLevel="2"/>
    <col min="10" max="11" width="11.00390625" style="8" bestFit="1" customWidth="1" outlineLevel="1"/>
    <col min="12" max="12" width="1.57421875" style="8" customWidth="1" outlineLevel="1"/>
    <col min="13" max="13" width="10.57421875" style="8" customWidth="1" outlineLevel="1"/>
    <col min="14" max="14" width="1.57421875" style="8" customWidth="1" outlineLevel="1"/>
    <col min="15" max="15" width="13.57421875" style="8" bestFit="1" customWidth="1"/>
    <col min="16" max="16" width="11.140625" style="8" customWidth="1" outlineLevel="1"/>
    <col min="17" max="17" width="1.57421875" style="8" customWidth="1"/>
    <col min="18" max="18" width="11.57421875" style="8" bestFit="1" customWidth="1"/>
    <col min="19" max="19" width="1.57421875" style="8" customWidth="1"/>
    <col min="20" max="20" width="12.00390625" style="8" bestFit="1" customWidth="1"/>
    <col min="21" max="21" width="14.28125" style="8" bestFit="1" customWidth="1"/>
    <col min="22" max="16384" width="9.140625" style="8" customWidth="1"/>
  </cols>
  <sheetData>
    <row r="1" spans="2:20" s="63" customFormat="1" ht="15" customHeight="1">
      <c r="B1" s="63" t="s">
        <v>16</v>
      </c>
      <c r="D1" s="69" t="s">
        <v>17</v>
      </c>
      <c r="E1" s="69"/>
      <c r="F1" s="69"/>
      <c r="G1" s="69"/>
      <c r="H1" s="69"/>
      <c r="I1" s="69"/>
      <c r="J1" s="69"/>
      <c r="K1" s="69"/>
      <c r="L1" s="69"/>
      <c r="M1" s="69"/>
      <c r="O1" s="63" t="s">
        <v>11</v>
      </c>
      <c r="R1" s="63" t="s">
        <v>12</v>
      </c>
      <c r="T1" s="63" t="s">
        <v>14</v>
      </c>
    </row>
    <row r="2" spans="2:21" s="63" customFormat="1" ht="38.25">
      <c r="B2" s="63" t="s">
        <v>1</v>
      </c>
      <c r="D2" s="63">
        <v>2006</v>
      </c>
      <c r="E2" s="63">
        <v>2007</v>
      </c>
      <c r="F2" s="63">
        <v>2008</v>
      </c>
      <c r="G2" s="63">
        <v>2009</v>
      </c>
      <c r="H2" s="63">
        <v>2010</v>
      </c>
      <c r="I2" s="63">
        <v>2011</v>
      </c>
      <c r="J2" s="63">
        <v>2012</v>
      </c>
      <c r="K2" s="63">
        <v>2013</v>
      </c>
      <c r="M2" s="63" t="s">
        <v>13</v>
      </c>
      <c r="O2" s="63" t="s">
        <v>0</v>
      </c>
      <c r="P2" s="2" t="s">
        <v>18</v>
      </c>
      <c r="R2" s="2">
        <f>10.25*1000000*0.3</f>
        <v>3075000</v>
      </c>
      <c r="T2" s="63" t="s">
        <v>0</v>
      </c>
      <c r="U2" s="63" t="s">
        <v>15</v>
      </c>
    </row>
    <row r="3" spans="1:22" ht="12.75">
      <c r="A3" s="3" t="s">
        <v>2</v>
      </c>
      <c r="B3" s="4">
        <v>50534380</v>
      </c>
      <c r="C3" s="5"/>
      <c r="D3" s="4">
        <v>490168.3134211078</v>
      </c>
      <c r="E3" s="4">
        <v>961983.9201936367</v>
      </c>
      <c r="F3" s="4">
        <v>1103113.0024852473</v>
      </c>
      <c r="G3" s="4">
        <v>1229175.072503148</v>
      </c>
      <c r="H3" s="4">
        <v>996430.3593443722</v>
      </c>
      <c r="I3" s="4">
        <v>993235.7802234228</v>
      </c>
      <c r="J3" s="4">
        <v>954189.1520092156</v>
      </c>
      <c r="K3" s="4">
        <v>937854.3010269759</v>
      </c>
      <c r="L3" s="5"/>
      <c r="M3" s="4">
        <f>AVERAGE(D3:I3)</f>
        <v>962351.0746951558</v>
      </c>
      <c r="N3" s="5"/>
      <c r="O3" s="6">
        <f>B3+M3-K3</f>
        <v>50558876.77366818</v>
      </c>
      <c r="P3" s="7">
        <f>O3/($O$11)</f>
        <v>0.2725583861310581</v>
      </c>
      <c r="Q3" s="5"/>
      <c r="R3" s="5">
        <f>$R$2*P3</f>
        <v>838117.0373530036</v>
      </c>
      <c r="S3" s="5"/>
      <c r="T3" s="4">
        <f>O3-R3</f>
        <v>49720759.736315176</v>
      </c>
      <c r="U3" s="28">
        <f aca="true" t="shared" si="0" ref="U3:U9">T3-B3</f>
        <v>-813620.2636848241</v>
      </c>
      <c r="V3" s="13">
        <f aca="true" t="shared" si="1" ref="V3:V9">U3/B3</f>
        <v>-0.016100331372123772</v>
      </c>
    </row>
    <row r="4" spans="1:22" ht="12.75">
      <c r="A4" s="3" t="s">
        <v>3</v>
      </c>
      <c r="B4" s="4">
        <v>22935224</v>
      </c>
      <c r="C4" s="5"/>
      <c r="D4" s="4"/>
      <c r="E4" s="4"/>
      <c r="F4" s="4">
        <v>585.8096367613728</v>
      </c>
      <c r="G4" s="4">
        <v>287837.77323524724</v>
      </c>
      <c r="H4" s="4">
        <v>508241.8921576416</v>
      </c>
      <c r="I4" s="4">
        <v>508241.8921576416</v>
      </c>
      <c r="J4" s="4">
        <v>508241.8921576416</v>
      </c>
      <c r="K4" s="4">
        <v>508241.8921576416</v>
      </c>
      <c r="L4" s="5"/>
      <c r="M4" s="4">
        <f>AVERAGE(D4:I4)</f>
        <v>326226.84179682296</v>
      </c>
      <c r="N4" s="5"/>
      <c r="O4" s="6">
        <f aca="true" t="shared" si="2" ref="O4:O10">B4+M4-K4</f>
        <v>22753208.949639183</v>
      </c>
      <c r="P4" s="7">
        <f aca="true" t="shared" si="3" ref="P4:P10">O4/($O$11)</f>
        <v>0.12266051594418091</v>
      </c>
      <c r="Q4" s="5"/>
      <c r="R4" s="5">
        <f aca="true" t="shared" si="4" ref="R4:R10">$R$2*P4</f>
        <v>377181.0865283563</v>
      </c>
      <c r="S4" s="5"/>
      <c r="T4" s="4">
        <f aca="true" t="shared" si="5" ref="T4:T10">O4-R4</f>
        <v>22376027.863110825</v>
      </c>
      <c r="U4" s="28">
        <f t="shared" si="0"/>
        <v>-559196.1368891746</v>
      </c>
      <c r="V4" s="13">
        <f t="shared" si="1"/>
        <v>-0.024381542420914424</v>
      </c>
    </row>
    <row r="5" spans="1:22" s="38" customFormat="1" ht="12.75">
      <c r="A5" s="32" t="s">
        <v>30</v>
      </c>
      <c r="B5" s="33">
        <v>38737617</v>
      </c>
      <c r="C5" s="34"/>
      <c r="D5" s="33"/>
      <c r="E5" s="33">
        <v>5370.114866499142</v>
      </c>
      <c r="F5" s="33">
        <v>5370.114866499142</v>
      </c>
      <c r="G5" s="33">
        <v>102283.98372927005</v>
      </c>
      <c r="H5" s="33">
        <v>262724.6432569872</v>
      </c>
      <c r="I5" s="33">
        <v>171938.3603937502</v>
      </c>
      <c r="J5" s="33">
        <v>171938.3603937502</v>
      </c>
      <c r="K5" s="33">
        <v>171938.3603937502</v>
      </c>
      <c r="L5" s="34"/>
      <c r="M5" s="33">
        <f>AVERAGE(D5:I5)</f>
        <v>109537.44342260114</v>
      </c>
      <c r="N5" s="34"/>
      <c r="O5" s="35">
        <f t="shared" si="2"/>
        <v>38675216.08302885</v>
      </c>
      <c r="P5" s="7">
        <f t="shared" si="3"/>
        <v>0.20849463341619034</v>
      </c>
      <c r="Q5" s="34"/>
      <c r="R5" s="34">
        <f t="shared" si="4"/>
        <v>641120.9977547853</v>
      </c>
      <c r="S5" s="34"/>
      <c r="T5" s="33">
        <f t="shared" si="5"/>
        <v>38034095.08527407</v>
      </c>
      <c r="U5" s="37">
        <f t="shared" si="0"/>
        <v>-703521.9147259295</v>
      </c>
      <c r="V5" s="36">
        <f t="shared" si="1"/>
        <v>-0.018161207870012488</v>
      </c>
    </row>
    <row r="6" spans="1:22" s="38" customFormat="1" ht="12.75">
      <c r="A6" s="32" t="s">
        <v>28</v>
      </c>
      <c r="B6" s="33">
        <v>35408962</v>
      </c>
      <c r="C6" s="34"/>
      <c r="D6" s="33"/>
      <c r="E6" s="33">
        <v>4908.670382163755</v>
      </c>
      <c r="F6" s="33">
        <v>4908.670382163755</v>
      </c>
      <c r="G6" s="33">
        <v>93494.90168892789</v>
      </c>
      <c r="H6" s="33">
        <v>240149.1787569229</v>
      </c>
      <c r="I6" s="33">
        <v>157164.0008089451</v>
      </c>
      <c r="J6" s="33">
        <v>157164.0008089451</v>
      </c>
      <c r="K6" s="33">
        <v>157164.0008089451</v>
      </c>
      <c r="L6" s="34"/>
      <c r="M6" s="33">
        <f>AVERAGE(D6:I6)</f>
        <v>100125.08440382467</v>
      </c>
      <c r="N6" s="34"/>
      <c r="O6" s="35">
        <f t="shared" si="2"/>
        <v>35351923.08359488</v>
      </c>
      <c r="P6" s="7">
        <f t="shared" si="3"/>
        <v>0.19057905786609985</v>
      </c>
      <c r="Q6" s="34"/>
      <c r="R6" s="34">
        <f t="shared" si="4"/>
        <v>586030.602938257</v>
      </c>
      <c r="S6" s="34"/>
      <c r="T6" s="33">
        <f t="shared" si="5"/>
        <v>34765892.480656624</v>
      </c>
      <c r="U6" s="37">
        <f t="shared" si="0"/>
        <v>-643069.5193433762</v>
      </c>
      <c r="V6" s="36">
        <f t="shared" si="1"/>
        <v>-0.018161207870012575</v>
      </c>
    </row>
    <row r="7" spans="1:22" s="38" customFormat="1" ht="12.75">
      <c r="A7" s="32" t="s">
        <v>29</v>
      </c>
      <c r="B7" s="33">
        <v>36248494</v>
      </c>
      <c r="C7" s="34"/>
      <c r="D7" s="33"/>
      <c r="E7" s="33">
        <v>5025.052948342303</v>
      </c>
      <c r="F7" s="33">
        <v>5025.052948342303</v>
      </c>
      <c r="G7" s="33">
        <v>95711.62755072268</v>
      </c>
      <c r="H7" s="33">
        <v>245843.01751842504</v>
      </c>
      <c r="I7" s="33">
        <v>160890.29495806855</v>
      </c>
      <c r="J7" s="33">
        <v>160890.29495806855</v>
      </c>
      <c r="K7" s="33">
        <v>160890.29495806855</v>
      </c>
      <c r="L7" s="34"/>
      <c r="M7" s="33">
        <f>AVERAGE(D7:I7)</f>
        <v>102499.00918478018</v>
      </c>
      <c r="N7" s="34"/>
      <c r="O7" s="35">
        <f t="shared" si="2"/>
        <v>36190102.71422671</v>
      </c>
      <c r="P7" s="7">
        <f t="shared" si="3"/>
        <v>0.1950976093449159</v>
      </c>
      <c r="Q7" s="34"/>
      <c r="R7" s="34">
        <f t="shared" si="4"/>
        <v>599925.1487356164</v>
      </c>
      <c r="S7" s="34"/>
      <c r="T7" s="33">
        <f t="shared" si="5"/>
        <v>35590177.565491095</v>
      </c>
      <c r="U7" s="37">
        <f t="shared" si="0"/>
        <v>-658316.4345089048</v>
      </c>
      <c r="V7" s="36">
        <f t="shared" si="1"/>
        <v>-0.01816120787001261</v>
      </c>
    </row>
    <row r="8" spans="1:22" ht="12.75">
      <c r="A8" s="3" t="s">
        <v>4</v>
      </c>
      <c r="B8" s="4">
        <v>1422827</v>
      </c>
      <c r="C8" s="5"/>
      <c r="D8" s="4"/>
      <c r="E8" s="4"/>
      <c r="F8" s="4"/>
      <c r="G8" s="4"/>
      <c r="H8" s="4"/>
      <c r="I8" s="4"/>
      <c r="J8" s="4"/>
      <c r="K8" s="4"/>
      <c r="L8" s="5"/>
      <c r="M8" s="4"/>
      <c r="N8" s="5"/>
      <c r="O8" s="6">
        <f t="shared" si="2"/>
        <v>1422827</v>
      </c>
      <c r="P8" s="7">
        <f t="shared" si="3"/>
        <v>0.007670333195884385</v>
      </c>
      <c r="Q8" s="5"/>
      <c r="R8" s="5">
        <f t="shared" si="4"/>
        <v>23586.274577344484</v>
      </c>
      <c r="S8" s="5"/>
      <c r="T8" s="4">
        <f t="shared" si="5"/>
        <v>1399240.7254226555</v>
      </c>
      <c r="U8" s="28">
        <f t="shared" si="0"/>
        <v>-23586.274577344535</v>
      </c>
      <c r="V8" s="13">
        <f t="shared" si="1"/>
        <v>-0.016577050180622475</v>
      </c>
    </row>
    <row r="9" spans="1:22" ht="25.5">
      <c r="A9" s="3" t="s">
        <v>5</v>
      </c>
      <c r="B9" s="4">
        <v>118423</v>
      </c>
      <c r="C9" s="5"/>
      <c r="D9" s="4"/>
      <c r="E9" s="4"/>
      <c r="F9" s="4"/>
      <c r="G9" s="4"/>
      <c r="H9" s="4"/>
      <c r="I9" s="4"/>
      <c r="J9" s="4"/>
      <c r="K9" s="4"/>
      <c r="L9" s="5"/>
      <c r="M9" s="4"/>
      <c r="N9" s="5"/>
      <c r="O9" s="6">
        <f t="shared" si="2"/>
        <v>118423</v>
      </c>
      <c r="P9" s="7">
        <f t="shared" si="3"/>
        <v>0.0006384078092812524</v>
      </c>
      <c r="Q9" s="5"/>
      <c r="R9" s="5">
        <f t="shared" si="4"/>
        <v>1963.1040135398512</v>
      </c>
      <c r="S9" s="5"/>
      <c r="T9" s="4">
        <f t="shared" si="5"/>
        <v>116459.89598646015</v>
      </c>
      <c r="U9" s="28">
        <f t="shared" si="0"/>
        <v>-1963.1040135398507</v>
      </c>
      <c r="V9" s="13">
        <f t="shared" si="1"/>
        <v>-0.016577050180622437</v>
      </c>
    </row>
    <row r="10" spans="1:22" ht="13.5" thickBot="1">
      <c r="A10" s="3" t="s">
        <v>6</v>
      </c>
      <c r="B10" s="4">
        <v>426840</v>
      </c>
      <c r="C10" s="5"/>
      <c r="D10" s="4"/>
      <c r="E10" s="4"/>
      <c r="F10" s="4"/>
      <c r="G10" s="4"/>
      <c r="H10" s="4"/>
      <c r="I10" s="4"/>
      <c r="J10" s="4"/>
      <c r="K10" s="4"/>
      <c r="L10" s="5"/>
      <c r="M10" s="4"/>
      <c r="N10" s="5"/>
      <c r="O10" s="6">
        <f t="shared" si="2"/>
        <v>426840</v>
      </c>
      <c r="P10" s="7">
        <f t="shared" si="3"/>
        <v>0.0023010562923892297</v>
      </c>
      <c r="Q10" s="5"/>
      <c r="R10" s="5">
        <f t="shared" si="4"/>
        <v>7075.748099096882</v>
      </c>
      <c r="S10" s="5"/>
      <c r="T10" s="4">
        <f t="shared" si="5"/>
        <v>419764.2519009031</v>
      </c>
      <c r="U10" s="28">
        <f>T10-B10</f>
        <v>-7075.748099096876</v>
      </c>
      <c r="V10" s="13">
        <f>U10/B10</f>
        <v>-0.016577050180622426</v>
      </c>
    </row>
    <row r="11" spans="1:22" s="14" customFormat="1" ht="13.5" thickBot="1">
      <c r="A11" s="9" t="s">
        <v>10</v>
      </c>
      <c r="B11" s="17">
        <f>SUM(B3:B10)</f>
        <v>185832767</v>
      </c>
      <c r="C11" s="10"/>
      <c r="D11" s="11">
        <f>SUM(D3:D10)</f>
        <v>490168.3134211078</v>
      </c>
      <c r="E11" s="11">
        <f aca="true" t="shared" si="6" ref="E11:K11">SUM(E3:E10)</f>
        <v>977287.7583906418</v>
      </c>
      <c r="F11" s="11">
        <f t="shared" si="6"/>
        <v>1119002.650319014</v>
      </c>
      <c r="G11" s="11">
        <f t="shared" si="6"/>
        <v>1808503.3587073158</v>
      </c>
      <c r="H11" s="11">
        <f t="shared" si="6"/>
        <v>2253389.091034349</v>
      </c>
      <c r="I11" s="11">
        <f t="shared" si="6"/>
        <v>1991470.3285418283</v>
      </c>
      <c r="J11" s="11">
        <f t="shared" si="6"/>
        <v>1952423.700327621</v>
      </c>
      <c r="K11" s="11">
        <f t="shared" si="6"/>
        <v>1936088.8493453814</v>
      </c>
      <c r="L11" s="10"/>
      <c r="M11" s="11">
        <f>AVERAGE(D11:I11)</f>
        <v>1439970.2500690427</v>
      </c>
      <c r="N11" s="10"/>
      <c r="O11" s="12">
        <f>SUM(O3:O10)</f>
        <v>185497417.6041578</v>
      </c>
      <c r="P11" s="13">
        <f>SUM(P3:P10)</f>
        <v>1</v>
      </c>
      <c r="Q11" s="10"/>
      <c r="R11" s="11">
        <f>SUM(R3:R10)</f>
        <v>3075000</v>
      </c>
      <c r="S11" s="10"/>
      <c r="T11" s="17">
        <f>SUM(T3:T10)</f>
        <v>182422417.6041578</v>
      </c>
      <c r="U11" s="28">
        <f>T11-B11</f>
        <v>-3410349.3958421946</v>
      </c>
      <c r="V11" s="13">
        <f>U11/B11</f>
        <v>-0.018351711869210852</v>
      </c>
    </row>
    <row r="12" spans="2:21" ht="12.75">
      <c r="B12" s="4"/>
      <c r="C12" s="5"/>
      <c r="D12" s="4"/>
      <c r="E12" s="4"/>
      <c r="F12" s="4"/>
      <c r="G12" s="4"/>
      <c r="H12" s="4"/>
      <c r="I12" s="4"/>
      <c r="J12" s="4"/>
      <c r="K12" s="4"/>
      <c r="L12" s="5"/>
      <c r="M12" s="4"/>
      <c r="N12" s="5"/>
      <c r="O12" s="16"/>
      <c r="P12" s="5"/>
      <c r="Q12" s="5"/>
      <c r="R12" s="5"/>
      <c r="S12" s="5"/>
      <c r="T12" s="4"/>
      <c r="U12" s="29"/>
    </row>
    <row r="13" spans="1:22" s="55" customFormat="1" ht="12.75">
      <c r="A13" s="48" t="s">
        <v>30</v>
      </c>
      <c r="B13" s="49">
        <v>115977</v>
      </c>
      <c r="C13" s="50"/>
      <c r="D13" s="49">
        <v>1378.3309588046964</v>
      </c>
      <c r="E13" s="49">
        <v>1739.9869578816947</v>
      </c>
      <c r="F13" s="49">
        <v>2451.975333443076</v>
      </c>
      <c r="G13" s="49">
        <v>2295.956245467932</v>
      </c>
      <c r="H13" s="49">
        <v>2224.895725031365</v>
      </c>
      <c r="I13" s="49">
        <v>310.57400885204123</v>
      </c>
      <c r="J13" s="49">
        <v>310.57400885204123</v>
      </c>
      <c r="K13" s="49">
        <v>310.57400885204123</v>
      </c>
      <c r="L13" s="50"/>
      <c r="M13" s="49">
        <f>AVERAGE(D13:I13)</f>
        <v>1733.6198715801345</v>
      </c>
      <c r="N13" s="50"/>
      <c r="O13" s="51">
        <f>B13+M13-K13</f>
        <v>117400.04586272809</v>
      </c>
      <c r="P13" s="50"/>
      <c r="Q13" s="50"/>
      <c r="R13" s="50">
        <f>O13-T13</f>
        <v>1946.1464514738182</v>
      </c>
      <c r="S13" s="50"/>
      <c r="T13" s="52">
        <f>T5/O5*O13</f>
        <v>115453.89941125427</v>
      </c>
      <c r="U13" s="53">
        <f>T13-B13</f>
        <v>-523.1005887457286</v>
      </c>
      <c r="V13" s="54">
        <f>U13/B13</f>
        <v>-0.004510382133920765</v>
      </c>
    </row>
    <row r="14" spans="1:22" s="55" customFormat="1" ht="12.75">
      <c r="A14" s="48" t="s">
        <v>28</v>
      </c>
      <c r="B14" s="49">
        <v>87415</v>
      </c>
      <c r="C14" s="50"/>
      <c r="D14" s="49">
        <v>1259.8934142938906</v>
      </c>
      <c r="E14" s="49">
        <v>1590.4729522244106</v>
      </c>
      <c r="F14" s="49">
        <v>2241.281424379388</v>
      </c>
      <c r="G14" s="49">
        <v>2098.668781031024</v>
      </c>
      <c r="H14" s="49">
        <v>2033.7143655893458</v>
      </c>
      <c r="I14" s="49">
        <v>283.88693289082784</v>
      </c>
      <c r="J14" s="49">
        <v>283.88693289082784</v>
      </c>
      <c r="K14" s="49">
        <v>283.88693289082784</v>
      </c>
      <c r="L14" s="50"/>
      <c r="M14" s="49">
        <f>AVERAGE(D14:I14)</f>
        <v>1584.652978401481</v>
      </c>
      <c r="N14" s="50"/>
      <c r="O14" s="51">
        <f>B14+M14-K14</f>
        <v>88715.76604551065</v>
      </c>
      <c r="P14" s="50"/>
      <c r="Q14" s="50"/>
      <c r="R14" s="50">
        <f>O14-T14</f>
        <v>1470.6457055487845</v>
      </c>
      <c r="S14" s="50"/>
      <c r="T14" s="52">
        <f>T6/O6*O14</f>
        <v>87245.12033996187</v>
      </c>
      <c r="U14" s="53">
        <f>T14-B14</f>
        <v>-169.879660038132</v>
      </c>
      <c r="V14" s="54">
        <f>U14/B14</f>
        <v>-0.0019433696738332322</v>
      </c>
    </row>
    <row r="15" spans="1:22" s="55" customFormat="1" ht="12.75">
      <c r="A15" s="48" t="s">
        <v>29</v>
      </c>
      <c r="B15" s="49">
        <v>70405</v>
      </c>
      <c r="C15" s="50"/>
      <c r="D15" s="49">
        <v>1289.7649716100575</v>
      </c>
      <c r="E15" s="49">
        <v>1628.1824151148187</v>
      </c>
      <c r="F15" s="49">
        <v>2294.4212898397786</v>
      </c>
      <c r="G15" s="49">
        <v>2148.4273590734006</v>
      </c>
      <c r="H15" s="49">
        <v>2081.9329010203464</v>
      </c>
      <c r="I15" s="49">
        <v>290.6177759057601</v>
      </c>
      <c r="J15" s="49">
        <v>290.6177759057601</v>
      </c>
      <c r="K15" s="49">
        <v>290.6177759057601</v>
      </c>
      <c r="L15" s="50"/>
      <c r="M15" s="49">
        <f>AVERAGE(D15:I15)</f>
        <v>1622.224452094027</v>
      </c>
      <c r="N15" s="50"/>
      <c r="O15" s="51">
        <f>B15+M15-K15</f>
        <v>71736.60667618827</v>
      </c>
      <c r="P15" s="50"/>
      <c r="Q15" s="50"/>
      <c r="R15" s="50">
        <f>O15-T15</f>
        <v>1189.1813286587421</v>
      </c>
      <c r="S15" s="50"/>
      <c r="T15" s="52">
        <f>T7/O7*O15</f>
        <v>70547.42534752953</v>
      </c>
      <c r="U15" s="53">
        <f>T15-B15</f>
        <v>142.42534752952633</v>
      </c>
      <c r="V15" s="54">
        <f>U15/B15</f>
        <v>0.002022943647887598</v>
      </c>
    </row>
    <row r="16" spans="1:22" ht="12.75">
      <c r="A16" s="3" t="s">
        <v>7</v>
      </c>
      <c r="B16" s="4">
        <v>3831</v>
      </c>
      <c r="C16" s="5"/>
      <c r="D16" s="4"/>
      <c r="E16" s="4"/>
      <c r="F16" s="4"/>
      <c r="G16" s="4"/>
      <c r="H16" s="4"/>
      <c r="I16" s="4"/>
      <c r="J16" s="4"/>
      <c r="K16" s="4"/>
      <c r="L16" s="5"/>
      <c r="M16" s="4"/>
      <c r="N16" s="5"/>
      <c r="O16" s="6">
        <f>B16+M16-K16</f>
        <v>3831</v>
      </c>
      <c r="P16" s="5"/>
      <c r="Q16" s="5"/>
      <c r="R16" s="5">
        <f>O16-T16</f>
        <v>63.506679241964775</v>
      </c>
      <c r="S16" s="5"/>
      <c r="T16" s="31">
        <f>T8/O8*O16</f>
        <v>3767.493320758035</v>
      </c>
      <c r="U16" s="30">
        <f>T16-B16</f>
        <v>-63.506679241964775</v>
      </c>
      <c r="V16" s="13">
        <f>U16/B16</f>
        <v>-0.016577050180622496</v>
      </c>
    </row>
    <row r="17" spans="1:22" ht="26.25" thickBot="1">
      <c r="A17" s="3" t="s">
        <v>8</v>
      </c>
      <c r="B17" s="4">
        <v>301</v>
      </c>
      <c r="C17" s="5"/>
      <c r="D17" s="4"/>
      <c r="E17" s="4"/>
      <c r="F17" s="4"/>
      <c r="G17" s="4"/>
      <c r="H17" s="4"/>
      <c r="I17" s="4"/>
      <c r="J17" s="4"/>
      <c r="K17" s="4"/>
      <c r="L17" s="5"/>
      <c r="M17" s="4"/>
      <c r="N17" s="5"/>
      <c r="O17" s="6">
        <f>B17+M17-K17</f>
        <v>301</v>
      </c>
      <c r="P17" s="5"/>
      <c r="Q17" s="5"/>
      <c r="R17" s="5">
        <f>O17-T17</f>
        <v>4.98969210436735</v>
      </c>
      <c r="S17" s="5"/>
      <c r="T17" s="4">
        <f>T9/O9*O17</f>
        <v>296.01030789563265</v>
      </c>
      <c r="U17" s="30">
        <f>T17-B17</f>
        <v>-4.98969210436735</v>
      </c>
      <c r="V17" s="13">
        <f>U17/B17</f>
        <v>-0.016577050180622426</v>
      </c>
    </row>
    <row r="18" spans="1:22" s="14" customFormat="1" ht="13.5" thickBot="1">
      <c r="A18" s="9" t="s">
        <v>9</v>
      </c>
      <c r="B18" s="17">
        <f>SUM(B13:B17)</f>
        <v>277929</v>
      </c>
      <c r="C18" s="10"/>
      <c r="D18" s="11">
        <f aca="true" t="shared" si="7" ref="D18:K18">SUM(D13:D17)</f>
        <v>3927.9893447086442</v>
      </c>
      <c r="E18" s="11">
        <f t="shared" si="7"/>
        <v>4958.642325220924</v>
      </c>
      <c r="F18" s="11">
        <f t="shared" si="7"/>
        <v>6987.6780476622425</v>
      </c>
      <c r="G18" s="11">
        <f t="shared" si="7"/>
        <v>6543.052385572357</v>
      </c>
      <c r="H18" s="11">
        <f t="shared" si="7"/>
        <v>6340.542991641058</v>
      </c>
      <c r="I18" s="11">
        <f t="shared" si="7"/>
        <v>885.0787176486292</v>
      </c>
      <c r="J18" s="11">
        <f t="shared" si="7"/>
        <v>885.0787176486292</v>
      </c>
      <c r="K18" s="11">
        <f t="shared" si="7"/>
        <v>885.0787176486292</v>
      </c>
      <c r="L18" s="10"/>
      <c r="M18" s="11">
        <f>SUM(M13:M17)</f>
        <v>4940.497302075642</v>
      </c>
      <c r="N18" s="10"/>
      <c r="O18" s="11">
        <f>SUM(O13:O17)</f>
        <v>281984.418584427</v>
      </c>
      <c r="P18" s="10"/>
      <c r="Q18" s="10"/>
      <c r="R18" s="10">
        <f>SUM(R13:R17)</f>
        <v>4674.469857027677</v>
      </c>
      <c r="S18" s="10"/>
      <c r="T18" s="17">
        <f>SUM(T13:T17)</f>
        <v>277309.94872739934</v>
      </c>
      <c r="U18" s="30">
        <f>T18-B18</f>
        <v>-619.0512726006564</v>
      </c>
      <c r="V18" s="13">
        <f>U18/B18</f>
        <v>-0.0022273720000455383</v>
      </c>
    </row>
    <row r="19" spans="2:21" ht="12.75">
      <c r="B19" s="4"/>
      <c r="C19" s="5"/>
      <c r="D19" s="4"/>
      <c r="E19" s="4"/>
      <c r="F19" s="4"/>
      <c r="G19" s="4"/>
      <c r="H19" s="4"/>
      <c r="I19" s="4"/>
      <c r="J19" s="4"/>
      <c r="K19" s="4"/>
      <c r="L19" s="5"/>
      <c r="M19" s="4"/>
      <c r="N19" s="5"/>
      <c r="O19" s="5"/>
      <c r="P19" s="5"/>
      <c r="Q19" s="5"/>
      <c r="R19" s="5"/>
      <c r="S19" s="5"/>
      <c r="T19" s="4"/>
      <c r="U19" s="16"/>
    </row>
    <row r="20" spans="2:21" ht="12.75">
      <c r="B20" s="18"/>
      <c r="T20" s="18"/>
      <c r="U20" s="16"/>
    </row>
    <row r="21" spans="1:20" s="46" customFormat="1" ht="12.75">
      <c r="A21" s="39" t="s">
        <v>31</v>
      </c>
      <c r="B21" s="43">
        <f>SUM(B5:B7)</f>
        <v>110395073</v>
      </c>
      <c r="C21" s="40"/>
      <c r="D21" s="40"/>
      <c r="E21" s="41">
        <v>15303.838197005201</v>
      </c>
      <c r="F21" s="41">
        <v>15303.838197005201</v>
      </c>
      <c r="G21" s="41">
        <v>291490.51296892064</v>
      </c>
      <c r="H21" s="41">
        <v>748716.8395323352</v>
      </c>
      <c r="I21" s="41">
        <v>489992.6561607639</v>
      </c>
      <c r="J21" s="41">
        <v>489992.6561607639</v>
      </c>
      <c r="K21" s="42">
        <v>489992.6561607639</v>
      </c>
      <c r="T21" s="47"/>
    </row>
    <row r="22" spans="1:20" s="38" customFormat="1" ht="12.75">
      <c r="A22" s="32" t="s">
        <v>30</v>
      </c>
      <c r="B22" s="44">
        <f>B5/$B$21</f>
        <v>0.3508998721346921</v>
      </c>
      <c r="D22" s="34">
        <f>D$5*$B22</f>
        <v>0</v>
      </c>
      <c r="E22" s="34">
        <f aca="true" t="shared" si="8" ref="E22:K22">E$5*$B22</f>
        <v>1884.372620003158</v>
      </c>
      <c r="F22" s="34">
        <f t="shared" si="8"/>
        <v>1884.372620003158</v>
      </c>
      <c r="G22" s="34">
        <f t="shared" si="8"/>
        <v>35891.43681202779</v>
      </c>
      <c r="H22" s="34">
        <f t="shared" si="8"/>
        <v>92190.04372550941</v>
      </c>
      <c r="I22" s="34">
        <f t="shared" si="8"/>
        <v>60333.14867721555</v>
      </c>
      <c r="J22" s="34">
        <f t="shared" si="8"/>
        <v>60333.14867721555</v>
      </c>
      <c r="K22" s="34">
        <f t="shared" si="8"/>
        <v>60333.14867721555</v>
      </c>
      <c r="T22" s="34"/>
    </row>
    <row r="23" spans="1:20" s="38" customFormat="1" ht="12.75">
      <c r="A23" s="32" t="s">
        <v>28</v>
      </c>
      <c r="B23" s="44">
        <f>B6/$B$21</f>
        <v>0.32074766597599874</v>
      </c>
      <c r="D23" s="34">
        <f aca="true" t="shared" si="9" ref="D23:K24">D$5*$B23</f>
        <v>0</v>
      </c>
      <c r="E23" s="34">
        <f t="shared" si="9"/>
        <v>1722.451809452612</v>
      </c>
      <c r="F23" s="34">
        <f t="shared" si="9"/>
        <v>1722.451809452612</v>
      </c>
      <c r="G23" s="34">
        <f t="shared" si="9"/>
        <v>32807.3490478904</v>
      </c>
      <c r="H23" s="34">
        <f t="shared" si="9"/>
        <v>84268.31611905557</v>
      </c>
      <c r="I23" s="34">
        <f t="shared" si="9"/>
        <v>55148.82778803548</v>
      </c>
      <c r="J23" s="34">
        <f t="shared" si="9"/>
        <v>55148.82778803548</v>
      </c>
      <c r="K23" s="34">
        <f t="shared" si="9"/>
        <v>55148.82778803548</v>
      </c>
      <c r="T23" s="34"/>
    </row>
    <row r="24" spans="1:11" s="38" customFormat="1" ht="12.75">
      <c r="A24" s="32" t="s">
        <v>29</v>
      </c>
      <c r="B24" s="44">
        <f>B7/$B$21</f>
        <v>0.3283524618893091</v>
      </c>
      <c r="D24" s="34">
        <f t="shared" si="9"/>
        <v>0</v>
      </c>
      <c r="E24" s="34">
        <f t="shared" si="9"/>
        <v>1763.2904370433719</v>
      </c>
      <c r="F24" s="34">
        <f t="shared" si="9"/>
        <v>1763.2904370433719</v>
      </c>
      <c r="G24" s="34">
        <f t="shared" si="9"/>
        <v>33585.19786935186</v>
      </c>
      <c r="H24" s="34">
        <f t="shared" si="9"/>
        <v>86266.28341242223</v>
      </c>
      <c r="I24" s="34">
        <f t="shared" si="9"/>
        <v>56456.383928499155</v>
      </c>
      <c r="J24" s="34">
        <f t="shared" si="9"/>
        <v>56456.383928499155</v>
      </c>
      <c r="K24" s="34">
        <f t="shared" si="9"/>
        <v>56456.383928499155</v>
      </c>
    </row>
    <row r="25" ht="12.75">
      <c r="B25" s="45"/>
    </row>
    <row r="26" spans="1:11" s="61" customFormat="1" ht="12.75">
      <c r="A26" s="56" t="s">
        <v>32</v>
      </c>
      <c r="B26" s="57" t="s">
        <v>33</v>
      </c>
      <c r="C26" s="58"/>
      <c r="D26" s="59">
        <v>3927.9893447086447</v>
      </c>
      <c r="E26" s="59">
        <v>4958.642325220924</v>
      </c>
      <c r="F26" s="59">
        <v>6987.678047662243</v>
      </c>
      <c r="G26" s="59">
        <v>6543.052385572357</v>
      </c>
      <c r="H26" s="59">
        <v>6340.542991641058</v>
      </c>
      <c r="I26" s="59">
        <v>885.0787176486292</v>
      </c>
      <c r="J26" s="59">
        <v>885.0787176486292</v>
      </c>
      <c r="K26" s="60">
        <v>885.0787176486292</v>
      </c>
    </row>
    <row r="27" spans="1:11" s="55" customFormat="1" ht="12.75">
      <c r="A27" s="48" t="s">
        <v>30</v>
      </c>
      <c r="B27" s="62">
        <f>B22</f>
        <v>0.3508998721346921</v>
      </c>
      <c r="D27" s="50">
        <f>$B27*D$26</f>
        <v>1378.3309588046964</v>
      </c>
      <c r="E27" s="50">
        <f aca="true" t="shared" si="10" ref="E27:K27">$B27*E$26</f>
        <v>1739.9869578816947</v>
      </c>
      <c r="F27" s="50">
        <f t="shared" si="10"/>
        <v>2451.975333443076</v>
      </c>
      <c r="G27" s="50">
        <f t="shared" si="10"/>
        <v>2295.956245467932</v>
      </c>
      <c r="H27" s="50">
        <f t="shared" si="10"/>
        <v>2224.895725031365</v>
      </c>
      <c r="I27" s="50">
        <f t="shared" si="10"/>
        <v>310.57400885204123</v>
      </c>
      <c r="J27" s="50">
        <f t="shared" si="10"/>
        <v>310.57400885204123</v>
      </c>
      <c r="K27" s="50">
        <f t="shared" si="10"/>
        <v>310.57400885204123</v>
      </c>
    </row>
    <row r="28" spans="1:11" s="55" customFormat="1" ht="12.75">
      <c r="A28" s="48" t="s">
        <v>28</v>
      </c>
      <c r="B28" s="62">
        <f>B23</f>
        <v>0.32074766597599874</v>
      </c>
      <c r="D28" s="50">
        <f aca="true" t="shared" si="11" ref="D28:K29">$B28*D$26</f>
        <v>1259.8934142938906</v>
      </c>
      <c r="E28" s="50">
        <f t="shared" si="11"/>
        <v>1590.4729522244106</v>
      </c>
      <c r="F28" s="50">
        <f t="shared" si="11"/>
        <v>2241.281424379388</v>
      </c>
      <c r="G28" s="50">
        <f t="shared" si="11"/>
        <v>2098.668781031024</v>
      </c>
      <c r="H28" s="50">
        <f t="shared" si="11"/>
        <v>2033.7143655893458</v>
      </c>
      <c r="I28" s="50">
        <f t="shared" si="11"/>
        <v>283.88693289082784</v>
      </c>
      <c r="J28" s="50">
        <f t="shared" si="11"/>
        <v>283.88693289082784</v>
      </c>
      <c r="K28" s="50">
        <f t="shared" si="11"/>
        <v>283.88693289082784</v>
      </c>
    </row>
    <row r="29" spans="1:11" s="55" customFormat="1" ht="12.75">
      <c r="A29" s="48" t="s">
        <v>29</v>
      </c>
      <c r="B29" s="62">
        <f>B24</f>
        <v>0.3283524618893091</v>
      </c>
      <c r="D29" s="50">
        <f t="shared" si="11"/>
        <v>1289.7649716100575</v>
      </c>
      <c r="E29" s="50">
        <f t="shared" si="11"/>
        <v>1628.1824151148187</v>
      </c>
      <c r="F29" s="50">
        <f t="shared" si="11"/>
        <v>2294.4212898397786</v>
      </c>
      <c r="G29" s="50">
        <f t="shared" si="11"/>
        <v>2148.4273590734006</v>
      </c>
      <c r="H29" s="50">
        <f t="shared" si="11"/>
        <v>2081.9329010203464</v>
      </c>
      <c r="I29" s="50">
        <f t="shared" si="11"/>
        <v>290.6177759057601</v>
      </c>
      <c r="J29" s="50">
        <f t="shared" si="11"/>
        <v>290.6177759057601</v>
      </c>
      <c r="K29" s="50">
        <f t="shared" si="11"/>
        <v>290.6177759057601</v>
      </c>
    </row>
  </sheetData>
  <sheetProtection/>
  <mergeCells count="1">
    <mergeCell ref="D1:M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SheetLayoutView="110" zoomScalePageLayoutView="0" workbookViewId="0" topLeftCell="A1">
      <selection activeCell="A29" sqref="A29"/>
    </sheetView>
  </sheetViews>
  <sheetFormatPr defaultColWidth="9.140625" defaultRowHeight="15" outlineLevelCol="2"/>
  <cols>
    <col min="1" max="1" width="19.421875" style="15" bestFit="1" customWidth="1"/>
    <col min="2" max="2" width="15.28125" style="8" bestFit="1" customWidth="1"/>
    <col min="3" max="3" width="1.57421875" style="8" customWidth="1"/>
    <col min="4" max="7" width="10.57421875" style="8" hidden="1" customWidth="1" outlineLevel="2"/>
    <col min="8" max="8" width="11.00390625" style="8" hidden="1" customWidth="1" outlineLevel="2"/>
    <col min="9" max="9" width="12.7109375" style="8" hidden="1" customWidth="1" outlineLevel="2"/>
    <col min="10" max="10" width="11.00390625" style="8" customWidth="1" outlineLevel="1" collapsed="1"/>
    <col min="11" max="11" width="11.00390625" style="8" customWidth="1" outlineLevel="1"/>
    <col min="12" max="12" width="1.57421875" style="8" customWidth="1" outlineLevel="1"/>
    <col min="13" max="13" width="10.57421875" style="8" customWidth="1" outlineLevel="1"/>
    <col min="14" max="14" width="1.57421875" style="8" customWidth="1" outlineLevel="1"/>
    <col min="15" max="15" width="13.57421875" style="8" bestFit="1" customWidth="1"/>
    <col min="16" max="16" width="11.140625" style="8" hidden="1" customWidth="1" outlineLevel="1"/>
    <col min="17" max="17" width="1.57421875" style="8" customWidth="1" collapsed="1"/>
    <col min="18" max="18" width="11.57421875" style="8" bestFit="1" customWidth="1"/>
    <col min="19" max="19" width="1.57421875" style="8" customWidth="1"/>
    <col min="20" max="20" width="12.00390625" style="8" bestFit="1" customWidth="1"/>
    <col min="21" max="21" width="14.28125" style="8" bestFit="1" customWidth="1"/>
    <col min="22" max="16384" width="9.140625" style="8" customWidth="1"/>
  </cols>
  <sheetData>
    <row r="1" spans="2:20" s="1" customFormat="1" ht="15" customHeight="1">
      <c r="B1" s="1" t="s">
        <v>16</v>
      </c>
      <c r="D1" s="69" t="s">
        <v>17</v>
      </c>
      <c r="E1" s="69"/>
      <c r="F1" s="69"/>
      <c r="G1" s="69"/>
      <c r="H1" s="69"/>
      <c r="I1" s="69"/>
      <c r="J1" s="69"/>
      <c r="K1" s="69"/>
      <c r="L1" s="69"/>
      <c r="M1" s="69"/>
      <c r="O1" s="1" t="s">
        <v>11</v>
      </c>
      <c r="R1" s="1" t="s">
        <v>12</v>
      </c>
      <c r="T1" s="1" t="s">
        <v>14</v>
      </c>
    </row>
    <row r="2" spans="2:21" s="1" customFormat="1" ht="38.25">
      <c r="B2" s="1" t="s">
        <v>1</v>
      </c>
      <c r="D2" s="1">
        <v>2006</v>
      </c>
      <c r="E2" s="1">
        <v>2007</v>
      </c>
      <c r="F2" s="1">
        <v>2008</v>
      </c>
      <c r="G2" s="1">
        <v>2009</v>
      </c>
      <c r="H2" s="1">
        <v>2010</v>
      </c>
      <c r="I2" s="1">
        <v>2011</v>
      </c>
      <c r="J2" s="1">
        <v>2012</v>
      </c>
      <c r="K2" s="1">
        <v>2013</v>
      </c>
      <c r="M2" s="1" t="s">
        <v>13</v>
      </c>
      <c r="O2" s="1" t="s">
        <v>0</v>
      </c>
      <c r="P2" s="2" t="s">
        <v>18</v>
      </c>
      <c r="R2" s="2">
        <f>10.25*1000000*0.3</f>
        <v>3075000</v>
      </c>
      <c r="T2" s="1" t="s">
        <v>0</v>
      </c>
      <c r="U2" s="1" t="s">
        <v>15</v>
      </c>
    </row>
    <row r="3" spans="1:22" ht="12.75">
      <c r="A3" s="3" t="s">
        <v>2</v>
      </c>
      <c r="B3" s="4">
        <v>50534380</v>
      </c>
      <c r="C3" s="5"/>
      <c r="D3" s="4">
        <v>490168.3134211078</v>
      </c>
      <c r="E3" s="4">
        <v>961983.9201936367</v>
      </c>
      <c r="F3" s="4">
        <v>1103113.0024852473</v>
      </c>
      <c r="G3" s="4">
        <v>1229175.072503148</v>
      </c>
      <c r="H3" s="4">
        <v>996430.3593443722</v>
      </c>
      <c r="I3" s="4">
        <v>993235.7802234228</v>
      </c>
      <c r="J3" s="4">
        <v>954189.1520092156</v>
      </c>
      <c r="K3" s="4">
        <v>937854.3010269759</v>
      </c>
      <c r="L3" s="5"/>
      <c r="M3" s="4">
        <f>AVERAGE(D3:I3)</f>
        <v>962351.0746951558</v>
      </c>
      <c r="N3" s="5"/>
      <c r="O3" s="6">
        <f>B3+M3-K3</f>
        <v>50558876.77366818</v>
      </c>
      <c r="P3" s="7">
        <f>O3/($O$11-$O$9-$O$10)</f>
        <v>0.27336192369251583</v>
      </c>
      <c r="Q3" s="5"/>
      <c r="R3" s="5">
        <f>$R$2*P3</f>
        <v>840587.9153544862</v>
      </c>
      <c r="S3" s="5"/>
      <c r="T3" s="4">
        <f>O3-R3</f>
        <v>49718288.858313695</v>
      </c>
      <c r="U3" s="28">
        <f aca="true" t="shared" si="0" ref="U3:U9">T3-B3</f>
        <v>-816091.1416863054</v>
      </c>
      <c r="V3" s="13">
        <f aca="true" t="shared" si="1" ref="V3:V9">U3/B3</f>
        <v>-0.016149226362058965</v>
      </c>
    </row>
    <row r="4" spans="1:22" ht="12.75">
      <c r="A4" s="3" t="s">
        <v>3</v>
      </c>
      <c r="B4" s="4">
        <v>22935224</v>
      </c>
      <c r="C4" s="5"/>
      <c r="D4" s="4"/>
      <c r="E4" s="4"/>
      <c r="F4" s="4">
        <v>585.8096367613728</v>
      </c>
      <c r="G4" s="4">
        <v>287837.77323524724</v>
      </c>
      <c r="H4" s="4">
        <v>508241.8921576416</v>
      </c>
      <c r="I4" s="4">
        <v>508241.8921576416</v>
      </c>
      <c r="J4" s="4">
        <v>508241.8921576416</v>
      </c>
      <c r="K4" s="4">
        <v>508241.8921576416</v>
      </c>
      <c r="L4" s="5"/>
      <c r="M4" s="4">
        <f>AVERAGE(D4:I4)</f>
        <v>326226.84179682296</v>
      </c>
      <c r="N4" s="5"/>
      <c r="O4" s="6">
        <f aca="true" t="shared" si="2" ref="O4:O10">B4+M4-K4</f>
        <v>22753208.949639183</v>
      </c>
      <c r="P4" s="7">
        <f>O4/($O$11-$O$9-$O$10)</f>
        <v>0.12302213509400058</v>
      </c>
      <c r="Q4" s="5"/>
      <c r="R4" s="5">
        <f aca="true" t="shared" si="3" ref="R4:R10">$R$2*P4</f>
        <v>378293.06541405176</v>
      </c>
      <c r="S4" s="5"/>
      <c r="T4" s="4">
        <f aca="true" t="shared" si="4" ref="T4:T10">O4-R4</f>
        <v>22374915.88422513</v>
      </c>
      <c r="U4" s="28">
        <f t="shared" si="0"/>
        <v>-560308.1157748699</v>
      </c>
      <c r="V4" s="13">
        <f t="shared" si="1"/>
        <v>-0.02443002587525938</v>
      </c>
    </row>
    <row r="5" spans="1:22" s="38" customFormat="1" ht="12.75">
      <c r="A5" s="32" t="s">
        <v>30</v>
      </c>
      <c r="B5" s="33">
        <v>38737617</v>
      </c>
      <c r="C5" s="34"/>
      <c r="D5" s="33"/>
      <c r="E5" s="33">
        <v>5370.114866499142</v>
      </c>
      <c r="F5" s="33">
        <v>5370.114866499142</v>
      </c>
      <c r="G5" s="33">
        <v>102283.98372927005</v>
      </c>
      <c r="H5" s="33">
        <v>262724.6432569872</v>
      </c>
      <c r="I5" s="33">
        <v>171938.3603937502</v>
      </c>
      <c r="J5" s="33">
        <v>171938.3603937502</v>
      </c>
      <c r="K5" s="33">
        <v>171938.3603937502</v>
      </c>
      <c r="L5" s="34"/>
      <c r="M5" s="33">
        <f>AVERAGE(D5:I5)</f>
        <v>109537.44342260114</v>
      </c>
      <c r="N5" s="34"/>
      <c r="O5" s="35">
        <f t="shared" si="2"/>
        <v>38675216.08302885</v>
      </c>
      <c r="P5" s="7">
        <f>O5/($O$11-$O$9-$O$10)</f>
        <v>0.20910930270481648</v>
      </c>
      <c r="Q5" s="34"/>
      <c r="R5" s="34">
        <f t="shared" si="3"/>
        <v>643011.1058173106</v>
      </c>
      <c r="S5" s="34"/>
      <c r="T5" s="33">
        <f t="shared" si="4"/>
        <v>38032204.97721154</v>
      </c>
      <c r="U5" s="37">
        <f t="shared" si="0"/>
        <v>-705412.0227884576</v>
      </c>
      <c r="V5" s="36">
        <f t="shared" si="1"/>
        <v>-0.018210000444489335</v>
      </c>
    </row>
    <row r="6" spans="1:22" s="38" customFormat="1" ht="12.75">
      <c r="A6" s="32" t="s">
        <v>28</v>
      </c>
      <c r="B6" s="33">
        <v>35408962</v>
      </c>
      <c r="C6" s="34"/>
      <c r="D6" s="33"/>
      <c r="E6" s="33">
        <v>4908.670382163755</v>
      </c>
      <c r="F6" s="33">
        <v>4908.670382163755</v>
      </c>
      <c r="G6" s="33">
        <v>93494.90168892789</v>
      </c>
      <c r="H6" s="33">
        <v>240149.1787569229</v>
      </c>
      <c r="I6" s="33">
        <v>157164.0008089451</v>
      </c>
      <c r="J6" s="33">
        <v>157164.0008089451</v>
      </c>
      <c r="K6" s="33">
        <v>157164.0008089451</v>
      </c>
      <c r="L6" s="34"/>
      <c r="M6" s="33">
        <f>AVERAGE(D6:I6)</f>
        <v>100125.08440382467</v>
      </c>
      <c r="N6" s="34"/>
      <c r="O6" s="35">
        <f t="shared" si="2"/>
        <v>35351923.08359488</v>
      </c>
      <c r="P6" s="7">
        <f>O6/($O$11-$O$9-$O$10)</f>
        <v>0.19114090970854877</v>
      </c>
      <c r="Q6" s="34"/>
      <c r="R6" s="34">
        <f t="shared" si="3"/>
        <v>587758.2973537875</v>
      </c>
      <c r="S6" s="34"/>
      <c r="T6" s="33">
        <f t="shared" si="4"/>
        <v>34764164.78624109</v>
      </c>
      <c r="U6" s="37">
        <f t="shared" si="0"/>
        <v>-644797.2137589082</v>
      </c>
      <c r="V6" s="36">
        <f t="shared" si="1"/>
        <v>-0.018210000444489397</v>
      </c>
    </row>
    <row r="7" spans="1:22" s="38" customFormat="1" ht="12.75">
      <c r="A7" s="32" t="s">
        <v>29</v>
      </c>
      <c r="B7" s="33">
        <v>36248494</v>
      </c>
      <c r="C7" s="34"/>
      <c r="D7" s="33"/>
      <c r="E7" s="33">
        <v>5025.052948342303</v>
      </c>
      <c r="F7" s="33">
        <v>5025.052948342303</v>
      </c>
      <c r="G7" s="33">
        <v>95711.62755072268</v>
      </c>
      <c r="H7" s="33">
        <v>245843.01751842504</v>
      </c>
      <c r="I7" s="33">
        <v>160890.29495806855</v>
      </c>
      <c r="J7" s="33">
        <v>160890.29495806855</v>
      </c>
      <c r="K7" s="33">
        <v>160890.29495806855</v>
      </c>
      <c r="L7" s="34"/>
      <c r="M7" s="33">
        <f>AVERAGE(D7:I7)</f>
        <v>102499.00918478018</v>
      </c>
      <c r="N7" s="34"/>
      <c r="O7" s="35">
        <f t="shared" si="2"/>
        <v>36190102.71422671</v>
      </c>
      <c r="P7" s="7">
        <f>O7/($O$11-$O$9-$O$10)</f>
        <v>0.19567278246464473</v>
      </c>
      <c r="Q7" s="34"/>
      <c r="R7" s="34">
        <f t="shared" si="3"/>
        <v>601693.8060787825</v>
      </c>
      <c r="S7" s="34"/>
      <c r="T7" s="33">
        <f t="shared" si="4"/>
        <v>35588408.90814792</v>
      </c>
      <c r="U7" s="37">
        <f t="shared" si="0"/>
        <v>-660085.0918520764</v>
      </c>
      <c r="V7" s="36">
        <f t="shared" si="1"/>
        <v>-0.01821000044448954</v>
      </c>
    </row>
    <row r="8" spans="1:22" ht="12.75">
      <c r="A8" s="3" t="s">
        <v>4</v>
      </c>
      <c r="B8" s="4">
        <v>1422827</v>
      </c>
      <c r="C8" s="5"/>
      <c r="D8" s="4"/>
      <c r="E8" s="4"/>
      <c r="F8" s="4"/>
      <c r="G8" s="4"/>
      <c r="H8" s="4"/>
      <c r="I8" s="4"/>
      <c r="J8" s="4"/>
      <c r="K8" s="4"/>
      <c r="L8" s="5"/>
      <c r="M8" s="4"/>
      <c r="N8" s="5"/>
      <c r="O8" s="6">
        <f t="shared" si="2"/>
        <v>1422827</v>
      </c>
      <c r="P8" s="7">
        <f>O8/($O$11-$O$9-$O$10)</f>
        <v>0.007692946335473586</v>
      </c>
      <c r="Q8" s="5"/>
      <c r="R8" s="5">
        <f t="shared" si="3"/>
        <v>23655.80998158128</v>
      </c>
      <c r="S8" s="5"/>
      <c r="T8" s="4">
        <f t="shared" si="4"/>
        <v>1399171.1900184187</v>
      </c>
      <c r="U8" s="28">
        <f t="shared" si="0"/>
        <v>-23655.80998158129</v>
      </c>
      <c r="V8" s="13">
        <f t="shared" si="1"/>
        <v>-0.01662592147997001</v>
      </c>
    </row>
    <row r="9" spans="1:22" ht="25.5">
      <c r="A9" s="3" t="s">
        <v>5</v>
      </c>
      <c r="B9" s="4">
        <v>118423</v>
      </c>
      <c r="C9" s="5"/>
      <c r="D9" s="4"/>
      <c r="E9" s="4"/>
      <c r="F9" s="4"/>
      <c r="G9" s="4"/>
      <c r="H9" s="4"/>
      <c r="I9" s="4"/>
      <c r="J9" s="4"/>
      <c r="K9" s="4"/>
      <c r="L9" s="5"/>
      <c r="M9" s="4"/>
      <c r="N9" s="5"/>
      <c r="O9" s="6">
        <f t="shared" si="2"/>
        <v>118423</v>
      </c>
      <c r="P9" s="7">
        <v>0</v>
      </c>
      <c r="Q9" s="5"/>
      <c r="R9" s="5">
        <f t="shared" si="3"/>
        <v>0</v>
      </c>
      <c r="S9" s="5"/>
      <c r="T9" s="4">
        <f t="shared" si="4"/>
        <v>118423</v>
      </c>
      <c r="U9" s="28">
        <f t="shared" si="0"/>
        <v>0</v>
      </c>
      <c r="V9" s="13">
        <f t="shared" si="1"/>
        <v>0</v>
      </c>
    </row>
    <row r="10" spans="1:22" ht="13.5" thickBot="1">
      <c r="A10" s="3" t="s">
        <v>6</v>
      </c>
      <c r="B10" s="4">
        <v>426840</v>
      </c>
      <c r="C10" s="5"/>
      <c r="D10" s="4"/>
      <c r="E10" s="4"/>
      <c r="F10" s="4"/>
      <c r="G10" s="4"/>
      <c r="H10" s="4"/>
      <c r="I10" s="4"/>
      <c r="J10" s="4"/>
      <c r="K10" s="4"/>
      <c r="L10" s="5"/>
      <c r="M10" s="4"/>
      <c r="N10" s="5"/>
      <c r="O10" s="6">
        <f t="shared" si="2"/>
        <v>426840</v>
      </c>
      <c r="P10" s="7">
        <v>0</v>
      </c>
      <c r="Q10" s="5"/>
      <c r="R10" s="5">
        <f t="shared" si="3"/>
        <v>0</v>
      </c>
      <c r="S10" s="5"/>
      <c r="T10" s="4">
        <f t="shared" si="4"/>
        <v>426840</v>
      </c>
      <c r="U10" s="28">
        <f>T10-B10</f>
        <v>0</v>
      </c>
      <c r="V10" s="13">
        <f>U10/B10</f>
        <v>0</v>
      </c>
    </row>
    <row r="11" spans="1:22" s="14" customFormat="1" ht="13.5" thickBot="1">
      <c r="A11" s="9" t="s">
        <v>10</v>
      </c>
      <c r="B11" s="17">
        <f>SUM(B3:B10)</f>
        <v>185832767</v>
      </c>
      <c r="C11" s="10"/>
      <c r="D11" s="11">
        <f>SUM(D3:D10)</f>
        <v>490168.3134211078</v>
      </c>
      <c r="E11" s="11">
        <f aca="true" t="shared" si="5" ref="E11:K11">SUM(E3:E10)</f>
        <v>977287.7583906418</v>
      </c>
      <c r="F11" s="11">
        <f t="shared" si="5"/>
        <v>1119002.650319014</v>
      </c>
      <c r="G11" s="11">
        <f t="shared" si="5"/>
        <v>1808503.3587073158</v>
      </c>
      <c r="H11" s="11">
        <f t="shared" si="5"/>
        <v>2253389.091034349</v>
      </c>
      <c r="I11" s="11">
        <f t="shared" si="5"/>
        <v>1991470.3285418283</v>
      </c>
      <c r="J11" s="11">
        <f t="shared" si="5"/>
        <v>1952423.700327621</v>
      </c>
      <c r="K11" s="11">
        <f t="shared" si="5"/>
        <v>1936088.8493453814</v>
      </c>
      <c r="L11" s="10"/>
      <c r="M11" s="11">
        <f>AVERAGE(D11:I11)</f>
        <v>1439970.2500690427</v>
      </c>
      <c r="N11" s="10"/>
      <c r="O11" s="12">
        <f>SUM(O3:O10)</f>
        <v>185497417.6041578</v>
      </c>
      <c r="P11" s="13">
        <f>SUM(P3:P10)</f>
        <v>1</v>
      </c>
      <c r="Q11" s="10"/>
      <c r="R11" s="11">
        <f>SUM(R3:R10)</f>
        <v>3074999.9999999995</v>
      </c>
      <c r="S11" s="10"/>
      <c r="T11" s="17">
        <f>SUM(T3:T10)</f>
        <v>182422417.6041578</v>
      </c>
      <c r="U11" s="28">
        <f>T11-B11</f>
        <v>-3410349.3958421946</v>
      </c>
      <c r="V11" s="13">
        <f>U11/B11</f>
        <v>-0.018351711869210852</v>
      </c>
    </row>
    <row r="12" spans="2:21" ht="12.75">
      <c r="B12" s="4"/>
      <c r="C12" s="5"/>
      <c r="D12" s="4"/>
      <c r="E12" s="4"/>
      <c r="F12" s="4"/>
      <c r="G12" s="4"/>
      <c r="H12" s="4"/>
      <c r="I12" s="4"/>
      <c r="J12" s="4"/>
      <c r="K12" s="4"/>
      <c r="L12" s="5"/>
      <c r="M12" s="4"/>
      <c r="N12" s="5"/>
      <c r="O12" s="16"/>
      <c r="P12" s="5"/>
      <c r="Q12" s="5"/>
      <c r="R12" s="5"/>
      <c r="S12" s="5"/>
      <c r="T12" s="4"/>
      <c r="U12" s="29"/>
    </row>
    <row r="13" spans="1:22" s="55" customFormat="1" ht="12.75">
      <c r="A13" s="48" t="s">
        <v>36</v>
      </c>
      <c r="B13" s="49">
        <v>115977</v>
      </c>
      <c r="C13" s="50"/>
      <c r="D13" s="49">
        <v>1378.3309588046964</v>
      </c>
      <c r="E13" s="49">
        <v>1739.9869578816947</v>
      </c>
      <c r="F13" s="49">
        <v>2451.975333443076</v>
      </c>
      <c r="G13" s="49">
        <v>2295.956245467932</v>
      </c>
      <c r="H13" s="49">
        <v>2224.895725031365</v>
      </c>
      <c r="I13" s="49">
        <v>310.57400885204123</v>
      </c>
      <c r="J13" s="49">
        <v>310.57400885204123</v>
      </c>
      <c r="K13" s="49">
        <v>310.57400885204123</v>
      </c>
      <c r="L13" s="50"/>
      <c r="M13" s="49">
        <f>AVERAGE(D13:I13)</f>
        <v>1733.6198715801345</v>
      </c>
      <c r="N13" s="50"/>
      <c r="O13" s="51">
        <f>B13+M13-K13</f>
        <v>117400.04586272809</v>
      </c>
      <c r="P13" s="50"/>
      <c r="Q13" s="50"/>
      <c r="R13" s="50">
        <f>O13-T13</f>
        <v>1951.8839442585886</v>
      </c>
      <c r="S13" s="50"/>
      <c r="T13" s="52">
        <f>T5/O5*O13</f>
        <v>115448.1619184695</v>
      </c>
      <c r="U13" s="53">
        <f>T13-B13</f>
        <v>-528.838081530499</v>
      </c>
      <c r="V13" s="54">
        <f>U13/B13</f>
        <v>-0.004559853087513033</v>
      </c>
    </row>
    <row r="14" spans="1:22" s="55" customFormat="1" ht="12.75">
      <c r="A14" s="48" t="s">
        <v>37</v>
      </c>
      <c r="B14" s="49">
        <v>87415</v>
      </c>
      <c r="C14" s="50"/>
      <c r="D14" s="49">
        <v>1259.8934142938906</v>
      </c>
      <c r="E14" s="49">
        <v>1590.4729522244106</v>
      </c>
      <c r="F14" s="49">
        <v>2241.281424379388</v>
      </c>
      <c r="G14" s="49">
        <v>2098.668781031024</v>
      </c>
      <c r="H14" s="49">
        <v>2033.7143655893458</v>
      </c>
      <c r="I14" s="49">
        <v>283.88693289082784</v>
      </c>
      <c r="J14" s="49">
        <v>283.88693289082784</v>
      </c>
      <c r="K14" s="49">
        <v>283.88693289082784</v>
      </c>
      <c r="L14" s="50"/>
      <c r="M14" s="49">
        <f>AVERAGE(D14:I14)</f>
        <v>1584.652978401481</v>
      </c>
      <c r="N14" s="50"/>
      <c r="O14" s="51">
        <f>B14+M14-K14</f>
        <v>88715.76604551065</v>
      </c>
      <c r="P14" s="50"/>
      <c r="Q14" s="50"/>
      <c r="R14" s="50">
        <f>O14-T14</f>
        <v>1474.9813603080547</v>
      </c>
      <c r="S14" s="50"/>
      <c r="T14" s="52">
        <f>T6/O6*O14</f>
        <v>87240.7846852026</v>
      </c>
      <c r="U14" s="53">
        <f>T14-B14</f>
        <v>-174.21531479740224</v>
      </c>
      <c r="V14" s="54">
        <f>U14/B14</f>
        <v>-0.0019929681953600896</v>
      </c>
    </row>
    <row r="15" spans="1:22" s="55" customFormat="1" ht="12.75">
      <c r="A15" s="48" t="s">
        <v>38</v>
      </c>
      <c r="B15" s="49">
        <v>70405</v>
      </c>
      <c r="C15" s="50"/>
      <c r="D15" s="49">
        <v>1289.7649716100575</v>
      </c>
      <c r="E15" s="49">
        <v>1628.1824151148187</v>
      </c>
      <c r="F15" s="49">
        <v>2294.4212898397786</v>
      </c>
      <c r="G15" s="49">
        <v>2148.4273590734006</v>
      </c>
      <c r="H15" s="49">
        <v>2081.9329010203464</v>
      </c>
      <c r="I15" s="49">
        <v>290.6177759057601</v>
      </c>
      <c r="J15" s="49">
        <v>290.6177759057601</v>
      </c>
      <c r="K15" s="49">
        <v>290.6177759057601</v>
      </c>
      <c r="L15" s="50"/>
      <c r="M15" s="49">
        <f>AVERAGE(D15:I15)</f>
        <v>1622.224452094027</v>
      </c>
      <c r="N15" s="50"/>
      <c r="O15" s="51">
        <f>B15+M15-K15</f>
        <v>71736.60667618827</v>
      </c>
      <c r="P15" s="50"/>
      <c r="Q15" s="50"/>
      <c r="R15" s="50">
        <f>O15-T15</f>
        <v>1192.6871898378013</v>
      </c>
      <c r="S15" s="50"/>
      <c r="T15" s="52">
        <f>T7/O7*O15</f>
        <v>70543.91948635047</v>
      </c>
      <c r="U15" s="53">
        <f>T15-B15</f>
        <v>138.9194863504672</v>
      </c>
      <c r="V15" s="54">
        <f>U15/B15</f>
        <v>0.0019731480200336224</v>
      </c>
    </row>
    <row r="16" spans="1:22" ht="12.75">
      <c r="A16" s="3" t="s">
        <v>7</v>
      </c>
      <c r="B16" s="4">
        <v>3831</v>
      </c>
      <c r="C16" s="5"/>
      <c r="D16" s="4"/>
      <c r="E16" s="4"/>
      <c r="F16" s="4"/>
      <c r="G16" s="4"/>
      <c r="H16" s="4"/>
      <c r="I16" s="4"/>
      <c r="J16" s="4"/>
      <c r="K16" s="4"/>
      <c r="L16" s="5"/>
      <c r="M16" s="4"/>
      <c r="N16" s="5"/>
      <c r="O16" s="6">
        <f>B16+M16-K16</f>
        <v>3831</v>
      </c>
      <c r="P16" s="5"/>
      <c r="Q16" s="5"/>
      <c r="R16" s="5">
        <f>O16-T16</f>
        <v>63.693905189765246</v>
      </c>
      <c r="S16" s="5"/>
      <c r="T16" s="31">
        <f>T8/O8*O16</f>
        <v>3767.3060948102348</v>
      </c>
      <c r="U16" s="30">
        <f>T16-B16</f>
        <v>-63.693905189765246</v>
      </c>
      <c r="V16" s="13">
        <f>U16/B16</f>
        <v>-0.016625921479970045</v>
      </c>
    </row>
    <row r="17" spans="1:22" ht="26.25" thickBot="1">
      <c r="A17" s="3" t="s">
        <v>8</v>
      </c>
      <c r="B17" s="4">
        <v>301</v>
      </c>
      <c r="C17" s="5"/>
      <c r="D17" s="4"/>
      <c r="E17" s="4"/>
      <c r="F17" s="4"/>
      <c r="G17" s="4"/>
      <c r="H17" s="4"/>
      <c r="I17" s="4"/>
      <c r="J17" s="4"/>
      <c r="K17" s="4"/>
      <c r="L17" s="5"/>
      <c r="M17" s="4"/>
      <c r="N17" s="5"/>
      <c r="O17" s="6">
        <f>B17+M17-K17</f>
        <v>301</v>
      </c>
      <c r="P17" s="5"/>
      <c r="Q17" s="5"/>
      <c r="R17" s="5">
        <f>O17-T17</f>
        <v>0</v>
      </c>
      <c r="S17" s="5"/>
      <c r="T17" s="4">
        <f>T9/O9*O17</f>
        <v>301</v>
      </c>
      <c r="U17" s="30">
        <f>T17-B17</f>
        <v>0</v>
      </c>
      <c r="V17" s="13">
        <f>U17/B17</f>
        <v>0</v>
      </c>
    </row>
    <row r="18" spans="1:22" s="14" customFormat="1" ht="13.5" thickBot="1">
      <c r="A18" s="9" t="s">
        <v>9</v>
      </c>
      <c r="B18" s="17">
        <f>SUM(B13:B17)</f>
        <v>277929</v>
      </c>
      <c r="C18" s="10"/>
      <c r="D18" s="11">
        <f aca="true" t="shared" si="6" ref="D18:K18">SUM(D13:D17)</f>
        <v>3927.9893447086442</v>
      </c>
      <c r="E18" s="11">
        <f t="shared" si="6"/>
        <v>4958.642325220924</v>
      </c>
      <c r="F18" s="11">
        <f t="shared" si="6"/>
        <v>6987.6780476622425</v>
      </c>
      <c r="G18" s="11">
        <f t="shared" si="6"/>
        <v>6543.052385572357</v>
      </c>
      <c r="H18" s="11">
        <f t="shared" si="6"/>
        <v>6340.542991641058</v>
      </c>
      <c r="I18" s="11">
        <f t="shared" si="6"/>
        <v>885.0787176486292</v>
      </c>
      <c r="J18" s="11">
        <f t="shared" si="6"/>
        <v>885.0787176486292</v>
      </c>
      <c r="K18" s="11">
        <f t="shared" si="6"/>
        <v>885.0787176486292</v>
      </c>
      <c r="L18" s="10"/>
      <c r="M18" s="11">
        <f>SUM(M13:M17)</f>
        <v>4940.497302075642</v>
      </c>
      <c r="N18" s="10"/>
      <c r="O18" s="11">
        <f>SUM(O13:O17)</f>
        <v>281984.418584427</v>
      </c>
      <c r="P18" s="10"/>
      <c r="Q18" s="10"/>
      <c r="R18" s="10">
        <f>SUM(R13:R17)</f>
        <v>4683.24639959421</v>
      </c>
      <c r="S18" s="10"/>
      <c r="T18" s="17">
        <f>SUM(T13:T17)</f>
        <v>277301.17218483286</v>
      </c>
      <c r="U18" s="30">
        <f>T18-B18</f>
        <v>-627.8278151671402</v>
      </c>
      <c r="V18" s="13">
        <f>U18/B18</f>
        <v>-0.0022589503620246186</v>
      </c>
    </row>
    <row r="19" spans="2:21" ht="12.75">
      <c r="B19" s="4"/>
      <c r="C19" s="5"/>
      <c r="D19" s="4"/>
      <c r="E19" s="4"/>
      <c r="F19" s="4"/>
      <c r="G19" s="4"/>
      <c r="H19" s="4"/>
      <c r="I19" s="4"/>
      <c r="J19" s="4"/>
      <c r="K19" s="4"/>
      <c r="L19" s="5"/>
      <c r="M19" s="4"/>
      <c r="N19" s="5"/>
      <c r="O19" s="5"/>
      <c r="P19" s="5"/>
      <c r="Q19" s="5"/>
      <c r="R19" s="5"/>
      <c r="S19" s="5"/>
      <c r="T19" s="4"/>
      <c r="U19" s="16"/>
    </row>
    <row r="20" spans="2:21" ht="12.75">
      <c r="B20" s="18"/>
      <c r="T20" s="18"/>
      <c r="U20" s="16"/>
    </row>
    <row r="21" spans="1:20" s="46" customFormat="1" ht="12.75">
      <c r="A21" s="39" t="s">
        <v>31</v>
      </c>
      <c r="B21" s="43">
        <f>SUM(B5:B7)</f>
        <v>110395073</v>
      </c>
      <c r="C21" s="40"/>
      <c r="D21" s="40"/>
      <c r="E21" s="41">
        <v>15303.838197005201</v>
      </c>
      <c r="F21" s="41">
        <v>15303.838197005201</v>
      </c>
      <c r="G21" s="41">
        <v>291490.51296892064</v>
      </c>
      <c r="H21" s="41">
        <v>748716.8395323352</v>
      </c>
      <c r="I21" s="41">
        <v>489992.6561607639</v>
      </c>
      <c r="J21" s="41">
        <v>489992.6561607639</v>
      </c>
      <c r="K21" s="42">
        <v>489992.6561607639</v>
      </c>
      <c r="T21" s="47"/>
    </row>
    <row r="22" spans="1:20" s="38" customFormat="1" ht="12.75">
      <c r="A22" s="32" t="s">
        <v>30</v>
      </c>
      <c r="B22" s="44">
        <f>B5/$B$21</f>
        <v>0.3508998721346921</v>
      </c>
      <c r="D22" s="34">
        <f>D$5*$B22</f>
        <v>0</v>
      </c>
      <c r="E22" s="34">
        <f aca="true" t="shared" si="7" ref="E22:K22">E$5*$B22</f>
        <v>1884.372620003158</v>
      </c>
      <c r="F22" s="34">
        <f t="shared" si="7"/>
        <v>1884.372620003158</v>
      </c>
      <c r="G22" s="34">
        <f t="shared" si="7"/>
        <v>35891.43681202779</v>
      </c>
      <c r="H22" s="34">
        <f t="shared" si="7"/>
        <v>92190.04372550941</v>
      </c>
      <c r="I22" s="34">
        <f t="shared" si="7"/>
        <v>60333.14867721555</v>
      </c>
      <c r="J22" s="34">
        <f t="shared" si="7"/>
        <v>60333.14867721555</v>
      </c>
      <c r="K22" s="34">
        <f t="shared" si="7"/>
        <v>60333.14867721555</v>
      </c>
      <c r="T22" s="34"/>
    </row>
    <row r="23" spans="1:20" s="38" customFormat="1" ht="12.75">
      <c r="A23" s="32" t="s">
        <v>28</v>
      </c>
      <c r="B23" s="44">
        <f>B6/$B$21</f>
        <v>0.32074766597599874</v>
      </c>
      <c r="D23" s="34">
        <f aca="true" t="shared" si="8" ref="D23:K24">D$5*$B23</f>
        <v>0</v>
      </c>
      <c r="E23" s="34">
        <f t="shared" si="8"/>
        <v>1722.451809452612</v>
      </c>
      <c r="F23" s="34">
        <f t="shared" si="8"/>
        <v>1722.451809452612</v>
      </c>
      <c r="G23" s="34">
        <f t="shared" si="8"/>
        <v>32807.3490478904</v>
      </c>
      <c r="H23" s="34">
        <f t="shared" si="8"/>
        <v>84268.31611905557</v>
      </c>
      <c r="I23" s="34">
        <f t="shared" si="8"/>
        <v>55148.82778803548</v>
      </c>
      <c r="J23" s="34">
        <f t="shared" si="8"/>
        <v>55148.82778803548</v>
      </c>
      <c r="K23" s="34">
        <f t="shared" si="8"/>
        <v>55148.82778803548</v>
      </c>
      <c r="T23" s="34"/>
    </row>
    <row r="24" spans="1:11" s="38" customFormat="1" ht="12.75">
      <c r="A24" s="32" t="s">
        <v>29</v>
      </c>
      <c r="B24" s="44">
        <f>B7/$B$21</f>
        <v>0.3283524618893091</v>
      </c>
      <c r="D24" s="34">
        <f t="shared" si="8"/>
        <v>0</v>
      </c>
      <c r="E24" s="34">
        <f t="shared" si="8"/>
        <v>1763.2904370433719</v>
      </c>
      <c r="F24" s="34">
        <f t="shared" si="8"/>
        <v>1763.2904370433719</v>
      </c>
      <c r="G24" s="34">
        <f t="shared" si="8"/>
        <v>33585.19786935186</v>
      </c>
      <c r="H24" s="34">
        <f t="shared" si="8"/>
        <v>86266.28341242223</v>
      </c>
      <c r="I24" s="34">
        <f t="shared" si="8"/>
        <v>56456.383928499155</v>
      </c>
      <c r="J24" s="34">
        <f t="shared" si="8"/>
        <v>56456.383928499155</v>
      </c>
      <c r="K24" s="34">
        <f t="shared" si="8"/>
        <v>56456.383928499155</v>
      </c>
    </row>
    <row r="25" ht="12.75">
      <c r="B25" s="45"/>
    </row>
    <row r="26" spans="1:11" s="61" customFormat="1" ht="12.75">
      <c r="A26" s="56" t="s">
        <v>32</v>
      </c>
      <c r="B26" s="57" t="s">
        <v>33</v>
      </c>
      <c r="C26" s="58"/>
      <c r="D26" s="59">
        <v>3927.9893447086447</v>
      </c>
      <c r="E26" s="59">
        <v>4958.642325220924</v>
      </c>
      <c r="F26" s="59">
        <v>6987.678047662243</v>
      </c>
      <c r="G26" s="59">
        <v>6543.052385572357</v>
      </c>
      <c r="H26" s="59">
        <v>6340.542991641058</v>
      </c>
      <c r="I26" s="59">
        <v>885.0787176486292</v>
      </c>
      <c r="J26" s="59">
        <v>885.0787176486292</v>
      </c>
      <c r="K26" s="60">
        <v>885.0787176486292</v>
      </c>
    </row>
    <row r="27" spans="1:11" s="55" customFormat="1" ht="12.75">
      <c r="A27" s="48" t="s">
        <v>36</v>
      </c>
      <c r="B27" s="62">
        <f>B22</f>
        <v>0.3508998721346921</v>
      </c>
      <c r="D27" s="50">
        <f>$B27*D$26</f>
        <v>1378.3309588046964</v>
      </c>
      <c r="E27" s="50">
        <f aca="true" t="shared" si="9" ref="E27:K27">$B27*E$26</f>
        <v>1739.9869578816947</v>
      </c>
      <c r="F27" s="50">
        <f t="shared" si="9"/>
        <v>2451.975333443076</v>
      </c>
      <c r="G27" s="50">
        <f t="shared" si="9"/>
        <v>2295.956245467932</v>
      </c>
      <c r="H27" s="50">
        <f t="shared" si="9"/>
        <v>2224.895725031365</v>
      </c>
      <c r="I27" s="50">
        <f t="shared" si="9"/>
        <v>310.57400885204123</v>
      </c>
      <c r="J27" s="50">
        <f t="shared" si="9"/>
        <v>310.57400885204123</v>
      </c>
      <c r="K27" s="50">
        <f t="shared" si="9"/>
        <v>310.57400885204123</v>
      </c>
    </row>
    <row r="28" spans="1:11" s="55" customFormat="1" ht="12.75">
      <c r="A28" s="48" t="s">
        <v>37</v>
      </c>
      <c r="B28" s="62">
        <f>B23</f>
        <v>0.32074766597599874</v>
      </c>
      <c r="D28" s="50">
        <f aca="true" t="shared" si="10" ref="D28:K29">$B28*D$26</f>
        <v>1259.8934142938906</v>
      </c>
      <c r="E28" s="50">
        <f t="shared" si="10"/>
        <v>1590.4729522244106</v>
      </c>
      <c r="F28" s="50">
        <f t="shared" si="10"/>
        <v>2241.281424379388</v>
      </c>
      <c r="G28" s="50">
        <f t="shared" si="10"/>
        <v>2098.668781031024</v>
      </c>
      <c r="H28" s="50">
        <f t="shared" si="10"/>
        <v>2033.7143655893458</v>
      </c>
      <c r="I28" s="50">
        <f t="shared" si="10"/>
        <v>283.88693289082784</v>
      </c>
      <c r="J28" s="50">
        <f t="shared" si="10"/>
        <v>283.88693289082784</v>
      </c>
      <c r="K28" s="50">
        <f t="shared" si="10"/>
        <v>283.88693289082784</v>
      </c>
    </row>
    <row r="29" spans="1:11" s="55" customFormat="1" ht="12.75">
      <c r="A29" s="48" t="s">
        <v>29</v>
      </c>
      <c r="B29" s="62">
        <f>B24</f>
        <v>0.3283524618893091</v>
      </c>
      <c r="D29" s="50">
        <f t="shared" si="10"/>
        <v>1289.7649716100575</v>
      </c>
      <c r="E29" s="50">
        <f t="shared" si="10"/>
        <v>1628.1824151148187</v>
      </c>
      <c r="F29" s="50">
        <f t="shared" si="10"/>
        <v>2294.4212898397786</v>
      </c>
      <c r="G29" s="50">
        <f t="shared" si="10"/>
        <v>2148.4273590734006</v>
      </c>
      <c r="H29" s="50">
        <f t="shared" si="10"/>
        <v>2081.9329010203464</v>
      </c>
      <c r="I29" s="50">
        <f t="shared" si="10"/>
        <v>290.6177759057601</v>
      </c>
      <c r="J29" s="50">
        <f t="shared" si="10"/>
        <v>290.6177759057601</v>
      </c>
      <c r="K29" s="50">
        <f t="shared" si="10"/>
        <v>290.6177759057601</v>
      </c>
    </row>
  </sheetData>
  <sheetProtection/>
  <mergeCells count="1">
    <mergeCell ref="D1:M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C29" sqref="C29"/>
    </sheetView>
  </sheetViews>
  <sheetFormatPr defaultColWidth="9.140625" defaultRowHeight="15"/>
  <cols>
    <col min="1" max="1" width="18.57421875" style="20" customWidth="1"/>
    <col min="2" max="6" width="10.7109375" style="19" customWidth="1"/>
    <col min="7" max="7" width="10.7109375" style="20" customWidth="1"/>
    <col min="8" max="16384" width="9.140625" style="19" customWidth="1"/>
  </cols>
  <sheetData>
    <row r="1" spans="1:7" ht="15">
      <c r="A1" s="73" t="s">
        <v>27</v>
      </c>
      <c r="B1" s="73"/>
      <c r="C1" s="73"/>
      <c r="D1" s="73"/>
      <c r="E1" s="73"/>
      <c r="F1" s="73"/>
      <c r="G1" s="73"/>
    </row>
    <row r="2" spans="1:7" s="20" customFormat="1" ht="25.5">
      <c r="A2" s="21"/>
      <c r="B2" s="22" t="s">
        <v>19</v>
      </c>
      <c r="C2" s="70" t="s">
        <v>20</v>
      </c>
      <c r="D2" s="70"/>
      <c r="E2" s="22" t="s">
        <v>19</v>
      </c>
      <c r="F2" s="22" t="s">
        <v>21</v>
      </c>
      <c r="G2" s="22" t="s">
        <v>19</v>
      </c>
    </row>
    <row r="3" spans="1:7" s="20" customFormat="1" ht="15">
      <c r="A3" s="71"/>
      <c r="B3" s="22" t="s">
        <v>0</v>
      </c>
      <c r="C3" s="22" t="s">
        <v>35</v>
      </c>
      <c r="D3" s="22">
        <v>2013</v>
      </c>
      <c r="E3" s="22" t="s">
        <v>11</v>
      </c>
      <c r="F3" s="72" t="s">
        <v>25</v>
      </c>
      <c r="G3" s="22" t="s">
        <v>14</v>
      </c>
    </row>
    <row r="4" spans="1:7" s="20" customFormat="1" ht="15">
      <c r="A4" s="71"/>
      <c r="B4" s="22" t="s">
        <v>22</v>
      </c>
      <c r="C4" s="22" t="s">
        <v>23</v>
      </c>
      <c r="D4" s="22" t="s">
        <v>24</v>
      </c>
      <c r="E4" s="22" t="s">
        <v>0</v>
      </c>
      <c r="F4" s="72"/>
      <c r="G4" s="22" t="s">
        <v>0</v>
      </c>
    </row>
    <row r="5" spans="1:7" s="20" customFormat="1" ht="15">
      <c r="A5" s="64"/>
      <c r="B5" s="65" t="s">
        <v>39</v>
      </c>
      <c r="C5" s="65" t="s">
        <v>40</v>
      </c>
      <c r="D5" s="65" t="s">
        <v>41</v>
      </c>
      <c r="E5" s="65" t="s">
        <v>42</v>
      </c>
      <c r="F5" s="66" t="s">
        <v>43</v>
      </c>
      <c r="G5" s="65" t="s">
        <v>44</v>
      </c>
    </row>
    <row r="6" spans="1:7" ht="15">
      <c r="A6" s="21" t="s">
        <v>2</v>
      </c>
      <c r="B6" s="23">
        <f>CDM_Adjusted!B3</f>
        <v>50534380</v>
      </c>
      <c r="C6" s="23">
        <f>CDM_Adjusted!M3</f>
        <v>962351.0746951558</v>
      </c>
      <c r="D6" s="24">
        <f>CDM_Adjusted!K3</f>
        <v>937854.3010269759</v>
      </c>
      <c r="E6" s="24">
        <f>CDM_Adjusted!O3</f>
        <v>50558876.77366818</v>
      </c>
      <c r="F6" s="23">
        <f>CDM_Adjusted!R3</f>
        <v>840587.9153544862</v>
      </c>
      <c r="G6" s="25">
        <f>CDM_Adjusted!T3</f>
        <v>49718288.858313695</v>
      </c>
    </row>
    <row r="7" spans="1:7" ht="15">
      <c r="A7" s="21" t="s">
        <v>3</v>
      </c>
      <c r="B7" s="23">
        <f>CDM_Adjusted!B4</f>
        <v>22935224</v>
      </c>
      <c r="C7" s="23">
        <f>CDM_Adjusted!M4</f>
        <v>326226.84179682296</v>
      </c>
      <c r="D7" s="24">
        <f>CDM_Adjusted!K4</f>
        <v>508241.8921576416</v>
      </c>
      <c r="E7" s="24">
        <f>CDM_Adjusted!O4</f>
        <v>22753208.949639183</v>
      </c>
      <c r="F7" s="23">
        <f>CDM_Adjusted!R4</f>
        <v>378293.06541405176</v>
      </c>
      <c r="G7" s="25">
        <f>CDM_Adjusted!T4</f>
        <v>22374915.88422513</v>
      </c>
    </row>
    <row r="8" spans="1:7" ht="15">
      <c r="A8" s="21" t="s">
        <v>30</v>
      </c>
      <c r="B8" s="23">
        <f>CDM_Adjusted!B5</f>
        <v>38737617</v>
      </c>
      <c r="C8" s="23">
        <f>CDM_Adjusted!M5</f>
        <v>109537.44342260114</v>
      </c>
      <c r="D8" s="24">
        <f>CDM_Adjusted!K5</f>
        <v>171938.3603937502</v>
      </c>
      <c r="E8" s="24">
        <f>CDM_Adjusted!O5</f>
        <v>38675216.08302885</v>
      </c>
      <c r="F8" s="23">
        <f>CDM_Adjusted!R5</f>
        <v>643011.1058173106</v>
      </c>
      <c r="G8" s="25">
        <f>CDM_Adjusted!T5</f>
        <v>38032204.97721154</v>
      </c>
    </row>
    <row r="9" spans="1:7" ht="15">
      <c r="A9" s="21" t="s">
        <v>28</v>
      </c>
      <c r="B9" s="23">
        <f>CDM_Adjusted!B6</f>
        <v>35408962</v>
      </c>
      <c r="C9" s="23">
        <f>CDM_Adjusted!M6</f>
        <v>100125.08440382467</v>
      </c>
      <c r="D9" s="24">
        <f>CDM_Adjusted!K6</f>
        <v>157164.0008089451</v>
      </c>
      <c r="E9" s="24">
        <f>CDM_Adjusted!O6</f>
        <v>35351923.08359488</v>
      </c>
      <c r="F9" s="23">
        <f>CDM_Adjusted!R6</f>
        <v>587758.2973537875</v>
      </c>
      <c r="G9" s="25">
        <f>CDM_Adjusted!T6</f>
        <v>34764164.78624109</v>
      </c>
    </row>
    <row r="10" spans="1:7" ht="15">
      <c r="A10" s="21" t="s">
        <v>29</v>
      </c>
      <c r="B10" s="23">
        <f>CDM_Adjusted!B7</f>
        <v>36248494</v>
      </c>
      <c r="C10" s="23">
        <f>CDM_Adjusted!M7</f>
        <v>102499.00918478018</v>
      </c>
      <c r="D10" s="24">
        <f>CDM_Adjusted!K7</f>
        <v>160890.29495806855</v>
      </c>
      <c r="E10" s="24">
        <f>CDM_Adjusted!O7</f>
        <v>36190102.71422671</v>
      </c>
      <c r="F10" s="23">
        <f>CDM_Adjusted!R7</f>
        <v>601693.8060787825</v>
      </c>
      <c r="G10" s="25">
        <f>CDM_Adjusted!T7</f>
        <v>35588408.90814792</v>
      </c>
    </row>
    <row r="11" spans="1:7" ht="15">
      <c r="A11" s="21" t="s">
        <v>7</v>
      </c>
      <c r="B11" s="23">
        <f>CDM_Adjusted!B8</f>
        <v>1422827</v>
      </c>
      <c r="C11" s="23">
        <f>CDM_Adjusted!M8</f>
        <v>0</v>
      </c>
      <c r="D11" s="24">
        <f>CDM_Adjusted!K8</f>
        <v>0</v>
      </c>
      <c r="E11" s="24">
        <f>CDM_Adjusted!O8</f>
        <v>1422827</v>
      </c>
      <c r="F11" s="23">
        <f>CDM_Adjusted!R8</f>
        <v>23655.80998158128</v>
      </c>
      <c r="G11" s="25">
        <f>CDM_Adjusted!T8</f>
        <v>1399171.1900184187</v>
      </c>
    </row>
    <row r="12" spans="1:7" ht="15">
      <c r="A12" s="21" t="s">
        <v>8</v>
      </c>
      <c r="B12" s="23">
        <f>CDM_Adjusted!B9</f>
        <v>118423</v>
      </c>
      <c r="C12" s="23">
        <f>CDM_Adjusted!M9</f>
        <v>0</v>
      </c>
      <c r="D12" s="24">
        <f>CDM_Adjusted!K9</f>
        <v>0</v>
      </c>
      <c r="E12" s="24">
        <f>CDM_Adjusted!O9</f>
        <v>118423</v>
      </c>
      <c r="F12" s="23">
        <f>CDM_Adjusted!R9</f>
        <v>0</v>
      </c>
      <c r="G12" s="25">
        <f>CDM_Adjusted!T9</f>
        <v>118423</v>
      </c>
    </row>
    <row r="13" spans="1:7" ht="15">
      <c r="A13" s="21" t="s">
        <v>6</v>
      </c>
      <c r="B13" s="23">
        <f>CDM_Adjusted!B10</f>
        <v>426840</v>
      </c>
      <c r="C13" s="23">
        <f>CDM_Adjusted!M10</f>
        <v>0</v>
      </c>
      <c r="D13" s="24">
        <f>CDM_Adjusted!K10</f>
        <v>0</v>
      </c>
      <c r="E13" s="24">
        <f>CDM_Adjusted!O10</f>
        <v>426840</v>
      </c>
      <c r="F13" s="23">
        <f>CDM_Adjusted!R10</f>
        <v>0</v>
      </c>
      <c r="G13" s="25">
        <f>CDM_Adjusted!T10</f>
        <v>426840</v>
      </c>
    </row>
    <row r="14" spans="1:7" s="20" customFormat="1" ht="15">
      <c r="A14" s="26" t="s">
        <v>10</v>
      </c>
      <c r="B14" s="25">
        <f>CDM_Adjusted!B11</f>
        <v>185832767</v>
      </c>
      <c r="C14" s="25">
        <f>CDM_Adjusted!M11</f>
        <v>1439970.2500690427</v>
      </c>
      <c r="D14" s="27">
        <f>CDM_Adjusted!K11</f>
        <v>1936088.8493453814</v>
      </c>
      <c r="E14" s="27">
        <f>CDM_Adjusted!O11</f>
        <v>185497417.6041578</v>
      </c>
      <c r="F14" s="25">
        <f>CDM_Adjusted!R11</f>
        <v>3074999.9999999995</v>
      </c>
      <c r="G14" s="25">
        <f>CDM_Adjusted!T11</f>
        <v>182422417.6041578</v>
      </c>
    </row>
    <row r="16" spans="1:7" ht="15">
      <c r="A16" s="73" t="s">
        <v>34</v>
      </c>
      <c r="B16" s="73"/>
      <c r="C16" s="73"/>
      <c r="D16" s="73"/>
      <c r="E16" s="73"/>
      <c r="F16" s="73"/>
      <c r="G16" s="73"/>
    </row>
    <row r="17" spans="1:7" ht="26.25" customHeight="1">
      <c r="A17" s="21"/>
      <c r="B17" s="22" t="s">
        <v>19</v>
      </c>
      <c r="C17" s="70" t="s">
        <v>20</v>
      </c>
      <c r="D17" s="70"/>
      <c r="E17" s="22" t="s">
        <v>19</v>
      </c>
      <c r="F17" s="22" t="s">
        <v>21</v>
      </c>
      <c r="G17" s="22" t="s">
        <v>19</v>
      </c>
    </row>
    <row r="18" spans="1:7" ht="15">
      <c r="A18" s="71"/>
      <c r="B18" s="22" t="s">
        <v>0</v>
      </c>
      <c r="C18" s="22" t="s">
        <v>35</v>
      </c>
      <c r="D18" s="22">
        <v>2013</v>
      </c>
      <c r="E18" s="22" t="s">
        <v>11</v>
      </c>
      <c r="F18" s="72" t="s">
        <v>26</v>
      </c>
      <c r="G18" s="22" t="s">
        <v>14</v>
      </c>
    </row>
    <row r="19" spans="1:7" ht="15">
      <c r="A19" s="71"/>
      <c r="B19" s="22" t="s">
        <v>22</v>
      </c>
      <c r="C19" s="22" t="s">
        <v>23</v>
      </c>
      <c r="D19" s="22" t="s">
        <v>24</v>
      </c>
      <c r="E19" s="22" t="s">
        <v>0</v>
      </c>
      <c r="F19" s="72"/>
      <c r="G19" s="22" t="s">
        <v>0</v>
      </c>
    </row>
    <row r="20" spans="1:7" ht="15">
      <c r="A20" s="64"/>
      <c r="B20" s="65" t="s">
        <v>39</v>
      </c>
      <c r="C20" s="65" t="s">
        <v>40</v>
      </c>
      <c r="D20" s="65" t="s">
        <v>41</v>
      </c>
      <c r="E20" s="65" t="s">
        <v>42</v>
      </c>
      <c r="F20" s="66" t="s">
        <v>43</v>
      </c>
      <c r="G20" s="65" t="s">
        <v>44</v>
      </c>
    </row>
    <row r="21" spans="1:10" ht="15">
      <c r="A21" s="21" t="s">
        <v>36</v>
      </c>
      <c r="B21" s="23">
        <f>CDM_Adjusted!B13</f>
        <v>115977</v>
      </c>
      <c r="C21" s="23">
        <f>CDM_Adjusted!M13</f>
        <v>1733.6198715801345</v>
      </c>
      <c r="D21" s="24">
        <f>CDM_Adjusted!K13</f>
        <v>310.57400885204123</v>
      </c>
      <c r="E21" s="24">
        <f>CDM_Adjusted!O13</f>
        <v>117400.04586272809</v>
      </c>
      <c r="F21" s="23">
        <f>CDM_Adjusted!R13</f>
        <v>1951.8839442585886</v>
      </c>
      <c r="G21" s="25">
        <f>CDM_Adjusted!T13</f>
        <v>115448.1619184695</v>
      </c>
      <c r="J21" s="67"/>
    </row>
    <row r="22" spans="1:7" ht="15">
      <c r="A22" s="21" t="s">
        <v>37</v>
      </c>
      <c r="B22" s="23">
        <f>CDM_Adjusted!B14</f>
        <v>87415</v>
      </c>
      <c r="C22" s="23">
        <f>CDM_Adjusted!M14</f>
        <v>1584.652978401481</v>
      </c>
      <c r="D22" s="24">
        <f>CDM_Adjusted!K14</f>
        <v>283.88693289082784</v>
      </c>
      <c r="E22" s="24">
        <f>CDM_Adjusted!O14</f>
        <v>88715.76604551065</v>
      </c>
      <c r="F22" s="23">
        <f>CDM_Adjusted!R14</f>
        <v>1474.9813603080547</v>
      </c>
      <c r="G22" s="25">
        <f>CDM_Adjusted!T14</f>
        <v>87240.7846852026</v>
      </c>
    </row>
    <row r="23" spans="1:7" ht="15">
      <c r="A23" s="21" t="s">
        <v>38</v>
      </c>
      <c r="B23" s="23">
        <f>CDM_Adjusted!B15</f>
        <v>70405</v>
      </c>
      <c r="C23" s="23">
        <f>CDM_Adjusted!M15</f>
        <v>1622.224452094027</v>
      </c>
      <c r="D23" s="24">
        <f>CDM_Adjusted!K15</f>
        <v>290.6177759057601</v>
      </c>
      <c r="E23" s="24">
        <f>CDM_Adjusted!O15</f>
        <v>71736.60667618827</v>
      </c>
      <c r="F23" s="23">
        <f>CDM_Adjusted!R15</f>
        <v>1192.6871898378013</v>
      </c>
      <c r="G23" s="25">
        <f>CDM_Adjusted!T15</f>
        <v>70543.91948635047</v>
      </c>
    </row>
    <row r="24" spans="1:7" ht="15">
      <c r="A24" s="21" t="s">
        <v>7</v>
      </c>
      <c r="B24" s="23">
        <f>CDM_Adjusted!B16</f>
        <v>3831</v>
      </c>
      <c r="C24" s="23">
        <f>CDM_Adjusted!M16</f>
        <v>0</v>
      </c>
      <c r="D24" s="24">
        <f>CDM_Adjusted!K16</f>
        <v>0</v>
      </c>
      <c r="E24" s="24">
        <f>CDM_Adjusted!O16</f>
        <v>3831</v>
      </c>
      <c r="F24" s="23">
        <f>CDM_Adjusted!R16</f>
        <v>63.693905189765246</v>
      </c>
      <c r="G24" s="25">
        <f>CDM_Adjusted!T16</f>
        <v>3767.3060948102348</v>
      </c>
    </row>
    <row r="25" spans="1:7" ht="15">
      <c r="A25" s="21" t="s">
        <v>8</v>
      </c>
      <c r="B25" s="23">
        <f>CDM_Adjusted!B17</f>
        <v>301</v>
      </c>
      <c r="C25" s="23">
        <f>CDM_Adjusted!M17</f>
        <v>0</v>
      </c>
      <c r="D25" s="24">
        <f>CDM_Adjusted!K17</f>
        <v>0</v>
      </c>
      <c r="E25" s="24">
        <f>CDM_Adjusted!O17</f>
        <v>301</v>
      </c>
      <c r="F25" s="23">
        <f>CDM_Adjusted!R17</f>
        <v>0</v>
      </c>
      <c r="G25" s="25">
        <f>CDM_Adjusted!T17</f>
        <v>301</v>
      </c>
    </row>
    <row r="26" spans="1:7" s="20" customFormat="1" ht="15">
      <c r="A26" s="26" t="s">
        <v>9</v>
      </c>
      <c r="B26" s="25">
        <f>CDM_Adjusted!B18</f>
        <v>277929</v>
      </c>
      <c r="C26" s="25">
        <f>CDM_Adjusted!M18</f>
        <v>4940.497302075642</v>
      </c>
      <c r="D26" s="27">
        <f>CDM_Adjusted!K18</f>
        <v>885.0787176486292</v>
      </c>
      <c r="E26" s="27">
        <f>CDM_Adjusted!O18</f>
        <v>281984.418584427</v>
      </c>
      <c r="F26" s="25">
        <f>CDM_Adjusted!R18</f>
        <v>4683.24639959421</v>
      </c>
      <c r="G26" s="25">
        <f>CDM_Adjusted!T18</f>
        <v>277301.17218483286</v>
      </c>
    </row>
    <row r="29" ht="15">
      <c r="B29" s="68">
        <f>B21/B8</f>
        <v>0.0029939115769563214</v>
      </c>
    </row>
    <row r="30" ht="15">
      <c r="B30" s="68">
        <f>B22/B9</f>
        <v>0.0024687252905069624</v>
      </c>
    </row>
    <row r="31" ht="15">
      <c r="B31" s="68">
        <f>B23/B10</f>
        <v>0.0019422875885547134</v>
      </c>
    </row>
  </sheetData>
  <sheetProtection/>
  <mergeCells count="8">
    <mergeCell ref="C17:D17"/>
    <mergeCell ref="A18:A19"/>
    <mergeCell ref="F18:F19"/>
    <mergeCell ref="A1:G1"/>
    <mergeCell ref="A16:G16"/>
    <mergeCell ref="C2:D2"/>
    <mergeCell ref="A3:A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Marc-Antoine Fleury</dc:creator>
  <cp:keywords/>
  <dc:description/>
  <cp:lastModifiedBy>SMcGuire</cp:lastModifiedBy>
  <cp:lastPrinted>2012-08-07T13:30:16Z</cp:lastPrinted>
  <dcterms:created xsi:type="dcterms:W3CDTF">2012-08-03T17:47:00Z</dcterms:created>
  <dcterms:modified xsi:type="dcterms:W3CDTF">2013-02-28T19:11:08Z</dcterms:modified>
  <cp:category/>
  <cp:version/>
  <cp:contentType/>
  <cp:contentStatus/>
</cp:coreProperties>
</file>