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21075" windowHeight="1048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O15" i="5" l="1"/>
  <c r="M15" i="5"/>
  <c r="K15" i="5"/>
  <c r="N6" i="7" l="1"/>
  <c r="M6" i="7"/>
  <c r="K6" i="7"/>
  <c r="L6" i="7"/>
  <c r="L8" i="7"/>
  <c r="K8" i="7"/>
  <c r="J8" i="7"/>
  <c r="I8" i="7"/>
  <c r="H8" i="7"/>
  <c r="O10" i="5" l="1"/>
  <c r="M10" i="5"/>
  <c r="Q7" i="5"/>
  <c r="O9" i="5"/>
  <c r="O7" i="5"/>
  <c r="M9" i="5"/>
  <c r="M7" i="5"/>
  <c r="K7" i="5"/>
  <c r="K10" i="5"/>
  <c r="K9" i="5"/>
  <c r="I7" i="5"/>
  <c r="G7" i="5"/>
  <c r="Q5" i="5"/>
  <c r="O5" i="5"/>
  <c r="M5" i="5"/>
  <c r="K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<sst xmlns="http://schemas.openxmlformats.org/spreadsheetml/2006/main" count="1144" uniqueCount="188">
  <si>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</si>
  <si>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</si>
  <si>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</si>
  <si>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</si>
  <si>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</si>
  <si>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</si>
  <si>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</si>
  <si>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</si>
  <si>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</si>
  <si>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</si>
  <si>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</si>
  <si>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</si>
  <si>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</si>
  <si>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</si>
  <si>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</si>
  <si>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</si>
  <si>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</si>
  <si>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</si>
  <si>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</si>
  <si>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</si>
  <si>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</si>
  <si>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</si>
  <si>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</si>
  <si>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</si>
  <si>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</si>
  <si>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</si>
  <si>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</si>
  <si>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</si>
  <si>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</si>
  <si>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</si>
  <si>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</si>
  <si>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</si>
  <si>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</si>
  <si>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</si>
  <si>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</si>
  <si>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</si>
  <si>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</si>
  <si>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</si>
  <si>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</si>
  <si>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</si>
  <si>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</si>
  <si>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</si>
  <si>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</si>
  <si>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</si>
  <si>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</si>
  <si>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</si>
  <si>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</si>
  <si>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</si>
  <si>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</si>
  <si>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</si>
  <si>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</si>
  <si>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</si>
  <si>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</si>
  <si>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</si>
  <si>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</si>
  <si>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</si>
  <si>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</si>
  <si>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</si>
  <si>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</si>
  <si>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</si>
  <si>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</si>
  <si>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</si>
  <si>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</si>
  <si>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</si>
  <si>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</si>
  <si>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</si>
  <si>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</si>
  <si>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</si>
  <si>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</si>
  <si>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</si>
  <si>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</si>
  <si>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</si>
  <si>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</si>
  <si>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</si>
  <si>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</si>
  <si>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</si>
  <si>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</si>
  <si>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</si>
  <si>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</si>
  <si>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</si>
  <si>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</si>
  <si>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</si>
  <si>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</si>
  <si>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</si>
  <si>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</si>
  <si>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</si>
  <si>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</si>
  <si>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</si>
  <si>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</si>
  <si>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</si>
  <si>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</si>
  <si>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</si>
  <si>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</si>
  <si>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</si>
  <si>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</si>
  <si>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</si>
  <si>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</si>
  <si>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</si>
  <si>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</si>
  <si>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</si>
  <si>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</si>
  <si>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</si>
  <si>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</si>
  <si>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</si>
  <si>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</si>
  <si>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</si>
  <si>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</si>
  <si>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</si>
  <si>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</si>
  <si>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</si>
  <si>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</si>
  <si>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</si>
  <si>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</si>
  <si>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</si>
  <si>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</si>
  <si>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</si>
  <si>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</si>
  <si>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</si>
  <si>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</si>
  <si>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</si>
  <si>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</si>
  <si>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</si>
  <si>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</si>
  <si>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</si>
  <si>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</si>
  <si>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</si>
  <si>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</si>
  <si>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</si>
  <si>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</si>
  <si>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</si>
  <si>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</si>
  <si>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</si>
  <si>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</si>
  <si>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</si>
  <si>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</si>
  <si>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</si>
  <si>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</si>
  <si>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</si>
  <si>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</si>
  <si>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</si>
  <si>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</si>
  <si>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</si>
  <si>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</si>
  <si>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</si>
  <si>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</si>
  <si>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</si>
  <si>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</si>
  <si>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</si>
  <si>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</si>
  <si>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</si>
  <si>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</si>
  <si>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</si>
  <si>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</si>
  <si>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</si>
  <si>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</si>
  <si>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</si>
  <si>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</si>
  <si>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</si>
  <si>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</si>
  <si>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</si>
  <si>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</si>
  <si>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</si>
  <si>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</si>
  <si>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</si>
  <si>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</si>
  <si>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</si>
  <si>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</si>
  <si>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</si>
  <si>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</si>
  <si>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</si>
  <si>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</si>
  <si>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</si>
  <si>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</si>
  <si>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</si>
  <si>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</si>
  <si>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</si>
  <si>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</si>
  <si>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</si>
  <si>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</si>
  <si>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</si>
  <si>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</si>
  <si>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</si>
  <si>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</si>
  <si>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</si>
  <si>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Jacqueline A. Scott</t>
  </si>
  <si>
    <t>905-765-5211  ext. 2237</t>
  </si>
  <si>
    <t>jscott@hchydro.ca</t>
  </si>
  <si>
    <t>EB-2012-0272</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</si>
</sst>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15" fontId="0" fillId="4" borderId="9" xfId="0" applyNumberFormat="1"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9"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47</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Normal="100" zoomScaleSheetLayoutView="100" workbookViewId="0">
      <pane xSplit="3" ySplit="4" topLeftCell="N5" activePane="bottomRight" state="frozen"/>
      <selection pane="topRight" activeCell="D1" sqref="D1"/>
      <selection pane="bottomLeft" activeCell="A4" sqref="A4"/>
      <selection pane="bottomRight" activeCell="Q15" sqref="Q15"/>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Haldimand County Hydro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f>16583+1275</f>
        <v>17858</v>
      </c>
      <c r="L5" s="90">
        <f>J5+K5</f>
        <v>17858</v>
      </c>
      <c r="M5" s="103">
        <f>1703+758</f>
        <v>2461</v>
      </c>
      <c r="N5" s="90">
        <f>L5+M5</f>
        <v>20319</v>
      </c>
      <c r="O5" s="103">
        <f>238+316+76</f>
        <v>630</v>
      </c>
      <c r="P5" s="90">
        <f>N5+O5</f>
        <v>20949</v>
      </c>
      <c r="Q5" s="103">
        <f>11+12+6</f>
        <v>29</v>
      </c>
      <c r="R5" s="91">
        <f>P5+Q5</f>
        <v>20978</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f>8582+1608+306+57+67390+12624</f>
        <v>90567</v>
      </c>
      <c r="H7" s="92">
        <f t="shared" ref="H7:H12" si="1">F7+G7</f>
        <v>90567</v>
      </c>
      <c r="I7" s="104">
        <f>2859+1678+101+60+22454+13178</f>
        <v>40330</v>
      </c>
      <c r="J7" s="92">
        <f t="shared" ref="J7:J12" si="2">H7+I7</f>
        <v>130897</v>
      </c>
      <c r="K7" s="104">
        <f>103674+29185+70647+2893+490+2261+251+103+1342524+306106+499390+55418+22719</f>
        <v>2435661</v>
      </c>
      <c r="L7" s="92">
        <f t="shared" ref="L7:L12" si="3">J7+K7</f>
        <v>2566558</v>
      </c>
      <c r="M7" s="104">
        <f>240374+60344+1404+1963+47+479+172+50+70+2+17+280231+138745+11026+15416+367+3765</f>
        <v>754472</v>
      </c>
      <c r="N7" s="92">
        <f t="shared" ref="N7:N12" si="4">L7+M7</f>
        <v>3321030</v>
      </c>
      <c r="O7" s="104">
        <f>159687+37535+38+1210+13+3587+50945+32+1+43+127+41092+20154+302+9506+103+28163</f>
        <v>352538</v>
      </c>
      <c r="P7" s="92">
        <f t="shared" ref="P7:P12" si="5">N7+O7</f>
        <v>3673568</v>
      </c>
      <c r="Q7" s="104">
        <f>2954+484+4095+889+130</f>
        <v>8552</v>
      </c>
      <c r="R7" s="93">
        <f t="shared" ref="R7:R12" si="6">P7+Q7</f>
        <v>3682120</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f>477+17+3743</f>
        <v>4237</v>
      </c>
      <c r="L9" s="92">
        <f t="shared" si="3"/>
        <v>4237</v>
      </c>
      <c r="M9" s="104">
        <f>4686+167+36801</f>
        <v>41654</v>
      </c>
      <c r="N9" s="92">
        <f t="shared" si="4"/>
        <v>45891</v>
      </c>
      <c r="O9" s="104">
        <f>585+21+4597</f>
        <v>5203</v>
      </c>
      <c r="P9" s="92">
        <f t="shared" si="5"/>
        <v>51094</v>
      </c>
      <c r="Q9" s="104">
        <v>0</v>
      </c>
      <c r="R9" s="93">
        <f t="shared" si="6"/>
        <v>51094</v>
      </c>
    </row>
    <row r="10" spans="2:19" x14ac:dyDescent="0.25">
      <c r="B10" s="29" t="s">
        <v>128</v>
      </c>
      <c r="C10" s="57">
        <v>1925</v>
      </c>
      <c r="D10" s="104">
        <v>0</v>
      </c>
      <c r="E10" s="104">
        <v>0</v>
      </c>
      <c r="F10" s="92">
        <f t="shared" si="0"/>
        <v>0</v>
      </c>
      <c r="G10" s="104">
        <v>0</v>
      </c>
      <c r="H10" s="92">
        <f t="shared" si="1"/>
        <v>0</v>
      </c>
      <c r="I10" s="104">
        <v>0</v>
      </c>
      <c r="J10" s="92">
        <f t="shared" si="2"/>
        <v>0</v>
      </c>
      <c r="K10" s="104">
        <f>245+273+9+10+1925+2147</f>
        <v>4609</v>
      </c>
      <c r="L10" s="92">
        <f t="shared" si="3"/>
        <v>4609</v>
      </c>
      <c r="M10" s="104">
        <f>2294+497+893+81+18+32+18018+3901+7011</f>
        <v>32745</v>
      </c>
      <c r="N10" s="92">
        <f t="shared" si="4"/>
        <v>37354</v>
      </c>
      <c r="O10" s="104">
        <f>2528+66+225+90+2+8+19853+522+1767</f>
        <v>25061</v>
      </c>
      <c r="P10" s="92">
        <f t="shared" si="5"/>
        <v>62415</v>
      </c>
      <c r="Q10" s="104">
        <v>0</v>
      </c>
      <c r="R10" s="93">
        <f t="shared" si="6"/>
        <v>62415</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90567</v>
      </c>
      <c r="H13" s="96">
        <f t="shared" si="7"/>
        <v>90567</v>
      </c>
      <c r="I13" s="106">
        <f t="shared" si="7"/>
        <v>40330</v>
      </c>
      <c r="J13" s="96">
        <f t="shared" si="7"/>
        <v>130897</v>
      </c>
      <c r="K13" s="106">
        <f t="shared" si="7"/>
        <v>2444507</v>
      </c>
      <c r="L13" s="96">
        <f t="shared" si="7"/>
        <v>2575404</v>
      </c>
      <c r="M13" s="106">
        <f t="shared" si="7"/>
        <v>828871</v>
      </c>
      <c r="N13" s="96">
        <f t="shared" si="7"/>
        <v>3404275</v>
      </c>
      <c r="O13" s="106">
        <f t="shared" si="7"/>
        <v>382802</v>
      </c>
      <c r="P13" s="96">
        <f t="shared" si="7"/>
        <v>3787077</v>
      </c>
      <c r="Q13" s="106">
        <f t="shared" si="7"/>
        <v>8552</v>
      </c>
      <c r="R13" s="97">
        <f t="shared" si="7"/>
        <v>3795629</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-32579</v>
      </c>
      <c r="H15" s="92">
        <f>F15+G15</f>
        <v>-32579</v>
      </c>
      <c r="I15" s="104">
        <v>-12297</v>
      </c>
      <c r="J15" s="92">
        <f>H15+I15</f>
        <v>-44876</v>
      </c>
      <c r="K15" s="104">
        <f>-545547-2774-2750</f>
        <v>-551071</v>
      </c>
      <c r="L15" s="92">
        <f>J15+K15</f>
        <v>-595947</v>
      </c>
      <c r="M15" s="104">
        <f>-127508-19499-15351</f>
        <v>-162358</v>
      </c>
      <c r="N15" s="92">
        <f>L15+M15</f>
        <v>-758305</v>
      </c>
      <c r="O15" s="104">
        <f>-38389-1061-5020</f>
        <v>-44470</v>
      </c>
      <c r="P15" s="92">
        <f>N15+O15</f>
        <v>-802775</v>
      </c>
      <c r="Q15" s="104">
        <v>-485</v>
      </c>
      <c r="R15" s="93">
        <f>P15+Q15</f>
        <v>-803260</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-32579</v>
      </c>
      <c r="H19" s="96">
        <f t="shared" si="8"/>
        <v>-32579</v>
      </c>
      <c r="I19" s="106">
        <f t="shared" si="8"/>
        <v>-12297</v>
      </c>
      <c r="J19" s="96">
        <f t="shared" si="8"/>
        <v>-44876</v>
      </c>
      <c r="K19" s="106">
        <f t="shared" si="8"/>
        <v>-551071</v>
      </c>
      <c r="L19" s="96">
        <f t="shared" si="8"/>
        <v>-595947</v>
      </c>
      <c r="M19" s="106">
        <f t="shared" si="8"/>
        <v>-162358</v>
      </c>
      <c r="N19" s="96">
        <f t="shared" si="8"/>
        <v>-758305</v>
      </c>
      <c r="O19" s="106">
        <f t="shared" si="8"/>
        <v>-44470</v>
      </c>
      <c r="P19" s="96">
        <f t="shared" si="8"/>
        <v>-802775</v>
      </c>
      <c r="Q19" s="106">
        <f t="shared" si="8"/>
        <v>-485</v>
      </c>
      <c r="R19" s="97">
        <f t="shared" si="8"/>
        <v>-803260</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57988</v>
      </c>
      <c r="H21" s="98">
        <f t="shared" si="9"/>
        <v>57988</v>
      </c>
      <c r="I21" s="107">
        <f t="shared" si="9"/>
        <v>28033</v>
      </c>
      <c r="J21" s="98">
        <f t="shared" si="9"/>
        <v>86021</v>
      </c>
      <c r="K21" s="107">
        <f t="shared" si="9"/>
        <v>1893436</v>
      </c>
      <c r="L21" s="98">
        <f t="shared" si="9"/>
        <v>1979457</v>
      </c>
      <c r="M21" s="107">
        <f t="shared" si="9"/>
        <v>666513</v>
      </c>
      <c r="N21" s="98">
        <f t="shared" si="9"/>
        <v>2645970</v>
      </c>
      <c r="O21" s="107">
        <f t="shared" si="9"/>
        <v>338332</v>
      </c>
      <c r="P21" s="98">
        <f t="shared" si="9"/>
        <v>2984302</v>
      </c>
      <c r="Q21" s="107">
        <f t="shared" si="9"/>
        <v>8067</v>
      </c>
      <c r="R21" s="99">
        <f t="shared" si="9"/>
        <v>2992369</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v>41214</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7"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Haldimand County Hydro Inc.</v>
      </c>
    </row>
    <row r="2" spans="1:13" x14ac:dyDescent="0.25">
      <c r="A2" s="36"/>
      <c r="B2" s="39"/>
      <c r="C2" s="40"/>
      <c r="D2" s="169"/>
      <c r="E2" s="169"/>
      <c r="F2" s="169"/>
      <c r="G2" s="169" t="s">
        <v>134</v>
      </c>
      <c r="H2" s="169"/>
      <c r="I2" s="169"/>
      <c r="J2" s="169"/>
      <c r="K2" s="169"/>
      <c r="L2" s="169"/>
      <c r="M2" s="170"/>
    </row>
    <row r="3" spans="1:13" ht="15.75" thickBot="1" x14ac:dyDescent="0.3">
      <c r="A3" s="36"/>
      <c r="B3" s="41"/>
      <c r="C3" s="42"/>
      <c r="D3" s="171"/>
      <c r="E3" s="171"/>
      <c r="F3" s="171"/>
      <c r="G3" s="171"/>
      <c r="H3" s="171"/>
      <c r="I3" s="171"/>
      <c r="J3" s="171"/>
      <c r="K3" s="171"/>
      <c r="L3" s="171"/>
      <c r="M3" s="172"/>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3"/>
      <c r="C10" s="173"/>
      <c r="D10" s="48"/>
      <c r="E10" s="42"/>
      <c r="F10" s="42"/>
      <c r="G10" s="42"/>
      <c r="H10" s="42"/>
      <c r="I10" s="42"/>
      <c r="J10" s="42"/>
      <c r="K10" s="42"/>
      <c r="L10" s="42"/>
      <c r="M10" s="42"/>
    </row>
    <row r="11" spans="1:13" x14ac:dyDescent="0.25">
      <c r="B11" s="168"/>
      <c r="C11" s="168"/>
      <c r="D11" s="168"/>
    </row>
    <row r="12" spans="1:13" x14ac:dyDescent="0.25">
      <c r="B12" s="168"/>
      <c r="C12" s="168"/>
      <c r="D12" s="168"/>
    </row>
    <row r="13" spans="1:13" x14ac:dyDescent="0.25">
      <c r="B13" s="168"/>
      <c r="C13" s="168"/>
      <c r="D13" s="168"/>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J5" activePane="bottomRight" state="frozen"/>
      <selection pane="topRight" activeCell="D1" sqref="D1"/>
      <selection pane="bottomLeft" activeCell="A5" sqref="A5"/>
      <selection pane="bottomRight" activeCell="K8" sqref="K8"/>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Haldimand County Hydro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4" t="s">
        <v>141</v>
      </c>
      <c r="E3" s="175"/>
      <c r="F3" s="175"/>
      <c r="G3" s="176"/>
      <c r="H3" s="174" t="s">
        <v>141</v>
      </c>
      <c r="I3" s="175"/>
      <c r="J3" s="175"/>
      <c r="K3" s="175"/>
      <c r="L3" s="175"/>
      <c r="M3" s="175"/>
      <c r="N3" s="177"/>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Hydro One</v>
      </c>
      <c r="C6" s="73" t="str">
        <f>IF(LEN($B$6)=0,"","Distribution Charge Amounts (for LV Services)")</f>
        <v>Distribution Charge Amounts (for LV Services)</v>
      </c>
      <c r="D6" s="122">
        <v>0</v>
      </c>
      <c r="E6" s="122">
        <v>0</v>
      </c>
      <c r="F6" s="122">
        <v>0</v>
      </c>
      <c r="G6" s="122">
        <v>0</v>
      </c>
      <c r="H6" s="122">
        <v>0</v>
      </c>
      <c r="I6" s="122">
        <v>0</v>
      </c>
      <c r="J6" s="122">
        <v>0</v>
      </c>
      <c r="K6" s="122">
        <f>912189+1108802-73704</f>
        <v>1947287</v>
      </c>
      <c r="L6" s="122">
        <f>453325+93410-30429</f>
        <v>516306</v>
      </c>
      <c r="M6" s="122">
        <f>165488</f>
        <v>165488</v>
      </c>
      <c r="N6" s="123">
        <f>156499</f>
        <v>156499</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Norfolk Power</v>
      </c>
      <c r="C8" s="73" t="str">
        <f>IF(LEN($B$8)&gt;0,C6,"")</f>
        <v>Distribution Charge Amounts (for LV Services)</v>
      </c>
      <c r="D8" s="122">
        <v>0</v>
      </c>
      <c r="E8" s="122">
        <v>0</v>
      </c>
      <c r="F8" s="122">
        <v>0</v>
      </c>
      <c r="G8" s="122">
        <v>0</v>
      </c>
      <c r="H8" s="122">
        <f>54748.74</f>
        <v>54748.74</v>
      </c>
      <c r="I8" s="122">
        <f>82276</f>
        <v>82276</v>
      </c>
      <c r="J8" s="122">
        <f>73448</f>
        <v>73448</v>
      </c>
      <c r="K8" s="122">
        <f>59253</f>
        <v>59253</v>
      </c>
      <c r="L8" s="122">
        <f>29401</f>
        <v>29401</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8" t="s">
        <v>142</v>
      </c>
      <c r="D1" s="178"/>
      <c r="E1" s="178"/>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=Haldimand County Hydro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8" t="s">
        <v>181</v>
      </c>
      <c r="B1" s="178"/>
      <c r="C1" s="178"/>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=Haldimand County Hydro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=Haldimand County Hydro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=Haldimand County Hydro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=Haldimand County Hydro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=Haldimand County Hydro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=Haldimand County Hydro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=Haldimand County Hydro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=Haldimand County Hydro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=Haldimand County Hydro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=Haldimand County Hydro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Sherry Graham</cp:lastModifiedBy>
  <cp:lastPrinted>2013-03-06T20:45:23Z</cp:lastPrinted>
  <dcterms:created xsi:type="dcterms:W3CDTF">2013-02-20T13:45:42Z</dcterms:created>
  <dcterms:modified xsi:type="dcterms:W3CDTF">2013-03-06T20:45:25Z</dcterms:modified>
</cp:coreProperties>
</file>