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2" windowWidth="19032" windowHeight="11640" tabRatio="937" firstSheet="6"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G30" i="4" l="1"/>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30" i="4" s="1"/>
  <c r="D30" i="4" s="1"/>
  <c r="B28" i="14"/>
  <c r="D28" i="14" s="1"/>
  <c r="L30" i="4"/>
  <c r="Q28" i="3"/>
  <c r="B29" i="14"/>
  <c r="F29" i="14" s="1"/>
  <c r="B31" i="4"/>
  <c r="D31" i="4" s="1"/>
  <c r="J31" i="4" s="1"/>
  <c r="L31" i="4"/>
  <c r="L32" i="4"/>
  <c r="L33" i="4"/>
  <c r="L34" i="4"/>
  <c r="L35" i="4"/>
  <c r="L36" i="4"/>
  <c r="L37" i="4"/>
  <c r="L38" i="4"/>
  <c r="L39" i="4"/>
  <c r="L40" i="4"/>
  <c r="L41" i="4"/>
  <c r="L42" i="4"/>
  <c r="L43" i="4"/>
  <c r="L44" i="4"/>
  <c r="L45" i="4"/>
  <c r="L46" i="4"/>
  <c r="L47" i="4"/>
  <c r="L48" i="4"/>
  <c r="Q29" i="3"/>
  <c r="B30" i="14" s="1"/>
  <c r="Q30" i="3"/>
  <c r="B31" i="14" s="1"/>
  <c r="F31" i="14" s="1"/>
  <c r="Q31" i="3"/>
  <c r="B32" i="14" s="1"/>
  <c r="Q32" i="3"/>
  <c r="B33" i="14" s="1"/>
  <c r="F33" i="14" s="1"/>
  <c r="A1" i="5"/>
  <c r="A2" i="5"/>
  <c r="A4" i="5"/>
  <c r="A5" i="5"/>
  <c r="D29" i="14"/>
  <c r="D33" i="14"/>
  <c r="D24" i="8"/>
  <c r="E24" i="8"/>
  <c r="D43" i="8"/>
  <c r="E43" i="8"/>
  <c r="D25" i="8"/>
  <c r="D44" i="8"/>
  <c r="E44" i="8"/>
  <c r="D26" i="8"/>
  <c r="D45" i="8"/>
  <c r="D64" i="8" s="1"/>
  <c r="D27" i="8"/>
  <c r="D65" i="8" s="1"/>
  <c r="D46" i="8"/>
  <c r="D28" i="8"/>
  <c r="D47" i="8"/>
  <c r="D66" i="8" s="1"/>
  <c r="D29" i="8"/>
  <c r="D48" i="8"/>
  <c r="D30" i="8"/>
  <c r="D49" i="8"/>
  <c r="D68" i="8" s="1"/>
  <c r="D31" i="8"/>
  <c r="D69" i="8" s="1"/>
  <c r="D50" i="8"/>
  <c r="D32" i="8"/>
  <c r="D51" i="8"/>
  <c r="D70" i="8" s="1"/>
  <c r="D33" i="8"/>
  <c r="D71" i="8" s="1"/>
  <c r="D52" i="8"/>
  <c r="D34" i="8"/>
  <c r="D53" i="8"/>
  <c r="D72" i="8" s="1"/>
  <c r="D35" i="8"/>
  <c r="D54" i="8"/>
  <c r="B28" i="16"/>
  <c r="D28" i="16" s="1"/>
  <c r="B29" i="16"/>
  <c r="D29" i="16" s="1"/>
  <c r="B33" i="16"/>
  <c r="D33" i="16" s="1"/>
  <c r="D24" i="12"/>
  <c r="E24" i="12"/>
  <c r="D43" i="12"/>
  <c r="E43" i="12"/>
  <c r="D25" i="12"/>
  <c r="D63" i="12" s="1"/>
  <c r="D44" i="12"/>
  <c r="D26" i="12"/>
  <c r="D45" i="12"/>
  <c r="D27" i="12"/>
  <c r="D46" i="12"/>
  <c r="D28" i="12"/>
  <c r="D47" i="12"/>
  <c r="D29" i="12"/>
  <c r="D67" i="12" s="1"/>
  <c r="D48" i="12"/>
  <c r="D30" i="12"/>
  <c r="D49" i="12"/>
  <c r="D31" i="12"/>
  <c r="D50" i="12"/>
  <c r="D32" i="12"/>
  <c r="D70" i="12" s="1"/>
  <c r="D51" i="12"/>
  <c r="D33" i="12"/>
  <c r="D52" i="12"/>
  <c r="D34" i="12"/>
  <c r="D53" i="12"/>
  <c r="D35" i="12"/>
  <c r="D73" i="12" s="1"/>
  <c r="D54" i="12"/>
  <c r="B25" i="17"/>
  <c r="D25" i="17" s="1"/>
  <c r="B25" i="15"/>
  <c r="F25" i="15" s="1"/>
  <c r="B26" i="15"/>
  <c r="F26" i="15" s="1"/>
  <c r="B28" i="15"/>
  <c r="F28" i="15" s="1"/>
  <c r="B29" i="15"/>
  <c r="F29" i="15" s="1"/>
  <c r="B30" i="15"/>
  <c r="F30" i="15" s="1"/>
  <c r="B33" i="15"/>
  <c r="F33" i="15" s="1"/>
  <c r="H24" i="8"/>
  <c r="H62" i="8" s="1"/>
  <c r="I24" i="8"/>
  <c r="H43" i="8"/>
  <c r="I43" i="8"/>
  <c r="L24" i="8"/>
  <c r="L62" i="8" s="1"/>
  <c r="M24" i="8"/>
  <c r="L43" i="8"/>
  <c r="M43" i="8"/>
  <c r="H25" i="8"/>
  <c r="H44" i="8"/>
  <c r="L25" i="8"/>
  <c r="L63" i="8" s="1"/>
  <c r="L44" i="8"/>
  <c r="H26" i="8"/>
  <c r="H45" i="8"/>
  <c r="L26" i="8"/>
  <c r="L45" i="8"/>
  <c r="H27" i="8"/>
  <c r="H46" i="8"/>
  <c r="L27" i="8"/>
  <c r="L65" i="8" s="1"/>
  <c r="L46" i="8"/>
  <c r="H28" i="8"/>
  <c r="H47" i="8"/>
  <c r="H66" i="8" s="1"/>
  <c r="L28" i="8"/>
  <c r="L47" i="8"/>
  <c r="H29" i="8"/>
  <c r="H48" i="8"/>
  <c r="L29" i="8"/>
  <c r="L67" i="8" s="1"/>
  <c r="L48" i="8"/>
  <c r="H30" i="8"/>
  <c r="H49" i="8"/>
  <c r="L30" i="8"/>
  <c r="L49" i="8"/>
  <c r="H31" i="8"/>
  <c r="H50" i="8"/>
  <c r="L31" i="8"/>
  <c r="L50" i="8"/>
  <c r="H32" i="8"/>
  <c r="H51" i="8"/>
  <c r="H70" i="8" s="1"/>
  <c r="L32" i="8"/>
  <c r="L51" i="8"/>
  <c r="H33" i="8"/>
  <c r="H52" i="8"/>
  <c r="L33" i="8"/>
  <c r="L71" i="8" s="1"/>
  <c r="L52" i="8"/>
  <c r="H34" i="8"/>
  <c r="H53" i="8"/>
  <c r="L34" i="8"/>
  <c r="L53" i="8"/>
  <c r="H35" i="8"/>
  <c r="H54" i="8"/>
  <c r="L35" i="8"/>
  <c r="L73" i="8" s="1"/>
  <c r="L54" i="8"/>
  <c r="B26" i="17"/>
  <c r="D26" i="17" s="1"/>
  <c r="B27" i="17"/>
  <c r="D27" i="17" s="1"/>
  <c r="B28" i="17"/>
  <c r="D28" i="17" s="1"/>
  <c r="B29" i="17"/>
  <c r="D29" i="17" s="1"/>
  <c r="B30" i="17"/>
  <c r="D30" i="17" s="1"/>
  <c r="B33" i="17"/>
  <c r="D33" i="17" s="1"/>
  <c r="H24" i="12"/>
  <c r="I24" i="12"/>
  <c r="H43" i="12"/>
  <c r="H56" i="12" s="1"/>
  <c r="I43" i="12"/>
  <c r="L24" i="12"/>
  <c r="M24" i="12"/>
  <c r="L43" i="12"/>
  <c r="M43" i="12"/>
  <c r="H25" i="12"/>
  <c r="H44" i="12"/>
  <c r="L25" i="12"/>
  <c r="L44" i="12"/>
  <c r="L63" i="12" s="1"/>
  <c r="H26" i="12"/>
  <c r="H45" i="12"/>
  <c r="L26" i="12"/>
  <c r="L45" i="12"/>
  <c r="H27" i="12"/>
  <c r="H46" i="12"/>
  <c r="L27" i="12"/>
  <c r="L46" i="12"/>
  <c r="H28" i="12"/>
  <c r="H47" i="12"/>
  <c r="L28" i="12"/>
  <c r="L47" i="12"/>
  <c r="H29" i="12"/>
  <c r="H48" i="12"/>
  <c r="L29" i="12"/>
  <c r="L48" i="12"/>
  <c r="L67" i="12" s="1"/>
  <c r="H30" i="12"/>
  <c r="H49" i="12"/>
  <c r="L30" i="12"/>
  <c r="L49" i="12"/>
  <c r="H31" i="12"/>
  <c r="H50" i="12"/>
  <c r="L31" i="12"/>
  <c r="L50" i="12"/>
  <c r="H32" i="12"/>
  <c r="H51" i="12"/>
  <c r="L32" i="12"/>
  <c r="L51" i="12"/>
  <c r="H33" i="12"/>
  <c r="H52" i="12"/>
  <c r="L33" i="12"/>
  <c r="L52" i="12"/>
  <c r="L71" i="12" s="1"/>
  <c r="H34" i="12"/>
  <c r="H53" i="12"/>
  <c r="L34" i="12"/>
  <c r="L53" i="12"/>
  <c r="H35" i="12"/>
  <c r="H54" i="12"/>
  <c r="L35" i="12"/>
  <c r="L54" i="12"/>
  <c r="L73" i="12" s="1"/>
  <c r="B27" i="18"/>
  <c r="D27" i="18" s="1"/>
  <c r="B29" i="18"/>
  <c r="D29" i="18" s="1"/>
  <c r="B30" i="18"/>
  <c r="D30" i="18" s="1"/>
  <c r="B31" i="18"/>
  <c r="D31" i="18" s="1"/>
  <c r="B33" i="18"/>
  <c r="D33" i="18" s="1"/>
  <c r="B34" i="18"/>
  <c r="D34" i="18" s="1"/>
  <c r="L56" i="12"/>
  <c r="L69" i="12"/>
  <c r="L56" i="8"/>
  <c r="D67" i="8"/>
  <c r="L69" i="8"/>
  <c r="E24" i="9"/>
  <c r="I24" i="9"/>
  <c r="M24" i="9"/>
  <c r="P24" i="9"/>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E37" i="9" s="1"/>
  <c r="F37" i="9"/>
  <c r="H37" i="9"/>
  <c r="I37" i="9" s="1"/>
  <c r="J37" i="9"/>
  <c r="L37" i="9"/>
  <c r="M37" i="9" s="1"/>
  <c r="N37" i="9"/>
  <c r="E43" i="9"/>
  <c r="I43" i="9"/>
  <c r="M43" i="9"/>
  <c r="P43" i="9"/>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I52" i="9"/>
  <c r="M52" i="9"/>
  <c r="P52" i="9"/>
  <c r="E53" i="9"/>
  <c r="I53" i="9"/>
  <c r="M53" i="9"/>
  <c r="P53" i="9"/>
  <c r="E54" i="9"/>
  <c r="I54" i="9"/>
  <c r="M54" i="9"/>
  <c r="P54" i="9"/>
  <c r="D56" i="9"/>
  <c r="F56" i="9"/>
  <c r="H56" i="9"/>
  <c r="J56" i="9"/>
  <c r="L56" i="9"/>
  <c r="M56" i="9" s="1"/>
  <c r="N56" i="9"/>
  <c r="D62" i="9"/>
  <c r="E62" i="9" s="1"/>
  <c r="F62" i="9"/>
  <c r="H62" i="9"/>
  <c r="J62" i="9"/>
  <c r="L62" i="9"/>
  <c r="N62" i="9"/>
  <c r="D63" i="9"/>
  <c r="F63" i="9"/>
  <c r="H63" i="9"/>
  <c r="J63" i="9"/>
  <c r="L63" i="9"/>
  <c r="M63" i="9" s="1"/>
  <c r="N63" i="9"/>
  <c r="D64" i="9"/>
  <c r="F64" i="9"/>
  <c r="H64" i="9"/>
  <c r="J64" i="9"/>
  <c r="L64" i="9"/>
  <c r="M64" i="9" s="1"/>
  <c r="N64" i="9"/>
  <c r="D65" i="9"/>
  <c r="F65" i="9"/>
  <c r="H65" i="9"/>
  <c r="J65" i="9"/>
  <c r="L65" i="9"/>
  <c r="N65" i="9"/>
  <c r="D66" i="9"/>
  <c r="F66" i="9"/>
  <c r="H66" i="9"/>
  <c r="I66" i="9" s="1"/>
  <c r="J66" i="9"/>
  <c r="L66" i="9"/>
  <c r="N66" i="9"/>
  <c r="D67" i="9"/>
  <c r="F67" i="9"/>
  <c r="H67" i="9"/>
  <c r="J67" i="9"/>
  <c r="L67" i="9"/>
  <c r="N67" i="9"/>
  <c r="D68" i="9"/>
  <c r="F68" i="9"/>
  <c r="H68" i="9"/>
  <c r="J68" i="9"/>
  <c r="L68" i="9"/>
  <c r="N68" i="9"/>
  <c r="D69" i="9"/>
  <c r="E69" i="9" s="1"/>
  <c r="F69" i="9"/>
  <c r="H69" i="9"/>
  <c r="I69" i="9" s="1"/>
  <c r="J69" i="9"/>
  <c r="L69" i="9"/>
  <c r="M69" i="9" s="1"/>
  <c r="N69" i="9"/>
  <c r="D70" i="9"/>
  <c r="F70" i="9"/>
  <c r="H70" i="9"/>
  <c r="I70" i="9" s="1"/>
  <c r="J70" i="9"/>
  <c r="L70" i="9"/>
  <c r="M70" i="9" s="1"/>
  <c r="N70" i="9"/>
  <c r="D71" i="9"/>
  <c r="F71" i="9"/>
  <c r="H71" i="9"/>
  <c r="J71" i="9"/>
  <c r="L71" i="9"/>
  <c r="M71" i="9" s="1"/>
  <c r="N71" i="9"/>
  <c r="D72" i="9"/>
  <c r="F72" i="9"/>
  <c r="H72" i="9"/>
  <c r="J72" i="9"/>
  <c r="L72" i="9"/>
  <c r="M72" i="9" s="1"/>
  <c r="N72" i="9"/>
  <c r="D73" i="9"/>
  <c r="F73" i="9"/>
  <c r="H73" i="9"/>
  <c r="J73" i="9"/>
  <c r="L73" i="9"/>
  <c r="N73" i="9"/>
  <c r="E41" i="6"/>
  <c r="G41" i="6"/>
  <c r="I41" i="6"/>
  <c r="E57" i="6"/>
  <c r="G57" i="6"/>
  <c r="I57" i="6"/>
  <c r="J27" i="4"/>
  <c r="J28" i="4"/>
  <c r="J30" i="4"/>
  <c r="J32"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L65" i="12" l="1"/>
  <c r="L37" i="12"/>
  <c r="H37" i="12"/>
  <c r="M67" i="9"/>
  <c r="E64" i="9"/>
  <c r="M66" i="9"/>
  <c r="M62" i="9"/>
  <c r="H37" i="8"/>
  <c r="D73" i="8"/>
  <c r="D72" i="12"/>
  <c r="D68" i="12"/>
  <c r="D66" i="12"/>
  <c r="D64" i="12"/>
  <c r="D37" i="8"/>
  <c r="M73" i="9"/>
  <c r="P73" i="9"/>
  <c r="P71" i="9"/>
  <c r="P69" i="9"/>
  <c r="M68" i="9"/>
  <c r="P67" i="9"/>
  <c r="M65" i="9"/>
  <c r="P65" i="9"/>
  <c r="P63" i="9"/>
  <c r="N75" i="9"/>
  <c r="I64" i="9"/>
  <c r="P37" i="9"/>
  <c r="E73" i="9"/>
  <c r="E70" i="9"/>
  <c r="E68" i="9"/>
  <c r="E66" i="9"/>
  <c r="E65" i="9"/>
  <c r="E63" i="9"/>
  <c r="I73" i="9"/>
  <c r="I72" i="9"/>
  <c r="I71" i="9"/>
  <c r="I68" i="9"/>
  <c r="I67" i="9"/>
  <c r="I65" i="9"/>
  <c r="P56" i="9"/>
  <c r="I56" i="9"/>
  <c r="I63" i="9"/>
  <c r="I62" i="9"/>
  <c r="E72" i="9"/>
  <c r="E71" i="9"/>
  <c r="E67" i="9"/>
  <c r="F75" i="9"/>
  <c r="E56" i="9"/>
  <c r="L72" i="8"/>
  <c r="L70" i="8"/>
  <c r="L68" i="8"/>
  <c r="L66" i="8"/>
  <c r="L64" i="8"/>
  <c r="H75" i="9"/>
  <c r="H72" i="8"/>
  <c r="H69" i="8"/>
  <c r="H68" i="8"/>
  <c r="H65" i="8"/>
  <c r="H64" i="8"/>
  <c r="H72" i="12"/>
  <c r="H70" i="12"/>
  <c r="H68" i="12"/>
  <c r="H66" i="12"/>
  <c r="H64" i="12"/>
  <c r="H63" i="12"/>
  <c r="H62" i="12"/>
  <c r="H56" i="8"/>
  <c r="H73" i="8"/>
  <c r="H71" i="8"/>
  <c r="H67" i="8"/>
  <c r="H63" i="8"/>
  <c r="D71" i="12"/>
  <c r="D69" i="12"/>
  <c r="D56" i="8"/>
  <c r="D65" i="12"/>
  <c r="D56" i="12"/>
  <c r="D63" i="8"/>
  <c r="D62" i="12"/>
  <c r="B32" i="16"/>
  <c r="D32" i="16" s="1"/>
  <c r="B32" i="15"/>
  <c r="F32" i="15" s="1"/>
  <c r="B32" i="17"/>
  <c r="D32" i="17" s="1"/>
  <c r="B30" i="16"/>
  <c r="D30" i="16" s="1"/>
  <c r="S46" i="3"/>
  <c r="F28" i="14"/>
  <c r="B28" i="18"/>
  <c r="D28" i="18" s="1"/>
  <c r="D27" i="14"/>
  <c r="A3" i="5"/>
  <c r="B27" i="16"/>
  <c r="D27" i="16" s="1"/>
  <c r="B27" i="15"/>
  <c r="F27" i="15" s="1"/>
  <c r="B29" i="4"/>
  <c r="D29" i="4" s="1"/>
  <c r="J29" i="4" s="1"/>
  <c r="D62" i="8"/>
  <c r="L37" i="8"/>
  <c r="D37" i="12"/>
  <c r="B32" i="18"/>
  <c r="D32" i="18" s="1"/>
  <c r="L72" i="12"/>
  <c r="L70" i="12"/>
  <c r="L68" i="12"/>
  <c r="L66" i="12"/>
  <c r="L64" i="12"/>
  <c r="J43" i="12"/>
  <c r="J43" i="8"/>
  <c r="F43" i="12"/>
  <c r="B26" i="16"/>
  <c r="D26" i="16" s="1"/>
  <c r="D31" i="14"/>
  <c r="L75" i="9"/>
  <c r="L62" i="12"/>
  <c r="B31" i="17"/>
  <c r="D31" i="17" s="1"/>
  <c r="B31" i="16"/>
  <c r="D31" i="16" s="1"/>
  <c r="D75" i="9"/>
  <c r="A7" i="5"/>
  <c r="H73" i="12"/>
  <c r="H71" i="12"/>
  <c r="H69" i="12"/>
  <c r="H67" i="12"/>
  <c r="H65" i="12"/>
  <c r="N24" i="12"/>
  <c r="J24" i="12"/>
  <c r="N24" i="8"/>
  <c r="B31" i="15"/>
  <c r="F31" i="15" s="1"/>
  <c r="F24" i="12"/>
  <c r="B28" i="4"/>
  <c r="D28" i="4" s="1"/>
  <c r="F26" i="14"/>
  <c r="D26" i="14"/>
  <c r="F43" i="8"/>
  <c r="A9" i="5"/>
  <c r="J75" i="9"/>
  <c r="P72" i="9"/>
  <c r="P70" i="9"/>
  <c r="P68" i="9"/>
  <c r="P66" i="9"/>
  <c r="P64" i="9"/>
  <c r="P62" i="9"/>
  <c r="M25" i="12"/>
  <c r="N25" i="12" s="1"/>
  <c r="N43" i="12"/>
  <c r="M25" i="8"/>
  <c r="B25" i="16"/>
  <c r="D25" i="16" s="1"/>
  <c r="I44" i="12"/>
  <c r="J44" i="12" s="1"/>
  <c r="I44" i="8"/>
  <c r="E25" i="12"/>
  <c r="F25" i="12" s="1"/>
  <c r="D33" i="15"/>
  <c r="D30" i="15"/>
  <c r="D29" i="15"/>
  <c r="D28"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J44" i="8"/>
  <c r="I45" i="8"/>
  <c r="I45" i="12"/>
  <c r="M44" i="12"/>
  <c r="I25" i="12"/>
  <c r="N25" i="8"/>
  <c r="M26" i="8"/>
  <c r="N43" i="8"/>
  <c r="M44" i="8"/>
  <c r="M45" i="8" s="1"/>
  <c r="J24" i="8"/>
  <c r="I25" i="8"/>
  <c r="F24" i="8"/>
  <c r="E25" i="8"/>
  <c r="E26" i="8" s="1"/>
  <c r="D32" i="14"/>
  <c r="F32" i="14"/>
  <c r="D30" i="14"/>
  <c r="F30" i="14"/>
  <c r="E26" i="12"/>
  <c r="E44" i="12"/>
  <c r="F44" i="8"/>
  <c r="E45" i="8"/>
  <c r="A8" i="5"/>
  <c r="A6" i="5"/>
  <c r="B35" i="4"/>
  <c r="D35" i="4" s="1"/>
  <c r="J35" i="4" s="1"/>
  <c r="B34" i="4"/>
  <c r="D34" i="4" s="1"/>
  <c r="J34" i="4" s="1"/>
  <c r="B33" i="4"/>
  <c r="D33" i="4" s="1"/>
  <c r="J33" i="4" s="1"/>
  <c r="B32" i="4"/>
  <c r="D32" i="4" s="1"/>
  <c r="B27" i="4"/>
  <c r="B25" i="14"/>
  <c r="L75" i="12" l="1"/>
  <c r="D75" i="8"/>
  <c r="M75" i="9"/>
  <c r="P75" i="9"/>
  <c r="I75" i="9"/>
  <c r="E75" i="9"/>
  <c r="L75" i="8"/>
  <c r="H75" i="8"/>
  <c r="F62" i="12"/>
  <c r="E62" i="12" s="1"/>
  <c r="D75" i="12"/>
  <c r="M26" i="12"/>
  <c r="N62" i="12"/>
  <c r="M62" i="12" s="1"/>
  <c r="P24" i="12"/>
  <c r="D32" i="15"/>
  <c r="D31" i="15"/>
  <c r="J32" i="16"/>
  <c r="H26" i="17"/>
  <c r="H75" i="12"/>
  <c r="J62" i="12"/>
  <c r="I62" i="12" s="1"/>
  <c r="P43" i="12"/>
  <c r="H29" i="17"/>
  <c r="J29" i="15"/>
  <c r="J26" i="15"/>
  <c r="N44" i="8"/>
  <c r="P44" i="8" s="1"/>
  <c r="H27" i="17"/>
  <c r="J29" i="14"/>
  <c r="J29" i="16"/>
  <c r="H33" i="17"/>
  <c r="J26" i="16"/>
  <c r="H25" i="17"/>
  <c r="H25" i="16"/>
  <c r="H25" i="15"/>
  <c r="J25" i="14"/>
  <c r="H25" i="14"/>
  <c r="F25" i="14"/>
  <c r="J25" i="17"/>
  <c r="J25" i="16"/>
  <c r="J25" i="15"/>
  <c r="D25" i="14"/>
  <c r="J27" i="14"/>
  <c r="L27" i="14" s="1"/>
  <c r="J27" i="16"/>
  <c r="J28" i="15"/>
  <c r="L28" i="15" s="1"/>
  <c r="H28" i="17"/>
  <c r="H29" i="16"/>
  <c r="H33" i="16"/>
  <c r="H31" i="15"/>
  <c r="H29" i="14"/>
  <c r="H33" i="14"/>
  <c r="J31" i="15"/>
  <c r="J31" i="17"/>
  <c r="J33" i="15"/>
  <c r="J33" i="17"/>
  <c r="F26" i="12"/>
  <c r="E27" i="12"/>
  <c r="H30" i="14"/>
  <c r="H30" i="15"/>
  <c r="J30" i="17"/>
  <c r="J30" i="16"/>
  <c r="J32" i="17"/>
  <c r="H32" i="14"/>
  <c r="H32" i="16"/>
  <c r="F26" i="8"/>
  <c r="E27" i="8"/>
  <c r="J25" i="8"/>
  <c r="I26" i="8"/>
  <c r="N45" i="8"/>
  <c r="M46" i="8"/>
  <c r="N26" i="8"/>
  <c r="N64" i="8" s="1"/>
  <c r="M64" i="8" s="1"/>
  <c r="M27" i="8"/>
  <c r="J25" i="12"/>
  <c r="I26" i="12"/>
  <c r="J45" i="12"/>
  <c r="I46" i="12"/>
  <c r="F25" i="8"/>
  <c r="F63" i="8" s="1"/>
  <c r="E63" i="8" s="1"/>
  <c r="D36" i="18"/>
  <c r="D35" i="16"/>
  <c r="R35" i="16" s="1"/>
  <c r="J35" i="17"/>
  <c r="J35" i="16"/>
  <c r="J35" i="15"/>
  <c r="J35" i="14"/>
  <c r="H35" i="17"/>
  <c r="H35" i="16"/>
  <c r="H35" i="15"/>
  <c r="H35" i="14"/>
  <c r="F35" i="14"/>
  <c r="L35" i="14" s="1"/>
  <c r="D35" i="14"/>
  <c r="R35" i="14"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H44" i="18" s="1"/>
  <c r="F34" i="15"/>
  <c r="L34" i="15" s="1"/>
  <c r="D34" i="15"/>
  <c r="R34" i="15" s="1"/>
  <c r="F37" i="17" s="1"/>
  <c r="L37" i="17" s="1"/>
  <c r="H34" i="17"/>
  <c r="J34" i="16"/>
  <c r="J34" i="15"/>
  <c r="J34" i="17"/>
  <c r="H34" i="16"/>
  <c r="H34" i="15"/>
  <c r="J34" i="14"/>
  <c r="H34" i="14"/>
  <c r="F34" i="14"/>
  <c r="L34" i="14" s="1"/>
  <c r="D34" i="14"/>
  <c r="R34" i="14" s="1"/>
  <c r="F40" i="16" s="1"/>
  <c r="L40" i="16"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L27" i="15" s="1"/>
  <c r="J28" i="16"/>
  <c r="H31" i="17"/>
  <c r="H31" i="16"/>
  <c r="H29" i="15"/>
  <c r="H33" i="15"/>
  <c r="H31" i="14"/>
  <c r="J31" i="14"/>
  <c r="J31" i="16"/>
  <c r="J33" i="14"/>
  <c r="J33" i="16"/>
  <c r="F45" i="8"/>
  <c r="E46" i="8"/>
  <c r="F44" i="12"/>
  <c r="E45" i="12"/>
  <c r="J29" i="17"/>
  <c r="J30" i="14"/>
  <c r="H30" i="16"/>
  <c r="J30" i="15"/>
  <c r="H30" i="17"/>
  <c r="J32" i="14"/>
  <c r="L32" i="14" s="1"/>
  <c r="H32" i="15"/>
  <c r="J32" i="15"/>
  <c r="H32" i="17"/>
  <c r="F62" i="8"/>
  <c r="E62" i="8" s="1"/>
  <c r="J62" i="8"/>
  <c r="I62" i="8" s="1"/>
  <c r="P24" i="8"/>
  <c r="N62" i="8"/>
  <c r="M62" i="8" s="1"/>
  <c r="P43" i="8"/>
  <c r="N44" i="12"/>
  <c r="M45" i="12"/>
  <c r="N26" i="12"/>
  <c r="M27" i="12"/>
  <c r="I46" i="8"/>
  <c r="J45" i="8"/>
  <c r="P45" i="8"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F44" i="18"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N63" i="8" l="1"/>
  <c r="M63" i="8" s="1"/>
  <c r="F45" i="16"/>
  <c r="L45" i="16" s="1"/>
  <c r="F38" i="16"/>
  <c r="L38" i="16" s="1"/>
  <c r="L30" i="15"/>
  <c r="F38" i="17"/>
  <c r="L38" i="17" s="1"/>
  <c r="P62" i="12"/>
  <c r="L30" i="14"/>
  <c r="L31" i="15"/>
  <c r="F46" i="16"/>
  <c r="L46" i="16" s="1"/>
  <c r="L32" i="15"/>
  <c r="L33" i="14"/>
  <c r="F36" i="18"/>
  <c r="F44" i="17"/>
  <c r="L44" i="17" s="1"/>
  <c r="H43" i="18"/>
  <c r="H39" i="18"/>
  <c r="F34" i="16"/>
  <c r="L34" i="16" s="1"/>
  <c r="F35" i="17"/>
  <c r="L35" i="17" s="1"/>
  <c r="F37" i="18"/>
  <c r="H36" i="18"/>
  <c r="L33" i="15"/>
  <c r="F42" i="16"/>
  <c r="L42" i="16" s="1"/>
  <c r="F44" i="16"/>
  <c r="L44" i="16" s="1"/>
  <c r="L31" i="14"/>
  <c r="L26" i="15"/>
  <c r="L29" i="15"/>
  <c r="L29" i="14"/>
  <c r="L28" i="14"/>
  <c r="L26" i="14"/>
  <c r="H47" i="18"/>
  <c r="H45" i="18"/>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L25" i="14"/>
  <c r="L25" i="15"/>
  <c r="F43" i="16"/>
  <c r="L43" i="16" s="1"/>
  <c r="F35" i="16"/>
  <c r="L35" i="16" s="1"/>
  <c r="J46" i="8"/>
  <c r="I47" i="8"/>
  <c r="N27" i="12"/>
  <c r="M28" i="12"/>
  <c r="N45" i="12"/>
  <c r="N64" i="12" s="1"/>
  <c r="M64" i="12" s="1"/>
  <c r="M46" i="12"/>
  <c r="F45" i="12"/>
  <c r="F64" i="12" s="1"/>
  <c r="E64" i="12" s="1"/>
  <c r="E46" i="12"/>
  <c r="F46" i="8"/>
  <c r="E47" i="8"/>
  <c r="J63" i="12"/>
  <c r="I63" i="12" s="1"/>
  <c r="P25" i="12"/>
  <c r="J63" i="8"/>
  <c r="P25" i="8"/>
  <c r="E28" i="8"/>
  <c r="F27" i="8"/>
  <c r="P44" i="12"/>
  <c r="N63" i="12"/>
  <c r="M63" i="12" s="1"/>
  <c r="P62" i="8"/>
  <c r="F63" i="12"/>
  <c r="E63" i="12" s="1"/>
  <c r="J46" i="12"/>
  <c r="I47" i="12"/>
  <c r="J26" i="12"/>
  <c r="I27" i="12"/>
  <c r="N27" i="8"/>
  <c r="M28" i="8"/>
  <c r="M47" i="8"/>
  <c r="N46" i="8"/>
  <c r="J26" i="8"/>
  <c r="I27" i="8"/>
  <c r="F64" i="8"/>
  <c r="E64" i="8" s="1"/>
  <c r="F27" i="12"/>
  <c r="E28" i="12"/>
  <c r="P45" i="12" l="1"/>
  <c r="P63" i="8"/>
  <c r="I63" i="8"/>
  <c r="L49" i="15"/>
  <c r="N34" i="15" s="1"/>
  <c r="L49" i="14"/>
  <c r="N46" i="14" s="1"/>
  <c r="J64" i="8"/>
  <c r="P26" i="8"/>
  <c r="N47" i="8"/>
  <c r="M48" i="8"/>
  <c r="F28" i="12"/>
  <c r="E29" i="12"/>
  <c r="I28" i="8"/>
  <c r="J27" i="8"/>
  <c r="M29" i="8"/>
  <c r="N28" i="8"/>
  <c r="J27" i="12"/>
  <c r="I28" i="12"/>
  <c r="J47" i="12"/>
  <c r="I48" i="12"/>
  <c r="F65" i="8"/>
  <c r="E65" i="8" s="1"/>
  <c r="P63" i="12"/>
  <c r="P46" i="8"/>
  <c r="N65" i="8"/>
  <c r="M65" i="8" s="1"/>
  <c r="J64" i="12"/>
  <c r="P26" i="12"/>
  <c r="F28" i="8"/>
  <c r="E29" i="8"/>
  <c r="E48" i="8"/>
  <c r="F47" i="8"/>
  <c r="F46" i="12"/>
  <c r="E47" i="12"/>
  <c r="N46" i="12"/>
  <c r="M47" i="12"/>
  <c r="N28" i="12"/>
  <c r="M29" i="12"/>
  <c r="I48" i="8"/>
  <c r="J47" i="8"/>
  <c r="P64" i="12" l="1"/>
  <c r="I64" i="12"/>
  <c r="P64" i="8"/>
  <c r="I64" i="8"/>
  <c r="N39" i="15"/>
  <c r="N30" i="15"/>
  <c r="N28" i="15"/>
  <c r="N41" i="15"/>
  <c r="N40" i="15"/>
  <c r="N29" i="15"/>
  <c r="N45" i="15"/>
  <c r="N35" i="15"/>
  <c r="N27" i="15"/>
  <c r="N37" i="15"/>
  <c r="N46" i="15"/>
  <c r="N40" i="14"/>
  <c r="N33" i="15"/>
  <c r="N26" i="15"/>
  <c r="N44" i="15"/>
  <c r="N42" i="15"/>
  <c r="N31" i="15"/>
  <c r="N32" i="15"/>
  <c r="N25" i="15"/>
  <c r="N38" i="15"/>
  <c r="N43" i="15"/>
  <c r="N36" i="15"/>
  <c r="N26" i="14"/>
  <c r="N42" i="14"/>
  <c r="N35" i="14"/>
  <c r="N28" i="14"/>
  <c r="N45" i="14"/>
  <c r="N43" i="14"/>
  <c r="N44" i="14"/>
  <c r="N37" i="14"/>
  <c r="N41" i="14"/>
  <c r="N33" i="14"/>
  <c r="N27" i="14"/>
  <c r="N25" i="14"/>
  <c r="N34" i="14"/>
  <c r="N36" i="14"/>
  <c r="N30" i="14"/>
  <c r="N29" i="14"/>
  <c r="N32" i="14"/>
  <c r="N31" i="14"/>
  <c r="N39" i="14"/>
  <c r="N38" i="14"/>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J65" i="12"/>
  <c r="I65" i="12" s="1"/>
  <c r="P27" i="12"/>
  <c r="N29" i="8"/>
  <c r="M30" i="8"/>
  <c r="J65" i="8"/>
  <c r="I65" i="8" s="1"/>
  <c r="P27" i="8"/>
  <c r="F29" i="12"/>
  <c r="E30" i="12"/>
  <c r="P46" i="12"/>
  <c r="F65" i="12"/>
  <c r="E65" i="12" s="1"/>
  <c r="F67" i="8" l="1"/>
  <c r="E67" i="8" s="1"/>
  <c r="P47" i="12"/>
  <c r="P65" i="12"/>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8" l="1"/>
  <c r="I66" i="8"/>
  <c r="P66" i="12"/>
  <c r="I66" i="12"/>
  <c r="P48" i="12"/>
  <c r="J67" i="12"/>
  <c r="I67" i="12" s="1"/>
  <c r="P29" i="12"/>
  <c r="N68" i="8"/>
  <c r="M68" i="8" s="1"/>
  <c r="J50" i="8"/>
  <c r="I51" i="8"/>
  <c r="F50" i="8"/>
  <c r="E51" i="8"/>
  <c r="J30" i="12"/>
  <c r="I31" i="12"/>
  <c r="F49" i="12"/>
  <c r="F68" i="12" s="1"/>
  <c r="E68" i="12" s="1"/>
  <c r="E50" i="12"/>
  <c r="J30" i="8"/>
  <c r="I31" i="8"/>
  <c r="M51" i="8"/>
  <c r="N50" i="8"/>
  <c r="F68" i="8"/>
  <c r="E68" i="8" s="1"/>
  <c r="N31" i="8"/>
  <c r="M32" i="8"/>
  <c r="F31" i="12"/>
  <c r="E32" i="12"/>
  <c r="J50" i="12"/>
  <c r="I51" i="12"/>
  <c r="N31" i="12"/>
  <c r="M32" i="12"/>
  <c r="N49" i="12"/>
  <c r="P49" i="12" s="1"/>
  <c r="M50" i="12"/>
  <c r="J67" i="8"/>
  <c r="P29" i="8"/>
  <c r="E32" i="8"/>
  <c r="F31" i="8"/>
  <c r="P67" i="8" l="1"/>
  <c r="I67" i="8"/>
  <c r="N69" i="8"/>
  <c r="M69" i="8" s="1"/>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I32" i="8"/>
  <c r="J31" i="8"/>
  <c r="J68" i="12"/>
  <c r="I68" i="12" s="1"/>
  <c r="P30" i="12"/>
  <c r="P50" i="8"/>
  <c r="N68" i="12"/>
  <c r="M68" i="12" s="1"/>
  <c r="F32" i="8"/>
  <c r="E33" i="8"/>
  <c r="J51" i="12"/>
  <c r="I52" i="12"/>
  <c r="J68" i="8"/>
  <c r="P30" i="8"/>
  <c r="P50" i="12" l="1"/>
  <c r="P68" i="8"/>
  <c r="I68" i="8"/>
  <c r="P51" i="8"/>
  <c r="E34" i="8"/>
  <c r="F33" i="8"/>
  <c r="J32" i="8"/>
  <c r="I33" i="8"/>
  <c r="N51" i="12"/>
  <c r="N70" i="12" s="1"/>
  <c r="M70" i="12" s="1"/>
  <c r="M52" i="12"/>
  <c r="F51" i="12"/>
  <c r="E52" i="12"/>
  <c r="N52" i="8"/>
  <c r="M53" i="8"/>
  <c r="N70" i="8"/>
  <c r="M70" i="8" s="1"/>
  <c r="F33" i="12"/>
  <c r="E34" i="12"/>
  <c r="F70" i="8"/>
  <c r="E70" i="8" s="1"/>
  <c r="P68" i="12"/>
  <c r="J69" i="8"/>
  <c r="P31" i="8"/>
  <c r="N33" i="12"/>
  <c r="M34" i="12"/>
  <c r="J52" i="8"/>
  <c r="I53" i="8"/>
  <c r="F52" i="8"/>
  <c r="E53" i="8"/>
  <c r="J69" i="12"/>
  <c r="I69" i="12" s="1"/>
  <c r="P31" i="12"/>
  <c r="N33" i="8"/>
  <c r="N71" i="8" s="1"/>
  <c r="M71" i="8" s="1"/>
  <c r="M34" i="8"/>
  <c r="F70" i="12"/>
  <c r="E70" i="12" s="1"/>
  <c r="J52" i="12"/>
  <c r="I53" i="12"/>
  <c r="J32" i="12"/>
  <c r="I33" i="12"/>
  <c r="P69" i="8" l="1"/>
  <c r="I69" i="8"/>
  <c r="P52" i="8"/>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F72" i="8" s="1"/>
  <c r="E72" i="8" s="1"/>
  <c r="E35" i="8"/>
  <c r="F35" i="8" s="1"/>
  <c r="J33" i="12"/>
  <c r="I34" i="12"/>
  <c r="J53" i="12"/>
  <c r="I54" i="12"/>
  <c r="J54" i="12" s="1"/>
  <c r="P69" i="12"/>
  <c r="J33" i="8"/>
  <c r="I34" i="8"/>
  <c r="F71" i="8"/>
  <c r="E71" i="8" s="1"/>
  <c r="J70" i="12"/>
  <c r="P32" i="12"/>
  <c r="P70" i="12" l="1"/>
  <c r="I70" i="12"/>
  <c r="P70" i="8"/>
  <c r="I70" i="8"/>
  <c r="N71" i="12"/>
  <c r="M71" i="12" s="1"/>
  <c r="N56" i="8"/>
  <c r="M56" i="8" s="1"/>
  <c r="F56" i="8"/>
  <c r="E56" i="8" s="1"/>
  <c r="J56" i="12"/>
  <c r="I56" i="12" s="1"/>
  <c r="J34" i="12"/>
  <c r="I35" i="12"/>
  <c r="J35" i="12" s="1"/>
  <c r="N53" i="12"/>
  <c r="P53" i="12" s="1"/>
  <c r="M54" i="12"/>
  <c r="N54" i="12" s="1"/>
  <c r="P54" i="12" s="1"/>
  <c r="F37" i="12"/>
  <c r="E37" i="12" s="1"/>
  <c r="N73" i="12"/>
  <c r="M73" i="12" s="1"/>
  <c r="N37" i="12"/>
  <c r="M37" i="12" s="1"/>
  <c r="P54" i="8"/>
  <c r="J56" i="8"/>
  <c r="I56" i="8" s="1"/>
  <c r="N73" i="8"/>
  <c r="M73" i="8" s="1"/>
  <c r="N37" i="8"/>
  <c r="M37" i="8" s="1"/>
  <c r="J71" i="8"/>
  <c r="P33" i="8"/>
  <c r="J71" i="12"/>
  <c r="I71" i="12" s="1"/>
  <c r="P33" i="12"/>
  <c r="P53" i="8"/>
  <c r="N72" i="8"/>
  <c r="M72" i="8" s="1"/>
  <c r="J34" i="8"/>
  <c r="I35" i="8"/>
  <c r="J35" i="8" s="1"/>
  <c r="F73" i="8"/>
  <c r="F37" i="8"/>
  <c r="E37" i="8" s="1"/>
  <c r="F53" i="12"/>
  <c r="F72" i="12" s="1"/>
  <c r="E72" i="12" s="1"/>
  <c r="E54" i="12"/>
  <c r="F54" i="12" s="1"/>
  <c r="P71" i="8" l="1"/>
  <c r="I71" i="8"/>
  <c r="F75" i="8"/>
  <c r="E75" i="8" s="1"/>
  <c r="E73" i="8"/>
  <c r="N72" i="12"/>
  <c r="M72" i="12" s="1"/>
  <c r="P56" i="8"/>
  <c r="F56" i="12"/>
  <c r="E56" i="12" s="1"/>
  <c r="P71" i="12"/>
  <c r="J73" i="8"/>
  <c r="I73" i="8" s="1"/>
  <c r="P35" i="8"/>
  <c r="J37" i="8"/>
  <c r="I37" i="8" s="1"/>
  <c r="N75" i="8"/>
  <c r="M75" i="8" s="1"/>
  <c r="N75" i="12"/>
  <c r="M75" i="12" s="1"/>
  <c r="F73" i="12"/>
  <c r="J72" i="12"/>
  <c r="P34" i="12"/>
  <c r="P56" i="12"/>
  <c r="J72" i="8"/>
  <c r="P34" i="8"/>
  <c r="N56" i="12"/>
  <c r="M56" i="12" s="1"/>
  <c r="J73" i="12"/>
  <c r="I73" i="12" s="1"/>
  <c r="P35" i="12"/>
  <c r="J37" i="12"/>
  <c r="I37" i="12" s="1"/>
  <c r="P37" i="12" l="1"/>
  <c r="P46" i="14"/>
  <c r="P42" i="14"/>
  <c r="P72" i="8"/>
  <c r="I72" i="8"/>
  <c r="P72" i="12"/>
  <c r="I72" i="12"/>
  <c r="P27" i="14"/>
  <c r="R27" i="14" s="1"/>
  <c r="F27" i="16" s="1"/>
  <c r="L27" i="16" s="1"/>
  <c r="P45" i="14"/>
  <c r="P41" i="14"/>
  <c r="P37" i="14"/>
  <c r="P34" i="14"/>
  <c r="P25" i="14"/>
  <c r="R25" i="14" s="1"/>
  <c r="F25" i="16" s="1"/>
  <c r="L25" i="16" s="1"/>
  <c r="P26" i="14"/>
  <c r="R26" i="14" s="1"/>
  <c r="F26" i="16" s="1"/>
  <c r="L26" i="16" s="1"/>
  <c r="F75" i="12"/>
  <c r="E75" i="12" s="1"/>
  <c r="E73" i="12"/>
  <c r="P36" i="14"/>
  <c r="P38" i="14"/>
  <c r="P33" i="14"/>
  <c r="R33" i="14" s="1"/>
  <c r="F33" i="16" s="1"/>
  <c r="L33" i="16" s="1"/>
  <c r="P28" i="14"/>
  <c r="R28" i="14" s="1"/>
  <c r="F28" i="16" s="1"/>
  <c r="L28" i="16" s="1"/>
  <c r="P44" i="14"/>
  <c r="P40" i="14"/>
  <c r="P31" i="14"/>
  <c r="R31" i="14" s="1"/>
  <c r="F31" i="16" s="1"/>
  <c r="L31" i="16" s="1"/>
  <c r="P32" i="14"/>
  <c r="R32" i="14" s="1"/>
  <c r="F32" i="16" s="1"/>
  <c r="L32" i="16" s="1"/>
  <c r="P43" i="14"/>
  <c r="P39" i="14"/>
  <c r="P35" i="14"/>
  <c r="P29" i="14"/>
  <c r="R29" i="14" s="1"/>
  <c r="F29" i="16" s="1"/>
  <c r="L29" i="16" s="1"/>
  <c r="P30" i="14"/>
  <c r="R30" i="14" s="1"/>
  <c r="F30" i="16" s="1"/>
  <c r="L30" i="16" s="1"/>
  <c r="P37" i="8"/>
  <c r="P73" i="12"/>
  <c r="J75" i="12"/>
  <c r="I75" i="12" s="1"/>
  <c r="P73" i="8"/>
  <c r="J75" i="8"/>
  <c r="I75" i="8" s="1"/>
  <c r="P75" i="8" l="1"/>
  <c r="P25" i="15" s="1"/>
  <c r="R25" i="15" s="1"/>
  <c r="F25" i="17" s="1"/>
  <c r="L25" i="17" s="1"/>
  <c r="L49" i="16"/>
  <c r="N25" i="16" s="1"/>
  <c r="P25" i="16" s="1"/>
  <c r="R25" i="16" s="1"/>
  <c r="F26" i="18" s="1"/>
  <c r="P75" i="12"/>
  <c r="P44" i="15" l="1"/>
  <c r="P39" i="15"/>
  <c r="P33" i="15"/>
  <c r="R33" i="15" s="1"/>
  <c r="F33" i="17" s="1"/>
  <c r="L33" i="17" s="1"/>
  <c r="P29" i="15"/>
  <c r="R29" i="15" s="1"/>
  <c r="F29" i="17" s="1"/>
  <c r="L29" i="17" s="1"/>
  <c r="P43" i="15"/>
  <c r="P38" i="15"/>
  <c r="P30" i="15"/>
  <c r="R30" i="15" s="1"/>
  <c r="F30" i="17" s="1"/>
  <c r="L30" i="17" s="1"/>
  <c r="P27" i="15"/>
  <c r="R27" i="15" s="1"/>
  <c r="F27" i="17" s="1"/>
  <c r="L27" i="17" s="1"/>
  <c r="P42" i="15"/>
  <c r="P36" i="15"/>
  <c r="P28" i="15"/>
  <c r="R28" i="15" s="1"/>
  <c r="F28" i="17" s="1"/>
  <c r="L28" i="17" s="1"/>
  <c r="P46" i="15"/>
  <c r="P40" i="15"/>
  <c r="P35" i="15"/>
  <c r="P26" i="15"/>
  <c r="R26" i="15" s="1"/>
  <c r="F26" i="17" s="1"/>
  <c r="L26" i="17" s="1"/>
  <c r="P31" i="15"/>
  <c r="R31" i="15" s="1"/>
  <c r="F31" i="17" s="1"/>
  <c r="L31" i="17" s="1"/>
  <c r="P45" i="15"/>
  <c r="P41" i="15"/>
  <c r="P37" i="15"/>
  <c r="P32" i="15"/>
  <c r="R32" i="15" s="1"/>
  <c r="F32" i="17" s="1"/>
  <c r="L32" i="17" s="1"/>
  <c r="P34" i="15"/>
  <c r="N28" i="16"/>
  <c r="P28" i="16" s="1"/>
  <c r="R28" i="16" s="1"/>
  <c r="F29" i="18" s="1"/>
  <c r="N39" i="16"/>
  <c r="P39" i="16" s="1"/>
  <c r="N44" i="16"/>
  <c r="P44" i="16" s="1"/>
  <c r="N38" i="16"/>
  <c r="P38" i="16" s="1"/>
  <c r="N30" i="16"/>
  <c r="P30" i="16" s="1"/>
  <c r="R30" i="16" s="1"/>
  <c r="F31" i="18" s="1"/>
  <c r="N46" i="16"/>
  <c r="P46" i="16" s="1"/>
  <c r="N31" i="16"/>
  <c r="P31" i="16" s="1"/>
  <c r="R31" i="16" s="1"/>
  <c r="F32" i="18" s="1"/>
  <c r="N29" i="16"/>
  <c r="P29" i="16" s="1"/>
  <c r="R29" i="16" s="1"/>
  <c r="F30" i="18" s="1"/>
  <c r="N34" i="16"/>
  <c r="P34" i="16" s="1"/>
  <c r="N36" i="16"/>
  <c r="P36" i="16" s="1"/>
  <c r="N35" i="16"/>
  <c r="P35" i="16" s="1"/>
  <c r="N37" i="16"/>
  <c r="P37" i="16" s="1"/>
  <c r="N45" i="16"/>
  <c r="P45" i="16" s="1"/>
  <c r="N40" i="16"/>
  <c r="P40" i="16" s="1"/>
  <c r="N43" i="16"/>
  <c r="P43" i="16" s="1"/>
  <c r="N32" i="16"/>
  <c r="P32" i="16" s="1"/>
  <c r="R32" i="16" s="1"/>
  <c r="F33" i="18" s="1"/>
  <c r="N42" i="16"/>
  <c r="P42" i="16" s="1"/>
  <c r="N41" i="16"/>
  <c r="P41" i="16" s="1"/>
  <c r="N26" i="16"/>
  <c r="P26" i="16" s="1"/>
  <c r="R26" i="16" s="1"/>
  <c r="F27" i="18" s="1"/>
  <c r="N33" i="16"/>
  <c r="P33" i="16" s="1"/>
  <c r="R33" i="16" s="1"/>
  <c r="F34" i="18" s="1"/>
  <c r="N27" i="16"/>
  <c r="P27" i="16" s="1"/>
  <c r="R27" i="16" s="1"/>
  <c r="F28" i="18" s="1"/>
  <c r="L49" i="17" l="1"/>
  <c r="N25" i="17" s="1"/>
  <c r="P25" i="17" s="1"/>
  <c r="R25" i="17" s="1"/>
  <c r="H26" i="18" s="1"/>
  <c r="N45" i="17" l="1"/>
  <c r="P45" i="17" s="1"/>
  <c r="N44" i="17"/>
  <c r="P44" i="17" s="1"/>
  <c r="N26" i="17"/>
  <c r="P26" i="17" s="1"/>
  <c r="R26" i="17" s="1"/>
  <c r="H27" i="18" s="1"/>
  <c r="N37" i="17"/>
  <c r="P37" i="17" s="1"/>
  <c r="N30" i="17"/>
  <c r="P30" i="17" s="1"/>
  <c r="R30" i="17" s="1"/>
  <c r="H31" i="18" s="1"/>
  <c r="N27" i="17"/>
  <c r="P27" i="17" s="1"/>
  <c r="R27" i="17" s="1"/>
  <c r="H28" i="18" s="1"/>
  <c r="N29" i="17"/>
  <c r="P29" i="17" s="1"/>
  <c r="R29" i="17" s="1"/>
  <c r="H30" i="18" s="1"/>
  <c r="N33" i="17"/>
  <c r="P33" i="17" s="1"/>
  <c r="R33" i="17" s="1"/>
  <c r="H34" i="18" s="1"/>
  <c r="N34" i="17"/>
  <c r="P34" i="17" s="1"/>
  <c r="N31" i="17"/>
  <c r="P31" i="17" s="1"/>
  <c r="R31" i="17" s="1"/>
  <c r="H32" i="18" s="1"/>
  <c r="N38" i="17"/>
  <c r="P38" i="17" s="1"/>
  <c r="N46" i="17"/>
  <c r="P46" i="17" s="1"/>
  <c r="N28" i="17"/>
  <c r="P28" i="17" s="1"/>
  <c r="R28" i="17" s="1"/>
  <c r="H29" i="18" s="1"/>
  <c r="N35" i="17"/>
  <c r="P35" i="17" s="1"/>
  <c r="N41" i="17"/>
  <c r="P41" i="17" s="1"/>
  <c r="N39" i="17"/>
  <c r="P39" i="17" s="1"/>
  <c r="N43" i="17"/>
  <c r="P43" i="17" s="1"/>
  <c r="N36" i="17"/>
  <c r="P36" i="17" s="1"/>
  <c r="N32" i="17"/>
  <c r="P32" i="17" s="1"/>
  <c r="R32" i="17" s="1"/>
  <c r="H33" i="18" s="1"/>
  <c r="N42" i="17"/>
  <c r="P42" i="17" s="1"/>
  <c r="N40" i="17"/>
  <c r="P40" i="17" s="1"/>
</calcChain>
</file>

<file path=xl/sharedStrings.xml><?xml version="1.0" encoding="utf-8"?>
<sst xmlns="http://schemas.openxmlformats.org/spreadsheetml/2006/main" count="592" uniqueCount="256">
  <si>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</si>
  <si>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</si>
  <si>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</si>
  <si>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</si>
  <si>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</si>
  <si>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</si>
  <si>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</si>
  <si>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</si>
  <si>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</si>
  <si>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</si>
  <si>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</si>
  <si>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</si>
  <si>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</si>
  <si>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</si>
  <si>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</si>
  <si>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</si>
  <si>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</si>
  <si>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</si>
  <si>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</si>
  <si>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</si>
  <si>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</si>
  <si>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</si>
  <si>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</si>
  <si>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</si>
  <si>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</si>
  <si>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</si>
  <si>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</si>
  <si>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</si>
  <si>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</si>
  <si>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</si>
  <si>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</si>
  <si>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</si>
  <si>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</si>
  <si>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</si>
  <si>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</si>
  <si>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</si>
  <si>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</si>
  <si>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</si>
  <si>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</si>
  <si>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</si>
  <si>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</si>
  <si>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</si>
  <si>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</si>
  <si>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</si>
  <si>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</si>
  <si>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</si>
  <si>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</si>
  <si>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</si>
  <si>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</si>
  <si>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</si>
  <si>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</si>
  <si>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</si>
  <si>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</si>
  <si>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</si>
  <si>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</si>
  <si>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</si>
  <si>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</si>
  <si>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</si>
  <si>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</si>
  <si>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</si>
  <si>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</si>
  <si>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</si>
  <si>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</si>
  <si>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</si>
  <si>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</si>
  <si>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</si>
  <si>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</si>
  <si>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</si>
  <si>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</si>
  <si>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</si>
  <si>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</si>
  <si>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</si>
  <si>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</si>
  <si>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</si>
  <si>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</si>
  <si>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</si>
  <si>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</si>
  <si>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</si>
  <si>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</si>
  <si>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</si>
  <si>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</si>
  <si>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</si>
  <si>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</si>
  <si>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</si>
  <si>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</si>
  <si>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</si>
  <si>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</si>
  <si>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</si>
  <si>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</si>
  <si>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</si>
  <si>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</si>
  <si>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</si>
  <si>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</si>
  <si>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</si>
  <si>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</si>
  <si>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</si>
  <si>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</si>
  <si>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</si>
  <si>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</si>
  <si>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</si>
  <si>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</si>
  <si>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</si>
  <si>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</si>
  <si>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</si>
  <si>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</si>
  <si>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</si>
  <si>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</si>
  <si>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</si>
  <si>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</si>
  <si>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</si>
  <si>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</si>
  <si>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</si>
  <si>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</si>
  <si>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</si>
  <si>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</si>
  <si>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</si>
  <si>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</si>
  <si>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</si>
  <si>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</si>
  <si>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</si>
  <si>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</si>
  <si>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</si>
  <si>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</si>
  <si>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</si>
  <si>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</si>
  <si>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</si>
  <si>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</si>
  <si>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</si>
  <si>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</si>
  <si>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</si>
  <si>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</si>
  <si>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</si>
  <si>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</si>
  <si>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</si>
  <si>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</si>
  <si>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</si>
  <si>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</si>
  <si>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</si>
  <si>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</si>
  <si>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</si>
  <si>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</si>
  <si>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</si>
  <si>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</si>
  <si>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</si>
  <si>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</si>
  <si>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</si>
  <si>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</si>
  <si>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</si>
  <si>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</si>
  <si>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</si>
  <si>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</si>
  <si>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</si>
  <si>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</si>
  <si>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</si>
  <si>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</si>
  <si>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</si>
  <si>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</si>
  <si>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</si>
  <si>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</si>
  <si>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</si>
  <si>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</si>
  <si>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</si>
  <si>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</si>
  <si>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</si>
  <si>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</si>
  <si>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</si>
  <si>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</si>
  <si>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</si>
  <si>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</si>
  <si>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</si>
  <si>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</si>
  <si>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</si>
  <si>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</si>
  <si>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</si>
  <si>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</si>
  <si>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</si>
  <si>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</si>
  <si>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</si>
  <si>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</si>
  <si>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</si>
  <si>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</si>
  <si>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</si>
  <si>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</si>
  <si>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</si>
  <si>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</si>
  <si>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</si>
  <si>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</si>
  <si>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</si>
  <si>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</si>
  <si>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</si>
  <si>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</si>
  <si>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</si>
  <si>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</si>
  <si>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</si>
  <si>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</si>
  <si>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</si>
  <si>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</si>
  <si>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</si>
  <si>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</si>
  <si>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</si>
  <si>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</si>
  <si>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</si>
  <si>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</si>
  <si>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</si>
  <si>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</si>
  <si>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</si>
  <si>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</si>
  <si>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</si>
  <si>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</si>
  <si>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</si>
  <si>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</si>
  <si>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</si>
  <si>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</si>
  <si>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</si>
  <si>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</si>
  <si>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</si>
  <si>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</si>
  <si>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</si>
  <si>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</si>
  <si>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</si>
  <si>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</si>
  <si>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</si>
  <si>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</si>
  <si>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</si>
  <si>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</si>
  <si>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</si>
  <si>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</si>
  <si>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</si>
  <si>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</si>
  <si>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</si>
  <si>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</si>
  <si>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</si>
  <si>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</si>
  <si>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</si>
  <si>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</si>
  <si>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</si>
  <si>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</si>
  <si>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</si>
  <si>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</si>
  <si>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</si>
  <si>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</si>
  <si>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</si>
  <si>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</si>
  <si>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</si>
  <si>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</si>
  <si>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</si>
  <si>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</si>
  <si>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</si>
  <si>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</si>
  <si>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</si>
  <si>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</si>
  <si>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EB-2013-0018</t>
  </si>
  <si>
    <t>Graig Pettit Manager of Finance and Regulatory Affairs</t>
  </si>
  <si>
    <t>519-485-1820 ext 254</t>
  </si>
  <si>
    <t>gpettit@eriethamespower.com</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</si>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</sst>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1">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5" fontId="0" fillId="0" borderId="12" xfId="28" applyNumberFormat="1" applyFont="1" applyFill="1" applyBorder="1" applyAlignment="1" applyProtection="1">
      <alignment horizontal="center"/>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xf numFmtId="0" fontId="1" fillId="26" borderId="17" xfId="0"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15" fontId="0" fillId="26" borderId="17" xfId="0" applyNumberFormat="1" applyFill="1" applyBorder="1" applyAlignment="1" applyProtection="1">
      <alignment vertical="center"/>
      <protection locked="0"/>
    </xf>
    <xf numFmtId="165" fontId="0" fillId="0" borderId="12" xfId="28" applyNumberFormat="1" applyFont="1" applyFill="1" applyBorder="1" applyAlignment="1" applyProtection="1">
      <alignment horizontal="center"/>
      <protection locked="0"/>
    </xf>
    <xf numFmtId="43" fontId="1" fillId="26" borderId="11" xfId="28" applyNumberFormat="1" applyFont="1" applyFill="1" applyBorder="1" applyProtection="1">
      <protection locked="0"/>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417615" cy="1884044"/>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478450" cy="1986914"/>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478450" cy="198691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478450" cy="198691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478450" cy="1986914"/>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86914"/>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339385" cy="1986914"/>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37260" y="0"/>
          <a:ext cx="9600370" cy="1986914"/>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493690" cy="198691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729865"/>
          <a:ext cx="10488930" cy="723900"/>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512740" cy="1986914"/>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091785" y="421005"/>
          <a:ext cx="1297305" cy="455295"/>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510835" cy="1986914"/>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074640" y="421005"/>
          <a:ext cx="1297305" cy="455295"/>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499405" cy="1986914"/>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478450" cy="1986914"/>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0"/>
  <sheetViews>
    <sheetView showGridLines="0" topLeftCell="A19" workbookViewId="0">
      <selection activeCell="D27" sqref="D27"/>
    </sheetView>
  </sheetViews>
  <sheetFormatPr defaultColWidth="9.109375" defaultRowHeight="15.75" customHeight="1" zeroHeight="1" x14ac:dyDescent="0.3"/>
  <cols>
    <col min="1" max="1" width="14.6640625" style="19" customWidth="1"/>
    <col min="2" max="2" width="11.44140625" style="19" hidden="1" customWidth="1"/>
    <col min="3" max="3" width="26.6640625" style="19" customWidth="1"/>
    <col min="4" max="4" width="34.44140625" style="19" customWidth="1"/>
    <col min="5" max="5" width="30.6640625" style="101" customWidth="1"/>
    <col min="6" max="6" width="13.5546875" style="19" customWidth="1"/>
    <col min="7" max="25" width="9.109375" style="19"/>
    <col min="26" max="26" width="8.5546875" style="19" customWidth="1"/>
    <col min="27" max="27" width="3.88671875" style="102" customWidth="1"/>
    <col min="28" max="28" width="67.6640625" style="102" customWidth="1"/>
    <col min="29" max="29" width="17" style="102" customWidth="1"/>
    <col min="30" max="30" width="16.33203125" style="102" customWidth="1"/>
    <col min="31" max="31" width="16.109375" style="102" customWidth="1"/>
    <col min="32" max="32" width="13.6640625" style="104" customWidth="1"/>
    <col min="33" max="33" width="24.44140625" style="104" customWidth="1"/>
    <col min="34" max="34" width="6.33203125" style="19" customWidth="1"/>
    <col min="35" max="35" width="9.109375" style="19" customWidth="1"/>
    <col min="36" max="36" width="45.109375" style="19" customWidth="1"/>
    <col min="37" max="16384" width="9.109375" style="19"/>
  </cols>
  <sheetData>
    <row r="1" spans="3:34" ht="15.6" x14ac:dyDescent="0.3">
      <c r="AB1" s="103" t="s">
        <v>153</v>
      </c>
      <c r="AC1" s="2"/>
      <c r="AD1" s="2"/>
      <c r="AE1" s="2"/>
    </row>
    <row r="2" spans="3:34" ht="17.399999999999999" x14ac:dyDescent="0.3">
      <c r="C2" s="161"/>
      <c r="D2" s="161"/>
      <c r="E2" s="161"/>
      <c r="F2" s="161"/>
      <c r="G2" s="161"/>
      <c r="H2" s="161"/>
      <c r="I2" s="161"/>
      <c r="J2" s="161"/>
      <c r="AB2" s="103" t="s">
        <v>169</v>
      </c>
      <c r="AC2" s="2"/>
      <c r="AD2" s="2"/>
      <c r="AE2" s="2"/>
      <c r="AF2" s="102"/>
      <c r="AG2" s="102"/>
      <c r="AH2" s="102"/>
    </row>
    <row r="3" spans="3:34" ht="17.399999999999999" x14ac:dyDescent="0.3">
      <c r="C3" s="161"/>
      <c r="D3" s="161"/>
      <c r="E3" s="161"/>
      <c r="F3" s="161"/>
      <c r="G3" s="161"/>
      <c r="H3" s="161"/>
      <c r="I3" s="161"/>
      <c r="J3" s="161"/>
      <c r="AB3" s="103" t="s">
        <v>182</v>
      </c>
    </row>
    <row r="4" spans="3:34" ht="17.399999999999999" x14ac:dyDescent="0.3">
      <c r="C4" s="161"/>
      <c r="D4" s="161"/>
      <c r="E4" s="161"/>
      <c r="F4" s="161"/>
      <c r="G4" s="161"/>
      <c r="H4" s="161"/>
      <c r="I4" s="161"/>
      <c r="J4" s="161"/>
      <c r="AB4" s="103" t="s">
        <v>183</v>
      </c>
    </row>
    <row r="5" spans="3:34" ht="17.399999999999999" x14ac:dyDescent="0.3">
      <c r="C5" s="161"/>
      <c r="D5" s="161"/>
      <c r="E5" s="161"/>
      <c r="F5" s="161"/>
      <c r="G5" s="161"/>
      <c r="H5" s="161"/>
      <c r="I5" s="161"/>
      <c r="J5" s="161"/>
      <c r="AB5" s="103" t="s">
        <v>184</v>
      </c>
    </row>
    <row r="6" spans="3:34" ht="15.6" x14ac:dyDescent="0.3">
      <c r="AB6" s="103" t="s">
        <v>0</v>
      </c>
    </row>
    <row r="7" spans="3:34" ht="15.6" x14ac:dyDescent="0.3">
      <c r="AB7" s="103" t="s">
        <v>1</v>
      </c>
    </row>
    <row r="8" spans="3:34" ht="15.6" x14ac:dyDescent="0.3">
      <c r="AB8" s="103" t="s">
        <v>185</v>
      </c>
    </row>
    <row r="9" spans="3:34" ht="15.6" x14ac:dyDescent="0.3">
      <c r="AB9" s="103" t="s">
        <v>186</v>
      </c>
    </row>
    <row r="10" spans="3:34" ht="9" customHeight="1" x14ac:dyDescent="0.4">
      <c r="C10" s="105"/>
      <c r="AB10" s="103" t="s">
        <v>2</v>
      </c>
    </row>
    <row r="11" spans="3:34" ht="9" customHeight="1" x14ac:dyDescent="0.3">
      <c r="AB11" s="103" t="s">
        <v>170</v>
      </c>
    </row>
    <row r="12" spans="3:34" ht="9" customHeight="1" x14ac:dyDescent="0.3">
      <c r="AB12" s="103" t="s">
        <v>187</v>
      </c>
    </row>
    <row r="13" spans="3:34" ht="15.6" x14ac:dyDescent="0.3">
      <c r="AB13" s="103" t="s">
        <v>3</v>
      </c>
    </row>
    <row r="14" spans="3:34" ht="16.2" thickBot="1" x14ac:dyDescent="0.35">
      <c r="F14" s="101"/>
      <c r="G14" s="101"/>
      <c r="H14" s="101"/>
      <c r="AB14" s="103" t="s">
        <v>4</v>
      </c>
    </row>
    <row r="15" spans="3:34" ht="16.8" thickTop="1" thickBot="1" x14ac:dyDescent="0.35">
      <c r="C15" s="106" t="s">
        <v>188</v>
      </c>
      <c r="D15" s="162" t="s">
        <v>192</v>
      </c>
      <c r="E15" s="163"/>
      <c r="F15" s="101"/>
      <c r="G15" s="101"/>
      <c r="H15" s="101"/>
      <c r="AB15" s="103" t="s">
        <v>5</v>
      </c>
    </row>
    <row r="16" spans="3:34" ht="16.2" thickBot="1" x14ac:dyDescent="0.35">
      <c r="AB16" s="103" t="s">
        <v>190</v>
      </c>
    </row>
    <row r="17" spans="1:33" ht="16.2" thickTop="1" x14ac:dyDescent="0.3">
      <c r="C17" s="107" t="s">
        <v>191</v>
      </c>
      <c r="D17" s="176" t="s">
        <v>251</v>
      </c>
      <c r="AB17" s="103" t="s">
        <v>6</v>
      </c>
    </row>
    <row r="18" spans="1:33" ht="16.2" thickBot="1" x14ac:dyDescent="0.35">
      <c r="AB18" s="103" t="s">
        <v>192</v>
      </c>
    </row>
    <row r="19" spans="1:33" ht="16.2" thickTop="1" x14ac:dyDescent="0.25">
      <c r="C19" s="107" t="s">
        <v>193</v>
      </c>
      <c r="D19" s="177" t="s">
        <v>252</v>
      </c>
      <c r="E19" s="160"/>
      <c r="G19" s="108"/>
      <c r="H19" s="108"/>
      <c r="AB19" s="103" t="s">
        <v>171</v>
      </c>
    </row>
    <row r="20" spans="1:33" ht="16.2" thickBot="1" x14ac:dyDescent="0.35">
      <c r="AA20" s="109"/>
      <c r="AB20" s="103" t="s">
        <v>7</v>
      </c>
      <c r="AC20" s="109"/>
      <c r="AD20" s="109"/>
      <c r="AE20" s="109"/>
      <c r="AF20" s="97"/>
      <c r="AG20" s="97"/>
    </row>
    <row r="21" spans="1:33" ht="16.2" thickTop="1" x14ac:dyDescent="0.3">
      <c r="C21" s="107" t="s">
        <v>194</v>
      </c>
      <c r="D21" s="176" t="s">
        <v>253</v>
      </c>
      <c r="AB21" s="103" t="s">
        <v>8</v>
      </c>
      <c r="AC21" s="19"/>
      <c r="AE21" s="19"/>
      <c r="AF21" s="110"/>
      <c r="AG21" s="111"/>
    </row>
    <row r="22" spans="1:33" ht="16.2" thickBot="1" x14ac:dyDescent="0.3">
      <c r="E22" s="108"/>
      <c r="AB22" s="103" t="s">
        <v>154</v>
      </c>
      <c r="AC22" s="19"/>
      <c r="AE22" s="19"/>
      <c r="AF22" s="110"/>
      <c r="AG22" s="111"/>
    </row>
    <row r="23" spans="1:33" ht="16.2" thickTop="1" x14ac:dyDescent="0.3">
      <c r="C23" s="107" t="s">
        <v>195</v>
      </c>
      <c r="D23" s="176" t="s">
        <v>254</v>
      </c>
      <c r="AB23" s="103" t="s">
        <v>9</v>
      </c>
      <c r="AC23" s="19"/>
      <c r="AE23" s="19"/>
      <c r="AF23" s="110"/>
      <c r="AG23" s="111"/>
    </row>
    <row r="24" spans="1:33" ht="16.2" thickBot="1" x14ac:dyDescent="0.35">
      <c r="AB24" s="103" t="s">
        <v>155</v>
      </c>
      <c r="AC24" s="19"/>
      <c r="AE24" s="19"/>
      <c r="AF24" s="110"/>
      <c r="AG24" s="111"/>
    </row>
    <row r="25" spans="1:33" ht="16.2" thickTop="1" x14ac:dyDescent="0.3">
      <c r="C25" s="107" t="s">
        <v>196</v>
      </c>
      <c r="D25" s="178">
        <v>41348</v>
      </c>
      <c r="G25" s="112"/>
      <c r="H25" s="112"/>
      <c r="AB25" s="103" t="s">
        <v>172</v>
      </c>
      <c r="AC25" s="19"/>
      <c r="AE25" s="19"/>
      <c r="AF25" s="110"/>
      <c r="AG25" s="111"/>
    </row>
    <row r="26" spans="1:33" ht="16.2" thickBot="1" x14ac:dyDescent="0.35">
      <c r="C26" s="113"/>
      <c r="D26" s="114"/>
      <c r="I26" s="115"/>
      <c r="AB26" s="103" t="s">
        <v>173</v>
      </c>
      <c r="AC26" s="19"/>
      <c r="AE26" s="19"/>
      <c r="AF26" s="110"/>
      <c r="AG26" s="111"/>
    </row>
    <row r="27" spans="1:33" ht="15.75" customHeight="1" thickTop="1" x14ac:dyDescent="0.3">
      <c r="C27" s="94" t="s">
        <v>197</v>
      </c>
      <c r="D27" s="116">
        <v>2012</v>
      </c>
      <c r="AB27" s="103" t="s">
        <v>10</v>
      </c>
      <c r="AC27" s="19"/>
      <c r="AE27" s="19"/>
      <c r="AF27" s="110"/>
      <c r="AG27" s="111"/>
    </row>
    <row r="28" spans="1:33" ht="15.75" customHeight="1" x14ac:dyDescent="0.3">
      <c r="AB28" s="103" t="s">
        <v>174</v>
      </c>
      <c r="AC28" s="19"/>
      <c r="AE28" s="19"/>
      <c r="AF28" s="110"/>
      <c r="AG28" s="111"/>
    </row>
    <row r="29" spans="1:33" ht="15.75" customHeight="1" x14ac:dyDescent="0.3">
      <c r="C29" s="94"/>
      <c r="AB29" s="103" t="s">
        <v>198</v>
      </c>
      <c r="AC29" s="19"/>
      <c r="AE29" s="19"/>
      <c r="AF29" s="110"/>
      <c r="AG29" s="111"/>
    </row>
    <row r="30" spans="1:33" ht="15.75" customHeight="1" x14ac:dyDescent="0.3">
      <c r="A30" s="117" t="s">
        <v>199</v>
      </c>
      <c r="C30" s="94"/>
      <c r="AB30" s="103"/>
      <c r="AC30" s="19"/>
      <c r="AE30" s="19"/>
      <c r="AF30" s="110"/>
      <c r="AG30" s="111"/>
    </row>
    <row r="31" spans="1:33" ht="15.75" customHeight="1" x14ac:dyDescent="0.3">
      <c r="C31" s="94"/>
      <c r="AB31" s="103"/>
      <c r="AC31" s="19"/>
      <c r="AE31" s="19"/>
      <c r="AF31" s="110"/>
      <c r="AG31" s="111"/>
    </row>
    <row r="32" spans="1:33" ht="15.75" customHeight="1" x14ac:dyDescent="0.3">
      <c r="AB32" s="103" t="s">
        <v>156</v>
      </c>
      <c r="AC32" s="19"/>
      <c r="AE32" s="19"/>
      <c r="AF32" s="110"/>
      <c r="AG32" s="111"/>
    </row>
    <row r="33" spans="3:33" ht="15.6" x14ac:dyDescent="0.3">
      <c r="C33" s="93"/>
      <c r="AB33" s="103" t="s">
        <v>175</v>
      </c>
      <c r="AC33" s="19"/>
      <c r="AE33" s="19"/>
      <c r="AF33" s="110"/>
      <c r="AG33" s="111"/>
    </row>
    <row r="34" spans="3:33" ht="15.6" x14ac:dyDescent="0.3">
      <c r="F34" s="118"/>
      <c r="G34" s="118"/>
      <c r="H34" s="118"/>
      <c r="I34" s="118"/>
      <c r="J34" s="118"/>
      <c r="K34" s="118"/>
      <c r="AB34" s="103" t="s">
        <v>11</v>
      </c>
      <c r="AC34" s="19"/>
      <c r="AE34" s="19"/>
      <c r="AF34" s="110"/>
      <c r="AG34" s="111"/>
    </row>
    <row r="35" spans="3:33" ht="15.6" x14ac:dyDescent="0.3">
      <c r="F35" s="118"/>
      <c r="G35" s="118"/>
      <c r="H35" s="118"/>
      <c r="I35" s="118"/>
      <c r="J35" s="118"/>
      <c r="K35" s="118"/>
      <c r="AB35" s="103" t="s">
        <v>157</v>
      </c>
      <c r="AC35" s="19"/>
      <c r="AE35" s="19"/>
      <c r="AF35" s="110"/>
      <c r="AG35" s="111"/>
    </row>
    <row r="36" spans="3:33" ht="15.6" x14ac:dyDescent="0.3">
      <c r="F36" s="118"/>
      <c r="G36" s="118"/>
      <c r="H36" s="118"/>
      <c r="I36" s="118"/>
      <c r="J36" s="118"/>
      <c r="K36" s="118"/>
      <c r="AB36" s="103" t="s">
        <v>168</v>
      </c>
      <c r="AC36" s="19"/>
      <c r="AE36" s="19"/>
      <c r="AF36" s="110"/>
      <c r="AG36" s="111"/>
    </row>
    <row r="37" spans="3:33" ht="15.6" x14ac:dyDescent="0.3">
      <c r="D37" s="99"/>
      <c r="E37" s="19"/>
      <c r="F37" s="119"/>
      <c r="G37" s="119"/>
      <c r="H37" s="119"/>
      <c r="I37" s="119"/>
      <c r="J37" s="119"/>
      <c r="K37" s="119"/>
      <c r="AB37" s="103" t="s">
        <v>12</v>
      </c>
      <c r="AC37" s="19"/>
      <c r="AE37" s="19"/>
      <c r="AF37" s="110"/>
      <c r="AG37" s="111"/>
    </row>
    <row r="38" spans="3:33" ht="15.75" customHeight="1" x14ac:dyDescent="0.3">
      <c r="D38" s="1"/>
      <c r="E38" s="19"/>
      <c r="F38" s="120"/>
      <c r="G38" s="118"/>
      <c r="H38" s="118"/>
      <c r="I38" s="118"/>
      <c r="J38" s="118"/>
      <c r="K38" s="118"/>
      <c r="AB38" s="103" t="s">
        <v>176</v>
      </c>
      <c r="AC38" s="19"/>
      <c r="AE38" s="19"/>
      <c r="AF38" s="110"/>
      <c r="AG38" s="111"/>
    </row>
    <row r="39" spans="3:33" ht="15.75" customHeight="1" x14ac:dyDescent="0.3">
      <c r="D39" s="99"/>
      <c r="E39" s="19"/>
      <c r="F39" s="119"/>
      <c r="G39" s="119"/>
      <c r="H39" s="119"/>
      <c r="I39" s="119"/>
      <c r="J39" s="119"/>
      <c r="K39" s="119"/>
      <c r="AB39" s="103" t="s">
        <v>200</v>
      </c>
      <c r="AC39" s="19"/>
      <c r="AE39" s="19"/>
      <c r="AF39" s="110"/>
      <c r="AG39" s="111"/>
    </row>
    <row r="40" spans="3:33" ht="15.75" customHeight="1" x14ac:dyDescent="0.3">
      <c r="D40" s="1"/>
      <c r="E40" s="19"/>
      <c r="F40" s="120"/>
      <c r="G40" s="118"/>
      <c r="H40" s="118"/>
      <c r="I40" s="118"/>
      <c r="J40" s="118"/>
      <c r="K40" s="118"/>
      <c r="AB40" s="103" t="s">
        <v>177</v>
      </c>
      <c r="AC40" s="19"/>
      <c r="AE40" s="19"/>
      <c r="AF40" s="110"/>
      <c r="AG40" s="111"/>
    </row>
    <row r="41" spans="3:33" ht="15.75" customHeight="1" x14ac:dyDescent="0.3">
      <c r="D41" s="99"/>
      <c r="E41" s="121"/>
      <c r="F41" s="119"/>
      <c r="G41" s="119"/>
      <c r="H41" s="119"/>
      <c r="I41" s="119"/>
      <c r="J41" s="119"/>
      <c r="K41" s="119"/>
      <c r="AB41" s="103" t="s">
        <v>158</v>
      </c>
      <c r="AC41" s="19"/>
      <c r="AE41" s="19"/>
      <c r="AF41" s="110"/>
      <c r="AG41" s="111"/>
    </row>
    <row r="42" spans="3:33" ht="15.6" x14ac:dyDescent="0.3">
      <c r="D42" s="1"/>
      <c r="E42" s="19"/>
      <c r="F42" s="122"/>
      <c r="G42" s="118"/>
      <c r="H42" s="118"/>
      <c r="I42" s="118"/>
      <c r="J42" s="118"/>
      <c r="K42" s="118"/>
      <c r="AB42" s="103" t="s">
        <v>159</v>
      </c>
      <c r="AC42" s="19"/>
      <c r="AE42" s="19"/>
      <c r="AF42" s="110"/>
      <c r="AG42" s="111"/>
    </row>
    <row r="43" spans="3:33" ht="15.6" x14ac:dyDescent="0.3">
      <c r="D43" s="123"/>
      <c r="E43" s="124"/>
      <c r="F43" s="119"/>
      <c r="G43" s="119"/>
      <c r="H43" s="119"/>
      <c r="I43" s="119"/>
      <c r="J43" s="119"/>
      <c r="K43" s="119"/>
      <c r="AB43" s="103" t="s">
        <v>13</v>
      </c>
      <c r="AC43" s="19"/>
      <c r="AE43" s="19"/>
      <c r="AF43" s="110"/>
      <c r="AG43" s="111"/>
    </row>
    <row r="44" spans="3:33" ht="13.2" x14ac:dyDescent="0.25">
      <c r="E44" s="19"/>
      <c r="F44" s="118"/>
      <c r="G44" s="118"/>
      <c r="H44" s="118"/>
      <c r="I44" s="118"/>
      <c r="J44" s="118"/>
      <c r="K44" s="118"/>
      <c r="AB44" s="103" t="s">
        <v>178</v>
      </c>
      <c r="AC44" s="19"/>
      <c r="AE44" s="19"/>
      <c r="AF44" s="110"/>
      <c r="AG44" s="111"/>
    </row>
    <row r="45" spans="3:33" ht="15.6" x14ac:dyDescent="0.3">
      <c r="D45" s="123"/>
      <c r="E45" s="123"/>
      <c r="F45" s="125"/>
      <c r="G45" s="125"/>
      <c r="H45" s="126"/>
      <c r="I45" s="126"/>
      <c r="J45" s="126"/>
      <c r="K45" s="126"/>
      <c r="AB45" s="103" t="s">
        <v>14</v>
      </c>
      <c r="AC45" s="19"/>
      <c r="AE45" s="19"/>
      <c r="AF45" s="110"/>
      <c r="AG45" s="111"/>
    </row>
    <row r="46" spans="3:33" ht="13.2" x14ac:dyDescent="0.25">
      <c r="E46" s="19"/>
      <c r="F46" s="118"/>
      <c r="G46" s="118"/>
      <c r="H46" s="118"/>
      <c r="I46" s="118"/>
      <c r="J46" s="118"/>
      <c r="K46" s="118"/>
      <c r="AB46" s="103" t="s">
        <v>15</v>
      </c>
      <c r="AC46" s="19"/>
      <c r="AE46" s="19"/>
      <c r="AF46" s="110"/>
      <c r="AG46" s="111"/>
    </row>
    <row r="47" spans="3:33" ht="15" customHeight="1" x14ac:dyDescent="0.25">
      <c r="D47" s="127"/>
      <c r="E47" s="127"/>
      <c r="F47" s="128"/>
      <c r="G47" s="128"/>
      <c r="H47" s="128"/>
      <c r="I47" s="129"/>
      <c r="J47" s="129"/>
      <c r="K47" s="129"/>
      <c r="AB47" s="103" t="s">
        <v>16</v>
      </c>
      <c r="AC47" s="19"/>
      <c r="AE47" s="19"/>
      <c r="AF47" s="110"/>
      <c r="AG47" s="111"/>
    </row>
    <row r="48" spans="3:33" ht="15" customHeight="1" x14ac:dyDescent="0.25">
      <c r="C48" s="127"/>
      <c r="D48" s="127"/>
      <c r="E48" s="127"/>
      <c r="F48" s="128"/>
      <c r="G48" s="128"/>
      <c r="H48" s="128"/>
      <c r="I48" s="129"/>
      <c r="J48" s="129"/>
      <c r="K48" s="129"/>
      <c r="AB48" s="103" t="s">
        <v>201</v>
      </c>
      <c r="AC48" s="19"/>
      <c r="AE48" s="19"/>
      <c r="AF48" s="110"/>
      <c r="AG48" s="111"/>
    </row>
    <row r="49" spans="6:33" ht="15.6" x14ac:dyDescent="0.3">
      <c r="F49" s="118"/>
      <c r="G49" s="118"/>
      <c r="H49" s="118"/>
      <c r="I49" s="118"/>
      <c r="J49" s="118"/>
      <c r="K49" s="118"/>
      <c r="AB49" s="103" t="s">
        <v>202</v>
      </c>
      <c r="AC49" s="19"/>
      <c r="AE49" s="19"/>
      <c r="AF49" s="110"/>
      <c r="AG49" s="111"/>
    </row>
    <row r="50" spans="6:33" ht="15.6" x14ac:dyDescent="0.3">
      <c r="F50" s="118"/>
      <c r="G50" s="118"/>
      <c r="H50" s="118"/>
      <c r="I50" s="118"/>
      <c r="J50" s="118"/>
      <c r="K50" s="118"/>
      <c r="AB50" s="103" t="s">
        <v>160</v>
      </c>
      <c r="AC50" s="19"/>
      <c r="AE50" s="19"/>
      <c r="AF50" s="110"/>
      <c r="AG50" s="111"/>
    </row>
    <row r="51" spans="6:33" ht="15.6" x14ac:dyDescent="0.3">
      <c r="AB51" s="103" t="s">
        <v>17</v>
      </c>
      <c r="AC51" s="19"/>
      <c r="AE51" s="19"/>
      <c r="AF51" s="110"/>
      <c r="AG51" s="111"/>
    </row>
    <row r="52" spans="6:33" ht="15.6" x14ac:dyDescent="0.3">
      <c r="AB52" s="103" t="s">
        <v>203</v>
      </c>
      <c r="AC52" s="19"/>
      <c r="AE52" s="19"/>
      <c r="AF52" s="110"/>
      <c r="AG52" s="111"/>
    </row>
    <row r="53" spans="6:33" ht="15.6" x14ac:dyDescent="0.3">
      <c r="AB53" s="103" t="s">
        <v>18</v>
      </c>
      <c r="AC53" s="19"/>
      <c r="AE53" s="19"/>
      <c r="AF53" s="110"/>
      <c r="AG53" s="111"/>
    </row>
    <row r="54" spans="6:33" ht="15.6" x14ac:dyDescent="0.3">
      <c r="AB54" s="103" t="s">
        <v>19</v>
      </c>
      <c r="AC54" s="19"/>
      <c r="AE54" s="19"/>
      <c r="AF54" s="110"/>
      <c r="AG54" s="111"/>
    </row>
    <row r="55" spans="6:33" ht="15.6" x14ac:dyDescent="0.3">
      <c r="AB55" s="103" t="s">
        <v>189</v>
      </c>
      <c r="AC55" s="19"/>
      <c r="AE55" s="19"/>
      <c r="AF55" s="110"/>
      <c r="AG55" s="111"/>
    </row>
    <row r="56" spans="6:33" ht="15.6" x14ac:dyDescent="0.3">
      <c r="AB56" s="103" t="s">
        <v>20</v>
      </c>
      <c r="AC56" s="19"/>
      <c r="AE56" s="19"/>
      <c r="AF56" s="110"/>
      <c r="AG56" s="111"/>
    </row>
    <row r="57" spans="6:33" ht="15.6" x14ac:dyDescent="0.3">
      <c r="AB57" s="103" t="s">
        <v>204</v>
      </c>
      <c r="AC57" s="19"/>
      <c r="AE57" s="19"/>
      <c r="AF57" s="110"/>
      <c r="AG57" s="111"/>
    </row>
    <row r="58" spans="6:33" ht="15.6" x14ac:dyDescent="0.3">
      <c r="AB58" s="103" t="s">
        <v>179</v>
      </c>
      <c r="AC58" s="19"/>
      <c r="AE58" s="19"/>
      <c r="AF58" s="110"/>
      <c r="AG58" s="111"/>
    </row>
    <row r="59" spans="6:33" ht="15.6" x14ac:dyDescent="0.3">
      <c r="AB59" s="103" t="s">
        <v>21</v>
      </c>
      <c r="AC59" s="19"/>
      <c r="AE59" s="19"/>
      <c r="AF59" s="110"/>
      <c r="AG59" s="111"/>
    </row>
    <row r="60" spans="6:33" ht="15.6" x14ac:dyDescent="0.3">
      <c r="AB60" s="103" t="s">
        <v>161</v>
      </c>
      <c r="AC60" s="19"/>
      <c r="AE60" s="19"/>
      <c r="AF60" s="110"/>
      <c r="AG60" s="111"/>
    </row>
    <row r="61" spans="6:33" ht="15.6" x14ac:dyDescent="0.3">
      <c r="AB61" s="103" t="s">
        <v>205</v>
      </c>
      <c r="AC61" s="19"/>
      <c r="AE61" s="19"/>
      <c r="AF61" s="110"/>
      <c r="AG61" s="111"/>
    </row>
    <row r="62" spans="6:33" ht="15.6" x14ac:dyDescent="0.3">
      <c r="AB62" s="103" t="s">
        <v>206</v>
      </c>
      <c r="AC62" s="19"/>
      <c r="AE62" s="19"/>
      <c r="AF62" s="110"/>
      <c r="AG62" s="111"/>
    </row>
    <row r="63" spans="6:33" ht="15.6" x14ac:dyDescent="0.3">
      <c r="AB63" s="103" t="s">
        <v>22</v>
      </c>
      <c r="AC63" s="19"/>
      <c r="AE63" s="19"/>
      <c r="AF63" s="110"/>
      <c r="AG63" s="111"/>
    </row>
    <row r="64" spans="6:33" ht="15.6" x14ac:dyDescent="0.3">
      <c r="AB64" s="103" t="s">
        <v>23</v>
      </c>
      <c r="AC64" s="19"/>
      <c r="AE64" s="19"/>
      <c r="AF64" s="110"/>
      <c r="AG64" s="111"/>
    </row>
    <row r="65" spans="28:33" ht="15.6" x14ac:dyDescent="0.3">
      <c r="AB65" s="103" t="s">
        <v>180</v>
      </c>
      <c r="AC65" s="19"/>
      <c r="AE65" s="19"/>
      <c r="AF65" s="110"/>
      <c r="AG65" s="111"/>
    </row>
    <row r="66" spans="28:33" ht="15.6" x14ac:dyDescent="0.3">
      <c r="AB66" s="103" t="s">
        <v>162</v>
      </c>
      <c r="AC66" s="19"/>
      <c r="AE66" s="19"/>
      <c r="AF66" s="110"/>
      <c r="AG66" s="111"/>
    </row>
    <row r="67" spans="28:33" ht="15.6" x14ac:dyDescent="0.3">
      <c r="AB67" s="103" t="s">
        <v>24</v>
      </c>
      <c r="AC67" s="19"/>
      <c r="AE67" s="19"/>
      <c r="AF67" s="110"/>
      <c r="AG67" s="111"/>
    </row>
    <row r="68" spans="28:33" ht="15.6" x14ac:dyDescent="0.3">
      <c r="AB68" s="103" t="s">
        <v>207</v>
      </c>
      <c r="AC68" s="19"/>
      <c r="AE68" s="19"/>
      <c r="AF68" s="110"/>
      <c r="AG68" s="111"/>
    </row>
    <row r="69" spans="28:33" ht="15.6" x14ac:dyDescent="0.3">
      <c r="AB69" s="103" t="s">
        <v>25</v>
      </c>
      <c r="AC69" s="19"/>
      <c r="AE69" s="19"/>
      <c r="AF69" s="110"/>
      <c r="AG69" s="111"/>
    </row>
    <row r="70" spans="28:33" ht="15.6" x14ac:dyDescent="0.3">
      <c r="AB70" s="103" t="s">
        <v>167</v>
      </c>
      <c r="AC70" s="19"/>
      <c r="AE70" s="19"/>
      <c r="AF70" s="110"/>
      <c r="AG70" s="111"/>
    </row>
    <row r="71" spans="28:33" ht="15.6" x14ac:dyDescent="0.3">
      <c r="AB71" s="103" t="s">
        <v>163</v>
      </c>
      <c r="AC71" s="19"/>
      <c r="AE71" s="19"/>
      <c r="AF71" s="110"/>
      <c r="AG71" s="111"/>
    </row>
    <row r="72" spans="28:33" ht="15.6" x14ac:dyDescent="0.3">
      <c r="AB72" s="103" t="s">
        <v>164</v>
      </c>
      <c r="AC72" s="19"/>
      <c r="AE72" s="19"/>
      <c r="AF72" s="110"/>
      <c r="AG72" s="111"/>
    </row>
    <row r="73" spans="28:33" ht="15.6" x14ac:dyDescent="0.3">
      <c r="AB73" s="103" t="s">
        <v>165</v>
      </c>
      <c r="AC73" s="19"/>
      <c r="AE73" s="19"/>
      <c r="AF73" s="110"/>
      <c r="AG73" s="111"/>
    </row>
    <row r="74" spans="28:33" ht="15.6" x14ac:dyDescent="0.3">
      <c r="AB74" s="103" t="s">
        <v>208</v>
      </c>
      <c r="AC74" s="19"/>
      <c r="AE74" s="19"/>
      <c r="AF74" s="110"/>
      <c r="AG74" s="111"/>
    </row>
    <row r="75" spans="28:33" ht="15.6" x14ac:dyDescent="0.3">
      <c r="AB75" s="103" t="s">
        <v>181</v>
      </c>
      <c r="AC75" s="19"/>
      <c r="AE75" s="19"/>
      <c r="AF75" s="110"/>
      <c r="AG75" s="111"/>
    </row>
    <row r="76" spans="28:33" ht="15.6" x14ac:dyDescent="0.3">
      <c r="AB76" s="103" t="s">
        <v>26</v>
      </c>
      <c r="AC76" s="19"/>
      <c r="AE76" s="19"/>
      <c r="AF76" s="110"/>
      <c r="AG76" s="111"/>
    </row>
    <row r="77" spans="28:33" ht="15.6" x14ac:dyDescent="0.3">
      <c r="AB77" s="103" t="s">
        <v>27</v>
      </c>
      <c r="AC77" s="19"/>
      <c r="AE77" s="19"/>
      <c r="AF77" s="110"/>
      <c r="AG77" s="111"/>
    </row>
    <row r="78" spans="28:33" ht="15.6" x14ac:dyDescent="0.3">
      <c r="AB78" s="103" t="s">
        <v>28</v>
      </c>
      <c r="AC78" s="19"/>
      <c r="AE78" s="19"/>
      <c r="AF78" s="110"/>
      <c r="AG78" s="111"/>
    </row>
    <row r="79" spans="28:33" ht="15.6" x14ac:dyDescent="0.3">
      <c r="AB79" s="103" t="s">
        <v>166</v>
      </c>
      <c r="AC79" s="19"/>
      <c r="AE79" s="19"/>
      <c r="AF79" s="110"/>
      <c r="AG79" s="111"/>
    </row>
    <row r="80" spans="28:33" ht="15.6" x14ac:dyDescent="0.3">
      <c r="AC80" s="19"/>
      <c r="AE80" s="19"/>
      <c r="AF80" s="110"/>
      <c r="AG80" s="111"/>
    </row>
    <row r="81" spans="29:33" ht="15.6" x14ac:dyDescent="0.3">
      <c r="AC81" s="19"/>
      <c r="AE81" s="19"/>
      <c r="AF81" s="110"/>
      <c r="AG81" s="111"/>
    </row>
    <row r="82" spans="29:33" ht="15.6" x14ac:dyDescent="0.3">
      <c r="AC82" s="19"/>
      <c r="AE82" s="19"/>
      <c r="AF82" s="110"/>
      <c r="AG82" s="111"/>
    </row>
    <row r="83" spans="29:33" ht="15.6" x14ac:dyDescent="0.3">
      <c r="AC83" s="19"/>
      <c r="AE83" s="19"/>
      <c r="AF83" s="110"/>
      <c r="AG83" s="111"/>
    </row>
    <row r="84" spans="29:33" ht="15.6" x14ac:dyDescent="0.3">
      <c r="AC84" s="19"/>
      <c r="AE84" s="19"/>
      <c r="AF84" s="110"/>
      <c r="AG84" s="111"/>
    </row>
    <row r="85" spans="29:33" ht="15.6" x14ac:dyDescent="0.3">
      <c r="AC85" s="19"/>
      <c r="AE85" s="19"/>
      <c r="AF85" s="110"/>
      <c r="AG85" s="111"/>
    </row>
    <row r="86" spans="29:33" ht="15.6" x14ac:dyDescent="0.3">
      <c r="AC86" s="19"/>
      <c r="AE86" s="19"/>
      <c r="AF86" s="110"/>
      <c r="AG86" s="111"/>
    </row>
    <row r="87" spans="29:33" ht="15.6" x14ac:dyDescent="0.3">
      <c r="AC87" s="19"/>
      <c r="AE87" s="19"/>
      <c r="AF87" s="110"/>
      <c r="AG87" s="111"/>
    </row>
    <row r="88" spans="29:33" ht="15.6" x14ac:dyDescent="0.3">
      <c r="AC88" s="19"/>
      <c r="AE88" s="19"/>
      <c r="AF88" s="111"/>
      <c r="AG88" s="111"/>
    </row>
    <row r="89" spans="29:33" ht="15.6" x14ac:dyDescent="0.3">
      <c r="AC89" s="19"/>
      <c r="AE89" s="19"/>
      <c r="AF89" s="111"/>
      <c r="AG89" s="111"/>
    </row>
    <row r="90" spans="29:33" ht="15.6" x14ac:dyDescent="0.3">
      <c r="AC90" s="19"/>
      <c r="AE90" s="19"/>
      <c r="AF90" s="111"/>
      <c r="AG90" s="111"/>
    </row>
    <row r="91" spans="29:33" ht="15.6" x14ac:dyDescent="0.3">
      <c r="AC91" s="130"/>
      <c r="AF91" s="111"/>
      <c r="AG91" s="111"/>
    </row>
    <row r="92" spans="29:33" ht="15.6" x14ac:dyDescent="0.3">
      <c r="AC92" s="130"/>
      <c r="AF92" s="111"/>
      <c r="AG92" s="111"/>
    </row>
    <row r="93" spans="29:33" ht="15.6" x14ac:dyDescent="0.3">
      <c r="AC93" s="130"/>
      <c r="AF93" s="111"/>
      <c r="AG93" s="111"/>
    </row>
    <row r="94" spans="29:33" ht="15.6" x14ac:dyDescent="0.3">
      <c r="AC94" s="130"/>
      <c r="AF94" s="111"/>
      <c r="AG94" s="111"/>
    </row>
    <row r="95" spans="29:33" ht="15.6" x14ac:dyDescent="0.3">
      <c r="AC95" s="130"/>
      <c r="AF95" s="111"/>
      <c r="AG95" s="111"/>
    </row>
    <row r="96" spans="29:33" ht="15.6" x14ac:dyDescent="0.3">
      <c r="AC96" s="130"/>
      <c r="AF96" s="111"/>
      <c r="AG96" s="111"/>
    </row>
    <row r="97" spans="29:33" ht="15.6" x14ac:dyDescent="0.3">
      <c r="AC97" s="130"/>
      <c r="AF97" s="111"/>
      <c r="AG97" s="111"/>
    </row>
    <row r="98" spans="29:33" ht="15.6" x14ac:dyDescent="0.3">
      <c r="AC98" s="130"/>
      <c r="AF98" s="111"/>
      <c r="AG98" s="111"/>
    </row>
    <row r="99" spans="29:33" ht="15.6" x14ac:dyDescent="0.3">
      <c r="AC99" s="130"/>
      <c r="AF99" s="111"/>
      <c r="AG99" s="111"/>
    </row>
    <row r="100" spans="29:33" ht="15.6" x14ac:dyDescent="0.3">
      <c r="AC100" s="130"/>
      <c r="AF100" s="111"/>
      <c r="AG100" s="111"/>
    </row>
    <row r="101" spans="29:33" ht="15.6" x14ac:dyDescent="0.3">
      <c r="AC101" s="130"/>
      <c r="AF101" s="111"/>
      <c r="AG101" s="111"/>
    </row>
    <row r="102" spans="29:33" ht="15.6" x14ac:dyDescent="0.3">
      <c r="AC102" s="130"/>
      <c r="AF102" s="111"/>
      <c r="AG102" s="111"/>
    </row>
    <row r="103" spans="29:33" ht="15.6" x14ac:dyDescent="0.3">
      <c r="AC103" s="130"/>
      <c r="AF103" s="111"/>
      <c r="AG103" s="111"/>
    </row>
    <row r="104" spans="29:33" ht="15.6" x14ac:dyDescent="0.3">
      <c r="AC104" s="130"/>
      <c r="AF104" s="111"/>
      <c r="AG104" s="111"/>
    </row>
    <row r="105" spans="29:33" ht="15.6" x14ac:dyDescent="0.3">
      <c r="AC105" s="130"/>
      <c r="AF105" s="111"/>
      <c r="AG105" s="111"/>
    </row>
    <row r="106" spans="29:33" ht="15.6" x14ac:dyDescent="0.3">
      <c r="AC106" s="130"/>
      <c r="AF106" s="111"/>
      <c r="AG106" s="111"/>
    </row>
    <row r="107" spans="29:33" ht="15.6" x14ac:dyDescent="0.3">
      <c r="AC107" s="130"/>
      <c r="AF107" s="111"/>
      <c r="AG107" s="111"/>
    </row>
    <row r="108" spans="29:33" ht="15.6" hidden="1" x14ac:dyDescent="0.3">
      <c r="AC108" s="130"/>
      <c r="AF108" s="111"/>
      <c r="AG108" s="111"/>
    </row>
    <row r="109" spans="29:33" ht="15.6" hidden="1" x14ac:dyDescent="0.3">
      <c r="AC109" s="130"/>
      <c r="AF109" s="111"/>
      <c r="AG109" s="111"/>
    </row>
    <row r="110" spans="29:33" ht="15.6" x14ac:dyDescent="0.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C1" workbookViewId="0">
      <pane ySplit="23" topLeftCell="A24" activePane="bottomLeft" state="frozenSplit"/>
      <selection pane="bottomLeft" activeCell="N56" sqref="N56"/>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6" customWidth="1"/>
  </cols>
  <sheetData>
    <row r="13" spans="2:2" ht="15.6" x14ac:dyDescent="0.3">
      <c r="B13" s="140" t="s">
        <v>221</v>
      </c>
    </row>
    <row r="14" spans="2:2" ht="3" customHeight="1" x14ac:dyDescent="0.25"/>
    <row r="15" spans="2:2" ht="3" customHeight="1" x14ac:dyDescent="0.25"/>
    <row r="16" spans="2:2"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222</v>
      </c>
      <c r="G22" s="132"/>
      <c r="H22" s="139" t="s">
        <v>215</v>
      </c>
      <c r="I22" s="136"/>
      <c r="J22" s="139" t="s">
        <v>216</v>
      </c>
      <c r="K22" s="132"/>
      <c r="L22" s="139" t="s">
        <v>217</v>
      </c>
      <c r="M22" s="139"/>
      <c r="N22" s="139" t="s">
        <v>218</v>
      </c>
      <c r="O22" s="139"/>
      <c r="P22" s="139" t="s">
        <v>223</v>
      </c>
      <c r="Q22" s="139"/>
      <c r="R22" s="139"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4.0000000000000001E-3</v>
      </c>
      <c r="G25" s="57"/>
      <c r="H25" s="64">
        <f>VLOOKUP('9. Adj Network to Current WS'!$B25, '4. RRR Data'!$B$27:$M$49,11,0)</f>
        <v>147654537.5187</v>
      </c>
      <c r="I25" s="72"/>
      <c r="J25" s="64">
        <f>VLOOKUP('9. Adj Network to Current WS'!$B25, '4. RRR Data'!$B$27:$M$49,12,0)</f>
        <v>0</v>
      </c>
      <c r="K25" s="58"/>
      <c r="L25" s="60">
        <f t="shared" ref="L25:L46" si="0">IF(F25="", "", IF(D25="kWh", F25*H25, F25*J25))</f>
        <v>590618.15007480001</v>
      </c>
      <c r="M25" s="55"/>
      <c r="N25" s="61">
        <f t="shared" ref="N25:N46" si="1">IF(ISERROR(L25/$L$49), "", L25/$L$49)</f>
        <v>0.36949548118360065</v>
      </c>
      <c r="O25" s="13"/>
      <c r="P25" s="62">
        <f>IF(ISERROR('7. Current Wholesale'!$P$75*N25), "", '7. Current Wholesale'!$P$75*N25)</f>
        <v>740905.71012042358</v>
      </c>
      <c r="R25" s="63">
        <f t="shared" ref="R25:R46" si="2">IF(D25="","",IF(D25="kWh",IF(H25&lt;&gt;0,P25/H25,),IF(J25&lt;&gt;0,P25/J25,0)))</f>
        <v>5.0178323170501282E-3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3.5999999999999999E-3</v>
      </c>
      <c r="G26" s="57"/>
      <c r="H26" s="64">
        <f>VLOOKUP('9. Adj Network to Current WS'!$B26, '4. RRR Data'!$B$27:$M$49,11,0)</f>
        <v>51030462.6765</v>
      </c>
      <c r="I26" s="72"/>
      <c r="J26" s="64">
        <f>VLOOKUP('9. Adj Network to Current WS'!$B26, '4. RRR Data'!$B$27:$M$49,12,0)</f>
        <v>0</v>
      </c>
      <c r="K26" s="59"/>
      <c r="L26" s="60">
        <f t="shared" si="0"/>
        <v>183709.66563539999</v>
      </c>
      <c r="M26" s="55"/>
      <c r="N26" s="61">
        <f t="shared" si="1"/>
        <v>0.11493024942330965</v>
      </c>
      <c r="P26" s="62">
        <f>IF(ISERROR('7. Current Wholesale'!$P$75*N26), "", '7. Current Wholesale'!$P$75*N26)</f>
        <v>230456.07429494584</v>
      </c>
      <c r="R26" s="63">
        <f t="shared" si="2"/>
        <v>4.5160490853451149E-3</v>
      </c>
    </row>
    <row r="27" spans="2:18" ht="25.5" customHeight="1" thickBot="1" x14ac:dyDescent="0.3">
      <c r="B27" s="15" t="str">
        <f>IF('3. Rate Classes'!Q26=1,'3. Rate Classes'!C26, 0)</f>
        <v>General Service 50 to 999 kW</v>
      </c>
      <c r="C27" s="8"/>
      <c r="D27" s="16" t="str">
        <f>IF(ISERROR(VLOOKUP($B27, '3. Rate Classes'!$C$24:$H$45,6,0)), "", VLOOKUP($B27, '3. Rate Classes'!$C$24:$H$45,6,0))</f>
        <v>kW</v>
      </c>
      <c r="F27" s="70">
        <f>IF(ISERROR(VLOOKUP($B27,'3. Rate Classes'!$C$24:$N$45, 11,0)), "", VLOOKUP($B27,'3. Rate Classes'!$C$24:$N$45, 11,0))</f>
        <v>1.2952999999999999</v>
      </c>
      <c r="G27" s="57"/>
      <c r="H27" s="64">
        <f>VLOOKUP('9. Adj Network to Current WS'!$B27, '4. RRR Data'!$B$27:$M$49,11,0)</f>
        <v>76414560</v>
      </c>
      <c r="I27" s="72"/>
      <c r="J27" s="64">
        <f>VLOOKUP('9. Adj Network to Current WS'!$B27, '4. RRR Data'!$B$27:$M$49,12,0)</f>
        <v>223584</v>
      </c>
      <c r="K27" s="59"/>
      <c r="L27" s="60">
        <f t="shared" si="0"/>
        <v>289608.35519999999</v>
      </c>
      <c r="M27" s="55"/>
      <c r="N27" s="61">
        <f t="shared" si="1"/>
        <v>0.1811813242547029</v>
      </c>
      <c r="P27" s="62">
        <f>IF(ISERROR('7. Current Wholesale'!$P$75*N27), "", '7. Current Wholesale'!$P$75*N27)</f>
        <v>363301.5410025731</v>
      </c>
      <c r="R27" s="63">
        <f t="shared" si="2"/>
        <v>1.6248995500687575</v>
      </c>
    </row>
    <row r="28" spans="2:18" ht="25.5" customHeight="1" thickBot="1" x14ac:dyDescent="0.3">
      <c r="B28" s="15" t="str">
        <f>IF('3. Rate Classes'!Q27=1,'3. Rate Classes'!C27, 0)</f>
        <v>General Service 1,000 to 4,999 kW</v>
      </c>
      <c r="C28" s="8"/>
      <c r="D28" s="16" t="str">
        <f>IF(ISERROR(VLOOKUP($B28, '3. Rate Classes'!$C$24:$H$45,6,0)), "", VLOOKUP($B28, '3. Rate Classes'!$C$24:$H$45,6,0))</f>
        <v>kW</v>
      </c>
      <c r="F28" s="70">
        <f>IF(ISERROR(VLOOKUP($B28,'3. Rate Classes'!$C$24:$N$45, 11,0)), "", VLOOKUP($B28,'3. Rate Classes'!$C$24:$N$45, 11,0))</f>
        <v>1.3929</v>
      </c>
      <c r="G28" s="57"/>
      <c r="H28" s="64">
        <f>VLOOKUP('9. Adj Network to Current WS'!$B28, '4. RRR Data'!$B$27:$M$49,11,0)</f>
        <v>99303972</v>
      </c>
      <c r="I28" s="72"/>
      <c r="J28" s="64">
        <f>VLOOKUP('9. Adj Network to Current WS'!$B28, '4. RRR Data'!$B$27:$M$49,12,0)</f>
        <v>168548</v>
      </c>
      <c r="K28" s="59"/>
      <c r="L28" s="60">
        <f t="shared" si="0"/>
        <v>234770.5092</v>
      </c>
      <c r="M28" s="55"/>
      <c r="N28" s="61">
        <f t="shared" si="1"/>
        <v>0.1468743252363422</v>
      </c>
      <c r="P28" s="62">
        <f>IF(ISERROR('7. Current Wholesale'!$P$75*N28), "", '7. Current Wholesale'!$P$75*N28)</f>
        <v>294509.76203851862</v>
      </c>
      <c r="R28" s="63">
        <f t="shared" si="2"/>
        <v>1.7473346586047809</v>
      </c>
    </row>
    <row r="29" spans="2:18" ht="25.5" customHeight="1" thickBot="1" x14ac:dyDescent="0.3">
      <c r="B29" s="15" t="str">
        <f>IF('3. Rate Classes'!Q28=1,'3. Rate Classes'!C28, 0)</f>
        <v>Large Use</v>
      </c>
      <c r="C29" s="8"/>
      <c r="D29" s="16" t="str">
        <f>IF(ISERROR(VLOOKUP($B29, '3. Rate Classes'!$C$24:$H$45,6,0)), "", VLOOKUP($B29, '3. Rate Classes'!$C$24:$H$45,6,0))</f>
        <v>kW</v>
      </c>
      <c r="F29" s="70">
        <f>IF(ISERROR(VLOOKUP($B29,'3. Rate Classes'!$C$24:$N$45, 11,0)), "", VLOOKUP($B29,'3. Rate Classes'!$C$24:$N$45, 11,0))</f>
        <v>1.58</v>
      </c>
      <c r="G29" s="57"/>
      <c r="H29" s="64">
        <f>VLOOKUP('9. Adj Network to Current WS'!$B29, '4. RRR Data'!$B$27:$M$49,11,0)</f>
        <v>95335410</v>
      </c>
      <c r="I29" s="72"/>
      <c r="J29" s="64">
        <f>VLOOKUP('9. Adj Network to Current WS'!$B29, '4. RRR Data'!$B$27:$M$49,12,0)</f>
        <v>159576</v>
      </c>
      <c r="K29" s="59"/>
      <c r="L29" s="60">
        <f t="shared" si="0"/>
        <v>252130.08000000002</v>
      </c>
      <c r="M29" s="55"/>
      <c r="N29" s="61">
        <f t="shared" si="1"/>
        <v>0.15773461282668197</v>
      </c>
      <c r="P29" s="62">
        <f>IF(ISERROR('7. Current Wholesale'!$P$75*N29), "", '7. Current Wholesale'!$P$75*N29)</f>
        <v>316286.61588110856</v>
      </c>
      <c r="R29" s="63">
        <f t="shared" si="2"/>
        <v>1.9820437652348006</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70">
        <f>IF(ISERROR(VLOOKUP($B30,'3. Rate Classes'!$C$24:$N$45, 11,0)), "", VLOOKUP($B30,'3. Rate Classes'!$C$24:$N$45, 11,0))</f>
        <v>3.5999999999999999E-3</v>
      </c>
      <c r="G30" s="57"/>
      <c r="H30" s="64">
        <f>VLOOKUP('9. Adj Network to Current WS'!$B30, '4. RRR Data'!$B$27:$M$49,11,0)</f>
        <v>634129.47470000002</v>
      </c>
      <c r="I30" s="72"/>
      <c r="J30" s="64">
        <f>VLOOKUP('9. Adj Network to Current WS'!$B30, '4. RRR Data'!$B$27:$M$49,12,0)</f>
        <v>0</v>
      </c>
      <c r="K30" s="59"/>
      <c r="L30" s="60">
        <f t="shared" si="0"/>
        <v>2282.86610892</v>
      </c>
      <c r="M30" s="55"/>
      <c r="N30" s="61">
        <f t="shared" si="1"/>
        <v>1.4281794612751092E-3</v>
      </c>
      <c r="P30" s="62">
        <f>IF(ISERROR('7. Current Wholesale'!$P$75*N30), "", '7. Current Wholesale'!$P$75*N30)</f>
        <v>2863.7598342093133</v>
      </c>
      <c r="R30" s="63">
        <f t="shared" si="2"/>
        <v>4.5160490853451149E-3</v>
      </c>
    </row>
    <row r="31" spans="2:18" ht="25.5" customHeight="1" thickBot="1" x14ac:dyDescent="0.3">
      <c r="B31" s="15" t="str">
        <f>IF('3. Rate Classes'!Q30=1,'3. Rate Classes'!C30, 0)</f>
        <v>Sentinel Lighting</v>
      </c>
      <c r="C31" s="8"/>
      <c r="D31" s="16" t="str">
        <f>IF(ISERROR(VLOOKUP($B31, '3. Rate Classes'!$C$24:$H$45,6,0)), "", VLOOKUP($B31, '3. Rate Classes'!$C$24:$H$45,6,0))</f>
        <v>kW</v>
      </c>
      <c r="F31" s="70">
        <f>IF(ISERROR(VLOOKUP($B31,'3. Rate Classes'!$C$24:$N$45, 11,0)), "", VLOOKUP($B31,'3. Rate Classes'!$C$24:$N$45, 11,0))</f>
        <v>1.0003</v>
      </c>
      <c r="G31" s="57"/>
      <c r="H31" s="64">
        <f>VLOOKUP('9. Adj Network to Current WS'!$B31, '4. RRR Data'!$B$27:$M$49,11,0)</f>
        <v>54410</v>
      </c>
      <c r="I31" s="72"/>
      <c r="J31" s="64">
        <f>VLOOKUP('9. Adj Network to Current WS'!$B31, '4. RRR Data'!$B$27:$M$49,12,0)</f>
        <v>18</v>
      </c>
      <c r="K31" s="59"/>
      <c r="L31" s="60">
        <f t="shared" si="0"/>
        <v>18.005399999999998</v>
      </c>
      <c r="M31" s="55"/>
      <c r="N31" s="61">
        <f t="shared" si="1"/>
        <v>1.1264323549929224E-5</v>
      </c>
      <c r="P31" s="62">
        <f>IF(ISERROR('7. Current Wholesale'!$P$75*N31), "", '7. Current Wholesale'!$P$75*N31)</f>
        <v>22.587019500353591</v>
      </c>
      <c r="R31" s="63">
        <f t="shared" si="2"/>
        <v>1.2548344166863106</v>
      </c>
    </row>
    <row r="32" spans="2:18" ht="25.5" customHeight="1" thickBot="1" x14ac:dyDescent="0.3">
      <c r="B32" s="15" t="str">
        <f>IF('3. Rate Classes'!Q31=1,'3. Rate Classes'!C31, 0)</f>
        <v>Street Lighting</v>
      </c>
      <c r="C32" s="8"/>
      <c r="D32" s="16" t="str">
        <f>IF(ISERROR(VLOOKUP($B32, '3. Rate Classes'!$C$24:$H$45,6,0)), "", VLOOKUP($B32, '3. Rate Classes'!$C$24:$H$45,6,0))</f>
        <v>kW</v>
      </c>
      <c r="F32" s="70">
        <f>IF(ISERROR(VLOOKUP($B32,'3. Rate Classes'!$C$24:$N$45, 11,0)), "", VLOOKUP($B32,'3. Rate Classes'!$C$24:$N$45, 11,0))</f>
        <v>1.6533</v>
      </c>
      <c r="G32" s="57"/>
      <c r="H32" s="64">
        <f>VLOOKUP('9. Adj Network to Current WS'!$B32, '4. RRR Data'!$B$27:$M$49,11,0)</f>
        <v>4189868</v>
      </c>
      <c r="I32" s="72"/>
      <c r="J32" s="64">
        <f>VLOOKUP('9. Adj Network to Current WS'!$B32, '4. RRR Data'!$B$27:$M$49,12,0)</f>
        <v>920</v>
      </c>
      <c r="K32" s="59"/>
      <c r="L32" s="60">
        <f t="shared" si="0"/>
        <v>1521.0360000000001</v>
      </c>
      <c r="M32" s="55"/>
      <c r="N32" s="61">
        <f t="shared" si="1"/>
        <v>9.5157239689705019E-4</v>
      </c>
      <c r="P32" s="62">
        <f>IF(ISERROR('7. Current Wholesale'!$P$75*N32), "", '7. Current Wholesale'!$P$75*N32)</f>
        <v>1908.0758990491645</v>
      </c>
      <c r="R32" s="63">
        <f t="shared" si="2"/>
        <v>2.0739955424447438</v>
      </c>
    </row>
    <row r="33" spans="2:18" ht="25.5" customHeight="1" thickBot="1" x14ac:dyDescent="0.3">
      <c r="B33" s="15" t="str">
        <f>IF('3. Rate Classes'!Q32=1,'3. Rate Classes'!C32, 0)</f>
        <v>Embedded Distributor</v>
      </c>
      <c r="C33" s="8"/>
      <c r="D33" s="16" t="str">
        <f>IF(ISERROR(VLOOKUP($B33, '3. Rate Classes'!$C$24:$H$45,6,0)), "", VLOOKUP($B33, '3. Rate Classes'!$C$24:$H$45,6,0))</f>
        <v>kW</v>
      </c>
      <c r="F33" s="70">
        <f>IF(ISERROR(VLOOKUP($B33,'3. Rate Classes'!$C$24:$N$45, 11,0)), "", VLOOKUP($B33,'3. Rate Classes'!$C$24:$N$45, 11,0))</f>
        <v>1.8369</v>
      </c>
      <c r="G33" s="57"/>
      <c r="H33" s="64">
        <f>VLOOKUP('9. Adj Network to Current WS'!$B33, '4. RRR Data'!$B$27:$M$49,11,0)</f>
        <v>17400000</v>
      </c>
      <c r="I33" s="72"/>
      <c r="J33" s="64">
        <f>VLOOKUP('9. Adj Network to Current WS'!$B33, '4. RRR Data'!$B$27:$M$49,12,0)</f>
        <v>23837</v>
      </c>
      <c r="K33" s="59"/>
      <c r="L33" s="60">
        <f t="shared" si="0"/>
        <v>43786.185299999997</v>
      </c>
      <c r="M33" s="55"/>
      <c r="N33" s="61">
        <f t="shared" si="1"/>
        <v>2.7392990893640508E-2</v>
      </c>
      <c r="P33" s="62">
        <f>IF(ISERROR('7. Current Wholesale'!$P$75*N33), "", '7. Current Wholesale'!$P$75*N33)</f>
        <v>54927.933909671308</v>
      </c>
      <c r="R33" s="63">
        <f t="shared" si="2"/>
        <v>2.3043140457973448</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8" hidden="1" thickBot="1" x14ac:dyDescent="0.3">
      <c r="F47" s="70"/>
      <c r="G47" s="37"/>
      <c r="H47" s="74"/>
      <c r="I47" s="74"/>
      <c r="J47" s="74"/>
      <c r="R47" s="63"/>
    </row>
    <row r="48" spans="2:18" ht="13.8" thickBot="1" x14ac:dyDescent="0.3">
      <c r="F48" s="70"/>
      <c r="G48" s="37"/>
      <c r="H48" s="74"/>
      <c r="I48" s="74"/>
      <c r="J48" s="74"/>
    </row>
    <row r="49" spans="6:12" ht="13.8" thickBot="1" x14ac:dyDescent="0.3">
      <c r="F49" s="70"/>
      <c r="G49" s="37"/>
      <c r="H49" s="74"/>
      <c r="I49" s="74"/>
      <c r="J49" s="74"/>
      <c r="L49" s="71">
        <f>SUM(L25:L46)</f>
        <v>1598444.8529191201</v>
      </c>
    </row>
    <row r="50" spans="6:12" ht="13.8" thickBot="1" x14ac:dyDescent="0.3">
      <c r="F50" s="70"/>
      <c r="G50" s="37"/>
      <c r="H50" s="74"/>
      <c r="I50" s="74"/>
      <c r="J50" s="74"/>
    </row>
    <row r="51" spans="6:12" ht="13.8" thickBot="1" x14ac:dyDescent="0.3">
      <c r="F51" s="70"/>
      <c r="G51" s="37"/>
      <c r="H51" s="74"/>
      <c r="I51" s="74"/>
      <c r="J51" s="74"/>
    </row>
    <row r="52" spans="6:12" ht="13.8" thickBot="1" x14ac:dyDescent="0.3">
      <c r="F52" s="70"/>
      <c r="G52" s="37"/>
      <c r="H52" s="74"/>
      <c r="I52" s="74"/>
      <c r="J52" s="74"/>
    </row>
    <row r="53" spans="6:12" ht="13.8" thickBot="1" x14ac:dyDescent="0.3">
      <c r="F53" s="70"/>
      <c r="G53" s="37"/>
      <c r="H53" s="37"/>
      <c r="I53" s="37"/>
      <c r="J53" s="37"/>
    </row>
    <row r="54" spans="6:12" ht="13.8" thickBot="1" x14ac:dyDescent="0.3">
      <c r="F54" s="70"/>
      <c r="G54" s="37"/>
      <c r="H54" s="37"/>
      <c r="I54" s="37"/>
      <c r="J54" s="37"/>
    </row>
    <row r="55" spans="6:12" ht="13.8" thickBot="1" x14ac:dyDescent="0.3">
      <c r="F55" s="57"/>
      <c r="G55" s="37"/>
      <c r="H55" s="37"/>
      <c r="I55" s="37"/>
      <c r="J55" s="37"/>
    </row>
    <row r="56" spans="6:12" ht="13.8" thickBot="1" x14ac:dyDescent="0.3">
      <c r="F56" s="57"/>
      <c r="G56" s="37"/>
      <c r="H56" s="37"/>
      <c r="I56" s="37"/>
      <c r="J56" s="37"/>
    </row>
    <row r="57" spans="6:12" x14ac:dyDescent="0.25">
      <c r="F57" s="37"/>
      <c r="G57" s="37"/>
      <c r="H57" s="37"/>
      <c r="I57" s="37"/>
      <c r="J57" s="3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topLeftCell="B1" zoomScaleNormal="100" workbookViewId="0">
      <pane ySplit="23" topLeftCell="A24" activePane="bottomLeft" state="frozenSplit"/>
      <selection pane="bottomLeft" activeCell="B52" sqref="B52"/>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6640625" customWidth="1"/>
  </cols>
  <sheetData>
    <row r="13" spans="2:19" ht="15.6" x14ac:dyDescent="0.3">
      <c r="B13" s="140" t="s">
        <v>219</v>
      </c>
    </row>
    <row r="15" spans="2:19" ht="3" customHeight="1" x14ac:dyDescent="0.25">
      <c r="S15" s="139"/>
    </row>
    <row r="16" spans="2:19"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220</v>
      </c>
      <c r="G22" s="132"/>
      <c r="H22" s="139" t="s">
        <v>215</v>
      </c>
      <c r="I22" s="136"/>
      <c r="J22" s="139" t="s">
        <v>216</v>
      </c>
      <c r="K22" s="132"/>
      <c r="L22" s="139" t="s">
        <v>217</v>
      </c>
      <c r="M22" s="139"/>
      <c r="N22" s="139" t="s">
        <v>218</v>
      </c>
      <c r="O22" s="139"/>
      <c r="P22" s="139" t="s">
        <v>224</v>
      </c>
      <c r="Q22" s="139"/>
      <c r="R22" s="139" t="s">
        <v>211</v>
      </c>
    </row>
    <row r="25" spans="2:18" ht="25.5" customHeight="1" thickBot="1" x14ac:dyDescent="0.3">
      <c r="B25" s="15" t="str">
        <f>IF('3. Rate Classes'!Q24=1,'3. Rate Classes'!C24, 0)</f>
        <v>Residential</v>
      </c>
      <c r="C25" s="8"/>
      <c r="D25" s="16" t="str">
        <f>IF(ISERROR(VLOOKUP($B25, '3. Rate Classes'!$C$24:$H$45,6,0)), "", VLOOKUP($B25, '3. Rate Classes'!$C$24:$H$45,6,0))</f>
        <v>kWh</v>
      </c>
      <c r="F25" s="67">
        <f>VLOOKUP($B25, '9. Adj Network to Current WS'!$B$25:$R$47, 17,0)</f>
        <v>5.434364122747881E-3</v>
      </c>
      <c r="G25" s="65"/>
      <c r="H25" s="64">
        <f>VLOOKUP('9. Adj Network to Current WS'!$B25, '4. RRR Data'!$B$27:$M$49,11,0)</f>
        <v>147654537.5187</v>
      </c>
      <c r="I25" s="72"/>
      <c r="J25" s="64">
        <f>VLOOKUP('9. Adj Network to Current WS'!$B25, '4. RRR Data'!$B$27:$M$49,12,0)</f>
        <v>0</v>
      </c>
      <c r="K25" s="58"/>
      <c r="L25" s="60">
        <f t="shared" ref="L25:L46" si="0">IF(F25="", "", IF(D25="kWh", F25*H25, F25*J25))</f>
        <v>802408.52125255426</v>
      </c>
      <c r="M25" s="55"/>
      <c r="N25" s="61">
        <f t="shared" ref="N25:N46" si="1">IF(ISERROR(L25/$L$49), "", L25/$L$49)</f>
        <v>0.32162833778049577</v>
      </c>
      <c r="O25" s="13"/>
      <c r="P25" s="62">
        <f>IF(ISERROR('8. Forecast Wholesale'!$F$75*N25), "", '8. Forecast Wholesale'!$F$75*N25)</f>
        <v>804565.46380677854</v>
      </c>
      <c r="R25" s="63">
        <f t="shared" ref="R25:R46" si="2">IF(D25="","",IF(D25="kWh",IF(H25&lt;&gt;0,P25/H25,),IF(J25&lt;&gt;0,P25/J25,0)))</f>
        <v>5.4489721570858112E-3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67">
        <f>VLOOKUP($B26, '9. Adj Network to Current WS'!$B$25:$R$47, 17,0)</f>
        <v>4.9738247903116199E-3</v>
      </c>
      <c r="G26" s="65"/>
      <c r="H26" s="64">
        <f>VLOOKUP('9. Adj Network to Current WS'!$B26, '4. RRR Data'!$B$27:$M$49,11,0)</f>
        <v>51030462.6765</v>
      </c>
      <c r="I26" s="72"/>
      <c r="J26" s="64">
        <f>VLOOKUP('9. Adj Network to Current WS'!$B26, '4. RRR Data'!$B$27:$M$49,12,0)</f>
        <v>0</v>
      </c>
      <c r="K26" s="59"/>
      <c r="L26" s="60">
        <f t="shared" si="0"/>
        <v>253816.58032144755</v>
      </c>
      <c r="M26" s="55"/>
      <c r="N26" s="61">
        <f t="shared" si="1"/>
        <v>0.10173696149498238</v>
      </c>
      <c r="P26" s="62">
        <f>IF(ISERROR('8. Forecast Wholesale'!$F$75*N26), "", '8. Forecast Wholesale'!$F$75*N26)</f>
        <v>254498.86094106059</v>
      </c>
      <c r="R26" s="63">
        <f t="shared" si="2"/>
        <v>4.9871948556378595E-3</v>
      </c>
    </row>
    <row r="27" spans="2:18" ht="25.5" customHeight="1" thickBot="1" x14ac:dyDescent="0.3">
      <c r="B27" s="15" t="str">
        <f>IF('3. Rate Classes'!Q26=1,'3. Rate Classes'!C26, 0)</f>
        <v>General Service 50 to 999 kW</v>
      </c>
      <c r="C27" s="8"/>
      <c r="D27" s="16" t="str">
        <f>IF(ISERROR(VLOOKUP($B27, '3. Rate Classes'!$C$24:$H$45,6,0)), "", VLOOKUP($B27, '3. Rate Classes'!$C$24:$H$45,6,0))</f>
        <v>kW</v>
      </c>
      <c r="F27" s="67">
        <f>VLOOKUP($B27, '9. Adj Network to Current WS'!$B$25:$R$47, 17,0)</f>
        <v>2.2635508189242235</v>
      </c>
      <c r="G27" s="65"/>
      <c r="H27" s="64">
        <f>VLOOKUP('9. Adj Network to Current WS'!$B27, '4. RRR Data'!$B$27:$M$49,11,0)</f>
        <v>76414560</v>
      </c>
      <c r="I27" s="72"/>
      <c r="J27" s="64">
        <f>VLOOKUP('9. Adj Network to Current WS'!$B27, '4. RRR Data'!$B$27:$M$49,12,0)</f>
        <v>223584</v>
      </c>
      <c r="K27" s="59"/>
      <c r="L27" s="60">
        <f t="shared" si="0"/>
        <v>506093.7462983536</v>
      </c>
      <c r="M27" s="55"/>
      <c r="N27" s="61">
        <f t="shared" si="1"/>
        <v>0.20285688159063184</v>
      </c>
      <c r="P27" s="62">
        <f>IF(ISERROR('8. Forecast Wholesale'!$F$75*N27), "", '8. Forecast Wholesale'!$F$75*N27)</f>
        <v>507454.16946050251</v>
      </c>
      <c r="R27" s="63">
        <f t="shared" si="2"/>
        <v>2.2696354366166744</v>
      </c>
    </row>
    <row r="28" spans="2:18" ht="25.5" customHeight="1" thickBot="1" x14ac:dyDescent="0.3">
      <c r="B28" s="15" t="str">
        <f>IF('3. Rate Classes'!Q27=1,'3. Rate Classes'!C27, 0)</f>
        <v>General Service 1,000 to 4,999 kW</v>
      </c>
      <c r="C28" s="8"/>
      <c r="D28" s="16" t="str">
        <f>IF(ISERROR(VLOOKUP($B28, '3. Rate Classes'!$C$24:$H$45,6,0)), "", VLOOKUP($B28, '3. Rate Classes'!$C$24:$H$45,6,0))</f>
        <v>kW</v>
      </c>
      <c r="F28" s="67">
        <f>VLOOKUP($B28, '9. Adj Network to Current WS'!$B$25:$R$47, 17,0)</f>
        <v>2.4585431722777367</v>
      </c>
      <c r="G28" s="65"/>
      <c r="H28" s="64">
        <f>VLOOKUP('9. Adj Network to Current WS'!$B28, '4. RRR Data'!$B$27:$M$49,11,0)</f>
        <v>99303972</v>
      </c>
      <c r="I28" s="72"/>
      <c r="J28" s="64">
        <f>VLOOKUP('9. Adj Network to Current WS'!$B28, '4. RRR Data'!$B$27:$M$49,12,0)</f>
        <v>168548</v>
      </c>
      <c r="K28" s="59"/>
      <c r="L28" s="60">
        <f t="shared" si="0"/>
        <v>414382.53460106795</v>
      </c>
      <c r="M28" s="55"/>
      <c r="N28" s="61">
        <f t="shared" si="1"/>
        <v>0.16609639887792504</v>
      </c>
      <c r="P28" s="62">
        <f>IF(ISERROR('8. Forecast Wholesale'!$F$75*N28), "", '8. Forecast Wholesale'!$F$75*N28)</f>
        <v>415496.430202791</v>
      </c>
      <c r="R28" s="63">
        <f t="shared" si="2"/>
        <v>2.4651519460497364</v>
      </c>
    </row>
    <row r="29" spans="2:18" ht="25.5" customHeight="1" thickBot="1" x14ac:dyDescent="0.3">
      <c r="B29" s="15" t="str">
        <f>IF('3. Rate Classes'!Q28=1,'3. Rate Classes'!C28, 0)</f>
        <v>Large Use</v>
      </c>
      <c r="C29" s="8"/>
      <c r="D29" s="16" t="str">
        <f>IF(ISERROR(VLOOKUP($B29, '3. Rate Classes'!$C$24:$H$45,6,0)), "", VLOOKUP($B29, '3. Rate Classes'!$C$24:$H$45,6,0))</f>
        <v>kW</v>
      </c>
      <c r="F29" s="67">
        <f>VLOOKUP($B29, '9. Adj Network to Current WS'!$B$25:$R$47, 17,0)</f>
        <v>2.7255638772242805</v>
      </c>
      <c r="G29" s="65"/>
      <c r="H29" s="64">
        <f>VLOOKUP('9. Adj Network to Current WS'!$B29, '4. RRR Data'!$B$27:$M$49,11,0)</f>
        <v>95335410</v>
      </c>
      <c r="I29" s="72"/>
      <c r="J29" s="64">
        <f>VLOOKUP('9. Adj Network to Current WS'!$B29, '4. RRR Data'!$B$27:$M$49,12,0)</f>
        <v>159576</v>
      </c>
      <c r="K29" s="59"/>
      <c r="L29" s="60">
        <f t="shared" si="0"/>
        <v>434934.58127194177</v>
      </c>
      <c r="M29" s="55"/>
      <c r="N29" s="61">
        <f t="shared" si="1"/>
        <v>0.1743342483444561</v>
      </c>
      <c r="P29" s="62">
        <f>IF(ISERROR('8. Forecast Wholesale'!$F$75*N29), "", '8. Forecast Wholesale'!$F$75*N29)</f>
        <v>436103.72252829926</v>
      </c>
      <c r="R29" s="63">
        <f t="shared" si="2"/>
        <v>2.7328904254292579</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67">
        <f>VLOOKUP($B30, '9. Adj Network to Current WS'!$B$25:$R$47, 17,0)</f>
        <v>4.9738247903116199E-3</v>
      </c>
      <c r="G30" s="65"/>
      <c r="H30" s="64">
        <f>VLOOKUP('9. Adj Network to Current WS'!$B30, '4. RRR Data'!$B$27:$M$49,11,0)</f>
        <v>634129.47470000002</v>
      </c>
      <c r="I30" s="72"/>
      <c r="J30" s="64">
        <f>VLOOKUP('9. Adj Network to Current WS'!$B30, '4. RRR Data'!$B$27:$M$49,12,0)</f>
        <v>0</v>
      </c>
      <c r="K30" s="59"/>
      <c r="L30" s="60">
        <f t="shared" si="0"/>
        <v>3154.0489015301455</v>
      </c>
      <c r="M30" s="55"/>
      <c r="N30" s="61">
        <f t="shared" si="1"/>
        <v>1.2642332161353653E-3</v>
      </c>
      <c r="P30" s="62">
        <f>IF(ISERROR('8. Forecast Wholesale'!$F$75*N30), "", '8. Forecast Wholesale'!$F$75*N30)</f>
        <v>3162.5272540321789</v>
      </c>
      <c r="R30" s="63">
        <f t="shared" si="2"/>
        <v>4.9871948556378604E-3</v>
      </c>
    </row>
    <row r="31" spans="2:18" ht="25.5" customHeight="1" thickBot="1" x14ac:dyDescent="0.3">
      <c r="B31" s="15" t="str">
        <f>IF('3. Rate Classes'!Q30=1,'3. Rate Classes'!C30, 0)</f>
        <v>Sentinel Lighting</v>
      </c>
      <c r="C31" s="8"/>
      <c r="D31" s="16" t="str">
        <f>IF(ISERROR(VLOOKUP($B31, '3. Rate Classes'!$C$24:$H$45,6,0)), "", VLOOKUP($B31, '3. Rate Classes'!$C$24:$H$45,6,0))</f>
        <v>kW</v>
      </c>
      <c r="F31" s="67">
        <f>VLOOKUP($B31, '9. Adj Network to Current WS'!$B$25:$R$47, 17,0)</f>
        <v>1.7481151980615599</v>
      </c>
      <c r="G31" s="65"/>
      <c r="H31" s="64">
        <f>VLOOKUP('9. Adj Network to Current WS'!$B31, '4. RRR Data'!$B$27:$M$49,11,0)</f>
        <v>54410</v>
      </c>
      <c r="I31" s="72"/>
      <c r="J31" s="64">
        <f>VLOOKUP('9. Adj Network to Current WS'!$B31, '4. RRR Data'!$B$27:$M$49,12,0)</f>
        <v>18</v>
      </c>
      <c r="K31" s="59"/>
      <c r="L31" s="60">
        <f t="shared" si="0"/>
        <v>31.466073565108079</v>
      </c>
      <c r="M31" s="55"/>
      <c r="N31" s="61">
        <f t="shared" si="1"/>
        <v>1.2612504315665372E-5</v>
      </c>
      <c r="P31" s="62">
        <f>IF(ISERROR('8. Forecast Wholesale'!$F$75*N31), "", '8. Forecast Wholesale'!$F$75*N31)</f>
        <v>31.550657055050316</v>
      </c>
      <c r="R31" s="63">
        <f t="shared" si="2"/>
        <v>1.7528142808361287</v>
      </c>
    </row>
    <row r="32" spans="2:18" ht="25.5" customHeight="1" thickBot="1" x14ac:dyDescent="0.3">
      <c r="B32" s="15" t="str">
        <f>IF('3. Rate Classes'!Q31=1,'3. Rate Classes'!C31, 0)</f>
        <v>Street Lighting</v>
      </c>
      <c r="C32" s="8"/>
      <c r="D32" s="16" t="str">
        <f>IF(ISERROR(VLOOKUP($B32, '3. Rate Classes'!$C$24:$H$45,6,0)), "", VLOOKUP($B32, '3. Rate Classes'!$C$24:$H$45,6,0))</f>
        <v>kW</v>
      </c>
      <c r="F32" s="67">
        <f>VLOOKUP($B32, '9. Adj Network to Current WS'!$B$25:$R$47, 17,0)</f>
        <v>1.7481151980615597</v>
      </c>
      <c r="G32" s="65"/>
      <c r="H32" s="64">
        <f>VLOOKUP('9. Adj Network to Current WS'!$B32, '4. RRR Data'!$B$27:$M$49,11,0)</f>
        <v>4189868</v>
      </c>
      <c r="I32" s="72"/>
      <c r="J32" s="64">
        <f>VLOOKUP('9. Adj Network to Current WS'!$B32, '4. RRR Data'!$B$27:$M$49,12,0)</f>
        <v>920</v>
      </c>
      <c r="K32" s="59"/>
      <c r="L32" s="60">
        <f t="shared" si="0"/>
        <v>1608.2659822166349</v>
      </c>
      <c r="M32" s="55"/>
      <c r="N32" s="61">
        <f t="shared" si="1"/>
        <v>6.4463910946734114E-4</v>
      </c>
      <c r="P32" s="62">
        <f>IF(ISERROR('8. Forecast Wholesale'!$F$75*N32), "", '8. Forecast Wholesale'!$F$75*N32)</f>
        <v>1612.5891383692383</v>
      </c>
      <c r="R32" s="63">
        <f t="shared" si="2"/>
        <v>1.7528142808361287</v>
      </c>
    </row>
    <row r="33" spans="2:18" ht="25.5" customHeight="1" thickBot="1" x14ac:dyDescent="0.3">
      <c r="B33" s="15" t="str">
        <f>IF('3. Rate Classes'!Q32=1,'3. Rate Classes'!C32, 0)</f>
        <v>Embedded Distributor</v>
      </c>
      <c r="C33" s="8"/>
      <c r="D33" s="16" t="str">
        <f>IF(ISERROR(VLOOKUP($B33, '3. Rate Classes'!$C$24:$H$45,6,0)), "", VLOOKUP($B33, '3. Rate Classes'!$C$24:$H$45,6,0))</f>
        <v>kW</v>
      </c>
      <c r="F33" s="67">
        <f>VLOOKUP($B33, '9. Adj Network to Current WS'!$B$25:$R$47, 17,0)</f>
        <v>3.2890798043932894</v>
      </c>
      <c r="G33" s="65"/>
      <c r="H33" s="64">
        <f>VLOOKUP('9. Adj Network to Current WS'!$B33, '4. RRR Data'!$B$27:$M$49,11,0)</f>
        <v>17400000</v>
      </c>
      <c r="I33" s="72"/>
      <c r="J33" s="64">
        <f>VLOOKUP('9. Adj Network to Current WS'!$B33, '4. RRR Data'!$B$27:$M$49,12,0)</f>
        <v>23837</v>
      </c>
      <c r="K33" s="59"/>
      <c r="L33" s="60">
        <f t="shared" si="0"/>
        <v>78401.795297322838</v>
      </c>
      <c r="M33" s="55"/>
      <c r="N33" s="61">
        <f t="shared" si="1"/>
        <v>3.1425687081590631E-2</v>
      </c>
      <c r="P33" s="62">
        <f>IF(ISERROR('8. Forecast Wholesale'!$F$75*N33), "", '8. Forecast Wholesale'!$F$75*N33)</f>
        <v>78612.546011111874</v>
      </c>
      <c r="R33" s="63">
        <f t="shared" si="2"/>
        <v>3.2979211314809698</v>
      </c>
    </row>
    <row r="34" spans="2:18" ht="25.5" hidden="1" customHeight="1" thickBot="1" x14ac:dyDescent="0.3">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8" hidden="1" thickBot="1" x14ac:dyDescent="0.3">
      <c r="F47" s="67"/>
      <c r="G47" s="66"/>
      <c r="H47" s="66"/>
      <c r="I47" s="66"/>
      <c r="J47" s="66"/>
      <c r="R47" s="68"/>
    </row>
    <row r="48" spans="2:18" ht="13.8" thickBot="1" x14ac:dyDescent="0.3">
      <c r="F48" s="67"/>
      <c r="G48" s="66"/>
      <c r="H48" s="66"/>
      <c r="I48" s="66"/>
      <c r="J48" s="66"/>
      <c r="R48" s="68"/>
    </row>
    <row r="49" spans="6:18" ht="13.8" thickBot="1" x14ac:dyDescent="0.3">
      <c r="F49" s="67"/>
      <c r="G49" s="66"/>
      <c r="H49" s="66"/>
      <c r="I49" s="66"/>
      <c r="J49" s="66"/>
      <c r="L49" s="71">
        <f>SUM(L25:L46)</f>
        <v>2494831.5399999996</v>
      </c>
      <c r="R49" s="68"/>
    </row>
    <row r="50" spans="6:18" ht="13.8" thickBot="1" x14ac:dyDescent="0.3">
      <c r="F50" s="67"/>
      <c r="G50" s="66"/>
      <c r="H50" s="66"/>
      <c r="I50" s="66"/>
      <c r="J50" s="66"/>
      <c r="R50" s="68"/>
    </row>
    <row r="51" spans="6:18" ht="13.8" thickBot="1" x14ac:dyDescent="0.3">
      <c r="F51" s="67"/>
      <c r="G51" s="66"/>
      <c r="H51" s="66"/>
      <c r="I51" s="66"/>
      <c r="J51" s="66"/>
      <c r="R51" s="68"/>
    </row>
    <row r="52" spans="6:18" ht="13.8" thickBot="1" x14ac:dyDescent="0.3">
      <c r="F52" s="67"/>
      <c r="G52" s="66"/>
      <c r="H52" s="66"/>
      <c r="I52" s="66"/>
      <c r="J52" s="66"/>
    </row>
    <row r="53" spans="6:18" ht="13.8" thickBot="1" x14ac:dyDescent="0.3">
      <c r="F53" s="67"/>
      <c r="G53" s="66"/>
      <c r="H53" s="66"/>
      <c r="I53" s="66"/>
      <c r="J53" s="66"/>
    </row>
    <row r="54" spans="6:18" ht="13.8" thickBot="1" x14ac:dyDescent="0.3">
      <c r="F54" s="56"/>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C1" workbookViewId="0">
      <pane ySplit="23" topLeftCell="A24" activePane="bottomLeft" state="frozenSplit"/>
      <selection pane="bottomLeft" activeCell="H58" sqref="H58"/>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88671875" customWidth="1"/>
  </cols>
  <sheetData>
    <row r="13" spans="2:2" x14ac:dyDescent="0.25">
      <c r="B13" s="137" t="s">
        <v>213</v>
      </c>
    </row>
    <row r="15" spans="2:2" ht="2.25" customHeight="1" x14ac:dyDescent="0.25"/>
    <row r="16" spans="2:2" ht="2.25" customHeight="1" x14ac:dyDescent="0.25"/>
    <row r="17" spans="2:18" ht="2.25" customHeight="1" x14ac:dyDescent="0.25"/>
    <row r="18" spans="2:18" ht="2.25" customHeight="1" x14ac:dyDescent="0.25"/>
    <row r="19" spans="2:18" ht="2.25" customHeight="1" x14ac:dyDescent="0.25">
      <c r="B19" s="138" t="s">
        <v>209</v>
      </c>
    </row>
    <row r="20" spans="2:18" ht="2.25" customHeight="1" x14ac:dyDescent="0.25"/>
    <row r="21" spans="2:18" ht="15.6" x14ac:dyDescent="0.3">
      <c r="D21" s="11"/>
      <c r="E21" s="5"/>
      <c r="F21" s="12"/>
      <c r="G21" s="12"/>
      <c r="H21" s="5"/>
      <c r="I21" s="5"/>
      <c r="J21" s="5"/>
      <c r="K21" s="11"/>
    </row>
    <row r="22" spans="2:18" s="139" customFormat="1" ht="46.8" x14ac:dyDescent="0.25">
      <c r="B22" s="131" t="s">
        <v>209</v>
      </c>
      <c r="D22" s="139" t="s">
        <v>210</v>
      </c>
      <c r="E22" s="136"/>
      <c r="F22" s="139" t="s">
        <v>214</v>
      </c>
      <c r="G22" s="132"/>
      <c r="H22" s="139" t="s">
        <v>215</v>
      </c>
      <c r="I22" s="136"/>
      <c r="J22" s="139" t="s">
        <v>216</v>
      </c>
      <c r="K22" s="132"/>
      <c r="L22" s="139" t="s">
        <v>217</v>
      </c>
      <c r="N22" s="139" t="s">
        <v>218</v>
      </c>
      <c r="P22" s="139" t="s">
        <v>224</v>
      </c>
      <c r="R22" s="139" t="s">
        <v>212</v>
      </c>
    </row>
    <row r="25" spans="2:18" ht="25.5" customHeight="1" thickBot="1" x14ac:dyDescent="0.3">
      <c r="B25" s="15" t="str">
        <f>IF('3. Rate Classes'!Q24=1,'3. Rate Classes'!C24, 0)</f>
        <v>Residential</v>
      </c>
      <c r="C25" s="8"/>
      <c r="D25" s="16" t="str">
        <f>IF(ISERROR(VLOOKUP($B25, '3. Rate Classes'!$C$24:$H$45,6,0)), "", VLOOKUP($B25, '3. Rate Classes'!$C$24:$H$45,6,0))</f>
        <v>kWh</v>
      </c>
      <c r="F25" s="70">
        <f>VLOOKUP($B25, '10. Adj Conn. to Current WS'!$B$25:$R$47, 17,0)</f>
        <v>5.0178323170501282E-3</v>
      </c>
      <c r="G25" s="57"/>
      <c r="H25" s="64">
        <f>VLOOKUP('9. Adj Network to Current WS'!$B25, '4. RRR Data'!$B$27:$M$49,11,0)</f>
        <v>147654537.5187</v>
      </c>
      <c r="I25" s="72"/>
      <c r="J25" s="64">
        <f>VLOOKUP('9. Adj Network to Current WS'!$B25, '4. RRR Data'!$B$27:$M$49,12,0)</f>
        <v>0</v>
      </c>
      <c r="K25" s="58"/>
      <c r="L25" s="60">
        <f t="shared" ref="L25:L46" si="0">IF(F25="", "", IF(D25="kWh", F25*H25, F25*J25))</f>
        <v>740905.71012042358</v>
      </c>
      <c r="M25" s="55"/>
      <c r="N25" s="61">
        <f t="shared" ref="N25:N46" si="1">IF(ISERROR(L25/$L$49), "", L25/$L$49)</f>
        <v>0.3694954811836007</v>
      </c>
      <c r="O25" s="13"/>
      <c r="P25" s="62">
        <f>IF(ISERROR('8. Forecast Wholesale'!$P$75*N25), "", '8. Forecast Wholesale'!$P$75*N25)</f>
        <v>738299.22987687751</v>
      </c>
      <c r="R25" s="63">
        <f t="shared" ref="R25:R46" si="2">IF(D25="","",IF(D25="kWh",IF(H25&lt;&gt;0,P25/H25,),IF(J25&lt;&gt;0,P25/J25,0)))</f>
        <v>5.0001797593478906E-3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VLOOKUP($B26, '10. Adj Conn. to Current WS'!$B$25:$R$47, 17,0)</f>
        <v>4.5160490853451149E-3</v>
      </c>
      <c r="G26" s="57"/>
      <c r="H26" s="64">
        <f>VLOOKUP('9. Adj Network to Current WS'!$B26, '4. RRR Data'!$B$27:$M$49,11,0)</f>
        <v>51030462.6765</v>
      </c>
      <c r="I26" s="72"/>
      <c r="J26" s="64">
        <f>VLOOKUP('9. Adj Network to Current WS'!$B26, '4. RRR Data'!$B$27:$M$49,12,0)</f>
        <v>0</v>
      </c>
      <c r="K26" s="59"/>
      <c r="L26" s="60">
        <f t="shared" si="0"/>
        <v>230456.07429494587</v>
      </c>
      <c r="M26" s="55"/>
      <c r="N26" s="61">
        <f t="shared" si="1"/>
        <v>0.11493024942330966</v>
      </c>
      <c r="P26" s="62">
        <f>IF(ISERROR('8. Forecast Wholesale'!$P$75*N26), "", '8. Forecast Wholesale'!$P$75*N26)</f>
        <v>229645.33792667394</v>
      </c>
      <c r="R26" s="63">
        <f t="shared" si="2"/>
        <v>4.5001617834131008E-3</v>
      </c>
    </row>
    <row r="27" spans="2:18" ht="25.5" customHeight="1" thickBot="1" x14ac:dyDescent="0.3">
      <c r="B27" s="15" t="str">
        <f>IF('3. Rate Classes'!Q26=1,'3. Rate Classes'!C26, 0)</f>
        <v>General Service 50 to 999 kW</v>
      </c>
      <c r="C27" s="8"/>
      <c r="D27" s="16" t="str">
        <f>IF(ISERROR(VLOOKUP($B27, '3. Rate Classes'!$C$24:$H$45,6,0)), "", VLOOKUP($B27, '3. Rate Classes'!$C$24:$H$45,6,0))</f>
        <v>kW</v>
      </c>
      <c r="F27" s="70">
        <f>VLOOKUP($B27, '10. Adj Conn. to Current WS'!$B$25:$R$47, 17,0)</f>
        <v>1.6248995500687575</v>
      </c>
      <c r="G27" s="57"/>
      <c r="H27" s="64">
        <f>VLOOKUP('9. Adj Network to Current WS'!$B27, '4. RRR Data'!$B$27:$M$49,11,0)</f>
        <v>76414560</v>
      </c>
      <c r="I27" s="72"/>
      <c r="J27" s="64">
        <f>VLOOKUP('9. Adj Network to Current WS'!$B27, '4. RRR Data'!$B$27:$M$49,12,0)</f>
        <v>223584</v>
      </c>
      <c r="K27" s="59"/>
      <c r="L27" s="60">
        <f t="shared" si="0"/>
        <v>363301.5410025731</v>
      </c>
      <c r="M27" s="55"/>
      <c r="N27" s="61">
        <f t="shared" si="1"/>
        <v>0.1811813242547029</v>
      </c>
      <c r="P27" s="62">
        <f>IF(ISERROR('8. Forecast Wholesale'!$P$75*N27), "", '8. Forecast Wholesale'!$P$75*N27)</f>
        <v>362023.45895226859</v>
      </c>
      <c r="R27" s="63">
        <f t="shared" si="2"/>
        <v>1.6191832105708306</v>
      </c>
    </row>
    <row r="28" spans="2:18" ht="25.5" customHeight="1" thickBot="1" x14ac:dyDescent="0.3">
      <c r="B28" s="15" t="str">
        <f>IF('3. Rate Classes'!Q27=1,'3. Rate Classes'!C27, 0)</f>
        <v>General Service 1,000 to 4,999 kW</v>
      </c>
      <c r="C28" s="8"/>
      <c r="D28" s="16" t="str">
        <f>IF(ISERROR(VLOOKUP($B28, '3. Rate Classes'!$C$24:$H$45,6,0)), "", VLOOKUP($B28, '3. Rate Classes'!$C$24:$H$45,6,0))</f>
        <v>kW</v>
      </c>
      <c r="F28" s="70">
        <f>VLOOKUP($B28, '10. Adj Conn. to Current WS'!$B$25:$R$47, 17,0)</f>
        <v>1.7473346586047809</v>
      </c>
      <c r="G28" s="57"/>
      <c r="H28" s="64">
        <f>VLOOKUP('9. Adj Network to Current WS'!$B28, '4. RRR Data'!$B$27:$M$49,11,0)</f>
        <v>99303972</v>
      </c>
      <c r="I28" s="72"/>
      <c r="J28" s="64">
        <f>VLOOKUP('9. Adj Network to Current WS'!$B28, '4. RRR Data'!$B$27:$M$49,12,0)</f>
        <v>168548</v>
      </c>
      <c r="K28" s="59"/>
      <c r="L28" s="60">
        <f t="shared" si="0"/>
        <v>294509.76203851862</v>
      </c>
      <c r="M28" s="55"/>
      <c r="N28" s="61">
        <f t="shared" si="1"/>
        <v>0.1468743252363422</v>
      </c>
      <c r="P28" s="62">
        <f>IF(ISERROR('8. Forecast Wholesale'!$P$75*N28), "", '8. Forecast Wholesale'!$P$75*N28)</f>
        <v>293473.68704840943</v>
      </c>
      <c r="R28" s="63">
        <f t="shared" si="2"/>
        <v>1.7411875966989192</v>
      </c>
    </row>
    <row r="29" spans="2:18" ht="25.5" customHeight="1" thickBot="1" x14ac:dyDescent="0.3">
      <c r="B29" s="15" t="str">
        <f>IF('3. Rate Classes'!Q28=1,'3. Rate Classes'!C28, 0)</f>
        <v>Large Use</v>
      </c>
      <c r="C29" s="8"/>
      <c r="D29" s="16" t="str">
        <f>IF(ISERROR(VLOOKUP($B29, '3. Rate Classes'!$C$24:$H$45,6,0)), "", VLOOKUP($B29, '3. Rate Classes'!$C$24:$H$45,6,0))</f>
        <v>kW</v>
      </c>
      <c r="F29" s="70">
        <f>VLOOKUP($B29, '10. Adj Conn. to Current WS'!$B$25:$R$47, 17,0)</f>
        <v>1.9820437652348006</v>
      </c>
      <c r="G29" s="57"/>
      <c r="H29" s="64">
        <f>VLOOKUP('9. Adj Network to Current WS'!$B29, '4. RRR Data'!$B$27:$M$49,11,0)</f>
        <v>95335410</v>
      </c>
      <c r="I29" s="72"/>
      <c r="J29" s="64">
        <f>VLOOKUP('9. Adj Network to Current WS'!$B29, '4. RRR Data'!$B$27:$M$49,12,0)</f>
        <v>159576</v>
      </c>
      <c r="K29" s="59"/>
      <c r="L29" s="60">
        <f t="shared" si="0"/>
        <v>316286.61588110856</v>
      </c>
      <c r="M29" s="55"/>
      <c r="N29" s="61">
        <f t="shared" si="1"/>
        <v>0.15773461282668197</v>
      </c>
      <c r="P29" s="62">
        <f>IF(ISERROR('8. Forecast Wholesale'!$P$75*N29), "", '8. Forecast Wholesale'!$P$75*N29)</f>
        <v>315173.93068469112</v>
      </c>
      <c r="R29" s="63">
        <f t="shared" si="2"/>
        <v>1.9750710049424169</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70">
        <f>VLOOKUP($B30, '10. Adj Conn. to Current WS'!$B$25:$R$47, 17,0)</f>
        <v>4.5160490853451149E-3</v>
      </c>
      <c r="G30" s="57"/>
      <c r="H30" s="64">
        <f>VLOOKUP('9. Adj Network to Current WS'!$B30, '4. RRR Data'!$B$27:$M$49,11,0)</f>
        <v>634129.47470000002</v>
      </c>
      <c r="I30" s="72"/>
      <c r="J30" s="64">
        <f>VLOOKUP('9. Adj Network to Current WS'!$B30, '4. RRR Data'!$B$27:$M$49,12,0)</f>
        <v>0</v>
      </c>
      <c r="K30" s="59"/>
      <c r="L30" s="60">
        <f t="shared" si="0"/>
        <v>2863.7598342093133</v>
      </c>
      <c r="M30" s="55"/>
      <c r="N30" s="61">
        <f t="shared" si="1"/>
        <v>1.4281794612751092E-3</v>
      </c>
      <c r="P30" s="62">
        <f>IF(ISERROR('8. Forecast Wholesale'!$P$75*N30), "", '8. Forecast Wholesale'!$P$75*N30)</f>
        <v>2853.6852277807652</v>
      </c>
      <c r="R30" s="63">
        <f t="shared" si="2"/>
        <v>4.5001617834131017E-3</v>
      </c>
    </row>
    <row r="31" spans="2:18" ht="25.5" customHeight="1" thickBot="1" x14ac:dyDescent="0.3">
      <c r="B31" s="15" t="str">
        <f>IF('3. Rate Classes'!Q30=1,'3. Rate Classes'!C30, 0)</f>
        <v>Sentinel Lighting</v>
      </c>
      <c r="C31" s="8"/>
      <c r="D31" s="16" t="str">
        <f>IF(ISERROR(VLOOKUP($B31, '3. Rate Classes'!$C$24:$H$45,6,0)), "", VLOOKUP($B31, '3. Rate Classes'!$C$24:$H$45,6,0))</f>
        <v>kW</v>
      </c>
      <c r="F31" s="70">
        <f>VLOOKUP($B31, '10. Adj Conn. to Current WS'!$B$25:$R$47, 17,0)</f>
        <v>1.2548344166863106</v>
      </c>
      <c r="G31" s="57"/>
      <c r="H31" s="64">
        <f>VLOOKUP('9. Adj Network to Current WS'!$B31, '4. RRR Data'!$B$27:$M$49,11,0)</f>
        <v>54410</v>
      </c>
      <c r="I31" s="72"/>
      <c r="J31" s="64">
        <f>VLOOKUP('9. Adj Network to Current WS'!$B31, '4. RRR Data'!$B$27:$M$49,12,0)</f>
        <v>18</v>
      </c>
      <c r="K31" s="59"/>
      <c r="L31" s="60">
        <f t="shared" si="0"/>
        <v>22.587019500353591</v>
      </c>
      <c r="M31" s="55"/>
      <c r="N31" s="61">
        <f t="shared" si="1"/>
        <v>1.1264323549929224E-5</v>
      </c>
      <c r="P31" s="62">
        <f>IF(ISERROR('8. Forecast Wholesale'!$P$75*N31), "", '8. Forecast Wholesale'!$P$75*N31)</f>
        <v>22.507559159740623</v>
      </c>
      <c r="R31" s="63">
        <f t="shared" si="2"/>
        <v>1.2504199533189235</v>
      </c>
    </row>
    <row r="32" spans="2:18" ht="25.5" customHeight="1" thickBot="1" x14ac:dyDescent="0.3">
      <c r="B32" s="15" t="str">
        <f>IF('3. Rate Classes'!Q31=1,'3. Rate Classes'!C31, 0)</f>
        <v>Street Lighting</v>
      </c>
      <c r="C32" s="8"/>
      <c r="D32" s="16" t="str">
        <f>IF(ISERROR(VLOOKUP($B32, '3. Rate Classes'!$C$24:$H$45,6,0)), "", VLOOKUP($B32, '3. Rate Classes'!$C$24:$H$45,6,0))</f>
        <v>kW</v>
      </c>
      <c r="F32" s="70">
        <f>VLOOKUP($B32, '10. Adj Conn. to Current WS'!$B$25:$R$47, 17,0)</f>
        <v>2.0739955424447438</v>
      </c>
      <c r="G32" s="57"/>
      <c r="H32" s="64">
        <f>VLOOKUP('9. Adj Network to Current WS'!$B32, '4. RRR Data'!$B$27:$M$49,11,0)</f>
        <v>4189868</v>
      </c>
      <c r="I32" s="72"/>
      <c r="J32" s="64">
        <f>VLOOKUP('9. Adj Network to Current WS'!$B32, '4. RRR Data'!$B$27:$M$49,12,0)</f>
        <v>920</v>
      </c>
      <c r="K32" s="59"/>
      <c r="L32" s="60">
        <f t="shared" si="0"/>
        <v>1908.0758990491643</v>
      </c>
      <c r="M32" s="55"/>
      <c r="N32" s="61">
        <f t="shared" si="1"/>
        <v>9.5157239689705009E-4</v>
      </c>
      <c r="P32" s="62">
        <f>IF(ISERROR('8. Forecast Wholesale'!$P$75*N32), "", '8. Forecast Wholesale'!$P$75*N32)</f>
        <v>1901.3633551098692</v>
      </c>
      <c r="R32" s="63">
        <f t="shared" si="2"/>
        <v>2.0666992990324666</v>
      </c>
    </row>
    <row r="33" spans="2:18" ht="25.5" customHeight="1" thickBot="1" x14ac:dyDescent="0.3">
      <c r="B33" s="15" t="str">
        <f>IF('3. Rate Classes'!Q32=1,'3. Rate Classes'!C32, 0)</f>
        <v>Embedded Distributor</v>
      </c>
      <c r="C33" s="8"/>
      <c r="D33" s="16" t="str">
        <f>IF(ISERROR(VLOOKUP($B33, '3. Rate Classes'!$C$24:$H$45,6,0)), "", VLOOKUP($B33, '3. Rate Classes'!$C$24:$H$45,6,0))</f>
        <v>kW</v>
      </c>
      <c r="F33" s="70">
        <f>VLOOKUP($B33, '10. Adj Conn. to Current WS'!$B$25:$R$47, 17,0)</f>
        <v>2.3043140457973448</v>
      </c>
      <c r="G33" s="57"/>
      <c r="H33" s="64">
        <f>VLOOKUP('9. Adj Network to Current WS'!$B33, '4. RRR Data'!$B$27:$M$49,11,0)</f>
        <v>17400000</v>
      </c>
      <c r="I33" s="72"/>
      <c r="J33" s="64">
        <f>VLOOKUP('9. Adj Network to Current WS'!$B33, '4. RRR Data'!$B$27:$M$49,12,0)</f>
        <v>23837</v>
      </c>
      <c r="K33" s="59"/>
      <c r="L33" s="60">
        <f t="shared" si="0"/>
        <v>54927.933909671308</v>
      </c>
      <c r="M33" s="55"/>
      <c r="N33" s="61">
        <f t="shared" si="1"/>
        <v>2.7392990893640508E-2</v>
      </c>
      <c r="P33" s="62">
        <f>IF(ISERROR('8. Forecast Wholesale'!$P$75*N33), "", '8. Forecast Wholesale'!$P$75*N33)</f>
        <v>54734.699369029026</v>
      </c>
      <c r="R33" s="63">
        <f t="shared" si="2"/>
        <v>2.2962075499865344</v>
      </c>
    </row>
    <row r="34" spans="2:18" ht="25.5" hidden="1" customHeight="1" thickBot="1" x14ac:dyDescent="0.3">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8" hidden="1" thickBot="1" x14ac:dyDescent="0.3">
      <c r="F47" s="70"/>
      <c r="G47" s="37"/>
      <c r="H47" s="64"/>
      <c r="I47" s="72"/>
      <c r="J47" s="64"/>
      <c r="R47" s="68"/>
    </row>
    <row r="48" spans="2:18" ht="13.8" thickBot="1" x14ac:dyDescent="0.3">
      <c r="F48" s="70"/>
      <c r="G48" s="37"/>
      <c r="H48" s="37"/>
      <c r="I48" s="37"/>
      <c r="J48" s="37"/>
      <c r="R48" s="68"/>
    </row>
    <row r="49" spans="6:18" ht="13.8" thickBot="1" x14ac:dyDescent="0.3">
      <c r="F49" s="70"/>
      <c r="G49" s="37"/>
      <c r="H49" s="37"/>
      <c r="I49" s="37"/>
      <c r="J49" s="37"/>
      <c r="L49" s="71">
        <f>SUM(L25:L46)</f>
        <v>2005182.0599999998</v>
      </c>
      <c r="R49" s="68"/>
    </row>
    <row r="50" spans="6:18" ht="13.8" thickBot="1" x14ac:dyDescent="0.3">
      <c r="F50" s="70"/>
      <c r="G50" s="37"/>
      <c r="H50" s="37"/>
      <c r="I50" s="37"/>
      <c r="J50" s="37"/>
      <c r="R50" s="68"/>
    </row>
    <row r="51" spans="6:18" ht="13.8" thickBot="1" x14ac:dyDescent="0.3">
      <c r="F51" s="70"/>
      <c r="G51" s="37"/>
      <c r="H51" s="37"/>
      <c r="I51" s="37"/>
      <c r="J51" s="37"/>
      <c r="R51" s="68"/>
    </row>
    <row r="52" spans="6:18" ht="13.8" thickBot="1" x14ac:dyDescent="0.3">
      <c r="F52" s="70"/>
      <c r="G52" s="37"/>
      <c r="H52" s="37"/>
      <c r="I52" s="37"/>
      <c r="J52" s="37"/>
      <c r="R52" s="68"/>
    </row>
    <row r="53" spans="6:18" ht="13.8" thickBot="1" x14ac:dyDescent="0.3">
      <c r="F53" s="67"/>
      <c r="R53" s="68"/>
    </row>
    <row r="54" spans="6:18" ht="13.8" thickBot="1" x14ac:dyDescent="0.3">
      <c r="F54" s="67"/>
    </row>
    <row r="55" spans="6:18" ht="13.8" thickBot="1" x14ac:dyDescent="0.3">
      <c r="F55" s="56"/>
    </row>
    <row r="56" spans="6:18" ht="13.8" thickBot="1" x14ac:dyDescent="0.3">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abSelected="1" topLeftCell="B1" workbookViewId="0">
      <pane ySplit="24" topLeftCell="A28" activePane="bottomLeft" state="frozenSplit"/>
      <selection pane="bottomLeft" activeCell="F49" sqref="F49"/>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1.44140625" customWidth="1"/>
  </cols>
  <sheetData>
    <row r="13" spans="2:12" ht="59.25" customHeight="1" x14ac:dyDescent="0.25">
      <c r="B13" s="164" t="s">
        <v>249</v>
      </c>
      <c r="C13" s="164"/>
      <c r="D13" s="164"/>
      <c r="E13" s="164"/>
      <c r="F13" s="164"/>
      <c r="G13" s="164"/>
      <c r="H13" s="164"/>
      <c r="I13" s="164"/>
      <c r="J13" s="164"/>
      <c r="K13" s="164"/>
      <c r="L13" s="164"/>
    </row>
    <row r="14" spans="2:12" ht="3.75" customHeight="1" x14ac:dyDescent="0.25"/>
    <row r="15" spans="2:12" ht="3.75" customHeight="1" x14ac:dyDescent="0.25"/>
    <row r="16" spans="2:12" ht="3.75" customHeight="1" x14ac:dyDescent="0.25"/>
    <row r="17" spans="2:24" ht="3.75" customHeight="1" x14ac:dyDescent="0.25"/>
    <row r="18" spans="2:24" ht="3.75" customHeight="1" x14ac:dyDescent="0.25"/>
    <row r="19" spans="2:24" ht="3.75" customHeight="1" x14ac:dyDescent="0.25"/>
    <row r="20" spans="2:24" ht="3.75" customHeight="1" x14ac:dyDescent="0.25"/>
    <row r="21" spans="2:24" ht="3.75" customHeight="1" x14ac:dyDescent="0.25"/>
    <row r="22" spans="2:24" ht="15.6" x14ac:dyDescent="0.3">
      <c r="J22" s="77"/>
      <c r="K22" s="78"/>
      <c r="L22" s="79"/>
      <c r="M22" s="79"/>
      <c r="N22" s="79"/>
      <c r="O22" s="79"/>
      <c r="P22" s="79"/>
      <c r="Q22" s="79"/>
      <c r="R22" s="79"/>
      <c r="S22" s="79"/>
      <c r="T22" s="79"/>
    </row>
    <row r="23" spans="2:24" ht="46.8" x14ac:dyDescent="0.3">
      <c r="B23" s="159" t="s">
        <v>209</v>
      </c>
      <c r="C23" s="134"/>
      <c r="D23" s="136" t="s">
        <v>210</v>
      </c>
      <c r="E23" s="135"/>
      <c r="F23" s="136" t="s">
        <v>211</v>
      </c>
      <c r="G23" s="132"/>
      <c r="H23" s="136" t="s">
        <v>212</v>
      </c>
      <c r="I23" s="133"/>
      <c r="J23" s="79"/>
      <c r="K23" s="78"/>
      <c r="L23" s="79"/>
      <c r="M23" s="79"/>
      <c r="N23" s="79"/>
      <c r="O23" s="79"/>
      <c r="P23" s="79"/>
      <c r="Q23" s="79"/>
      <c r="R23" s="79"/>
      <c r="S23" s="79"/>
      <c r="T23" s="79"/>
    </row>
    <row r="24" spans="2:24" x14ac:dyDescent="0.25">
      <c r="J24" s="79"/>
      <c r="K24" s="79"/>
      <c r="L24" s="79"/>
      <c r="M24" s="79"/>
      <c r="N24" s="79"/>
      <c r="O24" s="79"/>
      <c r="P24" s="79"/>
      <c r="Q24" s="79"/>
      <c r="R24" s="79"/>
      <c r="S24" s="79"/>
      <c r="T24" s="79"/>
    </row>
    <row r="25" spans="2:24" hidden="1" x14ac:dyDescent="0.25">
      <c r="J25" s="79"/>
      <c r="K25" s="79"/>
      <c r="L25" s="79"/>
      <c r="M25" s="79"/>
      <c r="N25" s="79"/>
      <c r="O25" s="79"/>
      <c r="P25" s="79"/>
      <c r="Q25" s="79"/>
      <c r="R25" s="79"/>
      <c r="S25" s="79"/>
      <c r="T25" s="79"/>
    </row>
    <row r="26" spans="2:24" ht="25.5" customHeight="1" thickBot="1" x14ac:dyDescent="0.3">
      <c r="B26" s="15" t="str">
        <f>IF('3. Rate Classes'!Q24=1,'3. Rate Classes'!C24, 0)</f>
        <v>Residential</v>
      </c>
      <c r="C26" s="8"/>
      <c r="D26" s="16" t="str">
        <f>IF(ISERROR(VLOOKUP($B26, '3. Rate Classes'!$C$24:$H$45,6,0)), "", VLOOKUP($B26, '3. Rate Classes'!$C$24:$H$45,6,0))</f>
        <v>kWh</v>
      </c>
      <c r="F26" s="70">
        <f>VLOOKUP($B26, '11. Adj Network to Forecast WS'!$B$25:$R$48,17,0)</f>
        <v>5.4489721570858112E-3</v>
      </c>
      <c r="G26" s="57"/>
      <c r="H26" s="70">
        <f>VLOOKUP($B26, '12. Adj Conn. to Forecast WS'!$B$25:$R$48,17,0)</f>
        <v>5.0001797593478906E-3</v>
      </c>
      <c r="I26" s="69"/>
      <c r="J26" s="80"/>
      <c r="K26" s="81"/>
      <c r="L26" s="82"/>
      <c r="M26" s="83"/>
      <c r="N26" s="84"/>
      <c r="O26" s="85"/>
      <c r="P26" s="82"/>
      <c r="Q26" s="79"/>
      <c r="R26" s="76"/>
      <c r="S26" s="79"/>
      <c r="T26" s="79"/>
    </row>
    <row r="27" spans="2:24" ht="25.5" customHeight="1" thickBot="1" x14ac:dyDescent="0.3">
      <c r="B27" s="15" t="str">
        <f>IF('3. Rate Classes'!Q25=1,'3. Rate Classes'!C25, 0)</f>
        <v>General Service Less Than 50 kW</v>
      </c>
      <c r="C27" s="8"/>
      <c r="D27" s="16" t="str">
        <f>IF(ISERROR(VLOOKUP($B27, '3. Rate Classes'!$C$24:$H$45,6,0)), "", VLOOKUP($B27, '3. Rate Classes'!$C$24:$H$45,6,0))</f>
        <v>kWh</v>
      </c>
      <c r="F27" s="70">
        <f>VLOOKUP($B27, '11. Adj Network to Forecast WS'!$B$25:$R$48,17,0)</f>
        <v>4.9871948556378595E-3</v>
      </c>
      <c r="G27" s="57"/>
      <c r="H27" s="70">
        <f>VLOOKUP($B27, '12. Adj Conn. to Forecast WS'!$B$25:$R$48,17,0)</f>
        <v>4.5001617834131008E-3</v>
      </c>
      <c r="I27" s="69"/>
      <c r="J27" s="80"/>
      <c r="K27" s="81"/>
      <c r="L27" s="82"/>
      <c r="M27" s="83"/>
      <c r="N27" s="84"/>
      <c r="O27" s="79"/>
      <c r="P27" s="82"/>
      <c r="Q27" s="79"/>
      <c r="R27" s="76"/>
      <c r="S27" s="79"/>
      <c r="T27" s="79"/>
    </row>
    <row r="28" spans="2:24" ht="25.5" customHeight="1" thickBot="1" x14ac:dyDescent="0.3">
      <c r="B28" s="15" t="str">
        <f>IF('3. Rate Classes'!Q26=1,'3. Rate Classes'!C26, 0)</f>
        <v>General Service 50 to 999 kW</v>
      </c>
      <c r="C28" s="8"/>
      <c r="D28" s="16" t="str">
        <f>IF(ISERROR(VLOOKUP($B28, '3. Rate Classes'!$C$24:$H$45,6,0)), "", VLOOKUP($B28, '3. Rate Classes'!$C$24:$H$45,6,0))</f>
        <v>kW</v>
      </c>
      <c r="F28" s="70">
        <f>VLOOKUP($B28, '11. Adj Network to Forecast WS'!$B$25:$R$48,17,0)</f>
        <v>2.2696354366166744</v>
      </c>
      <c r="G28" s="57"/>
      <c r="H28" s="70">
        <f>VLOOKUP($B28, '12. Adj Conn. to Forecast WS'!$B$25:$R$48,17,0)</f>
        <v>1.6191832105708306</v>
      </c>
      <c r="I28" s="69"/>
      <c r="J28" s="80"/>
      <c r="K28" s="81"/>
      <c r="L28" s="82"/>
      <c r="M28" s="83"/>
      <c r="N28" s="84"/>
      <c r="O28" s="79"/>
      <c r="P28" s="82"/>
      <c r="Q28" s="79"/>
      <c r="R28" s="76"/>
      <c r="S28" s="79"/>
      <c r="T28" s="79"/>
      <c r="U28" s="86"/>
      <c r="V28" s="86"/>
      <c r="W28" s="86"/>
      <c r="X28" s="86"/>
    </row>
    <row r="29" spans="2:24" ht="25.5" customHeight="1" thickBot="1" x14ac:dyDescent="0.3">
      <c r="B29" s="15" t="str">
        <f>IF('3. Rate Classes'!Q27=1,'3. Rate Classes'!C27, 0)</f>
        <v>General Service 1,000 to 4,999 kW</v>
      </c>
      <c r="C29" s="8"/>
      <c r="D29" s="16" t="str">
        <f>IF(ISERROR(VLOOKUP($B29, '3. Rate Classes'!$C$24:$H$45,6,0)), "", VLOOKUP($B29, '3. Rate Classes'!$C$24:$H$45,6,0))</f>
        <v>kW</v>
      </c>
      <c r="F29" s="70">
        <f>VLOOKUP($B29, '11. Adj Network to Forecast WS'!$B$25:$R$48,17,0)</f>
        <v>2.4651519460497364</v>
      </c>
      <c r="G29" s="57"/>
      <c r="H29" s="70">
        <f>VLOOKUP($B29, '12. Adj Conn. to Forecast WS'!$B$25:$R$48,17,0)</f>
        <v>1.7411875966989192</v>
      </c>
      <c r="I29" s="69"/>
      <c r="J29" s="80"/>
      <c r="K29" s="81"/>
      <c r="L29" s="82"/>
      <c r="M29" s="83"/>
      <c r="N29" s="84"/>
      <c r="O29" s="79"/>
      <c r="P29" s="82"/>
      <c r="Q29" s="79"/>
      <c r="R29" s="76"/>
      <c r="S29" s="79"/>
      <c r="T29" s="79"/>
      <c r="U29" s="86"/>
      <c r="V29" s="86"/>
      <c r="W29" s="86"/>
      <c r="X29" s="86"/>
    </row>
    <row r="30" spans="2:24" ht="25.5" customHeight="1" thickBot="1" x14ac:dyDescent="0.3">
      <c r="B30" s="15" t="str">
        <f>IF('3. Rate Classes'!Q28=1,'3. Rate Classes'!C28, 0)</f>
        <v>Large Use</v>
      </c>
      <c r="C30" s="8"/>
      <c r="D30" s="16" t="str">
        <f>IF(ISERROR(VLOOKUP($B30, '3. Rate Classes'!$C$24:$H$45,6,0)), "", VLOOKUP($B30, '3. Rate Classes'!$C$24:$H$45,6,0))</f>
        <v>kW</v>
      </c>
      <c r="F30" s="70">
        <f>VLOOKUP($B30, '11. Adj Network to Forecast WS'!$B$25:$R$48,17,0)</f>
        <v>2.7328904254292579</v>
      </c>
      <c r="G30" s="57"/>
      <c r="H30" s="70">
        <f>VLOOKUP($B30, '12. Adj Conn. to Forecast WS'!$B$25:$R$48,17,0)</f>
        <v>1.9750710049424169</v>
      </c>
      <c r="I30" s="69"/>
      <c r="J30" s="80"/>
      <c r="K30" s="81"/>
      <c r="L30" s="82"/>
      <c r="M30" s="83"/>
      <c r="N30" s="84"/>
      <c r="O30" s="79"/>
      <c r="P30" s="82"/>
      <c r="Q30" s="79"/>
      <c r="R30" s="76"/>
      <c r="S30" s="79"/>
      <c r="T30" s="79"/>
      <c r="U30" s="86"/>
      <c r="V30" s="86"/>
      <c r="W30" s="86"/>
      <c r="X30" s="86"/>
    </row>
    <row r="31" spans="2:24" ht="25.5" customHeight="1" thickBot="1" x14ac:dyDescent="0.3">
      <c r="B31" s="15" t="str">
        <f>IF('3. Rate Classes'!Q29=1,'3. Rate Classes'!C29, 0)</f>
        <v>Unmetered Scattered Load</v>
      </c>
      <c r="C31" s="8"/>
      <c r="D31" s="16" t="str">
        <f>IF(ISERROR(VLOOKUP($B31, '3. Rate Classes'!$C$24:$H$45,6,0)), "", VLOOKUP($B31, '3. Rate Classes'!$C$24:$H$45,6,0))</f>
        <v>kWh</v>
      </c>
      <c r="F31" s="70">
        <f>VLOOKUP($B31, '11. Adj Network to Forecast WS'!$B$25:$R$48,17,0)</f>
        <v>4.9871948556378604E-3</v>
      </c>
      <c r="G31" s="57"/>
      <c r="H31" s="70">
        <f>VLOOKUP($B31, '12. Adj Conn. to Forecast WS'!$B$25:$R$48,17,0)</f>
        <v>4.5001617834131017E-3</v>
      </c>
      <c r="I31" s="69"/>
      <c r="J31" s="80"/>
      <c r="K31" s="81"/>
      <c r="L31" s="82"/>
      <c r="M31" s="83"/>
      <c r="N31" s="84"/>
      <c r="O31" s="79"/>
      <c r="P31" s="82"/>
      <c r="Q31" s="79"/>
      <c r="R31" s="76"/>
      <c r="S31" s="79"/>
      <c r="T31" s="79"/>
      <c r="U31" s="86"/>
      <c r="V31" s="86"/>
      <c r="W31" s="86"/>
      <c r="X31" s="86"/>
    </row>
    <row r="32" spans="2:24" ht="25.5" customHeight="1" thickBot="1" x14ac:dyDescent="0.3">
      <c r="B32" s="15" t="str">
        <f>IF('3. Rate Classes'!Q30=1,'3. Rate Classes'!C30, 0)</f>
        <v>Sentinel Lighting</v>
      </c>
      <c r="C32" s="8"/>
      <c r="D32" s="16" t="str">
        <f>IF(ISERROR(VLOOKUP($B32, '3. Rate Classes'!$C$24:$H$45,6,0)), "", VLOOKUP($B32, '3. Rate Classes'!$C$24:$H$45,6,0))</f>
        <v>kW</v>
      </c>
      <c r="F32" s="70">
        <f>VLOOKUP($B32, '11. Adj Network to Forecast WS'!$B$25:$R$48,17,0)</f>
        <v>1.7528142808361287</v>
      </c>
      <c r="G32" s="57"/>
      <c r="H32" s="70">
        <f>VLOOKUP($B32, '12. Adj Conn. to Forecast WS'!$B$25:$R$48,17,0)</f>
        <v>1.2504199533189235</v>
      </c>
      <c r="I32" s="69"/>
      <c r="J32" s="80"/>
      <c r="K32" s="81"/>
      <c r="L32" s="82"/>
      <c r="M32" s="83"/>
      <c r="N32" s="84"/>
      <c r="O32" s="79"/>
      <c r="P32" s="82"/>
      <c r="Q32" s="79"/>
      <c r="R32" s="76"/>
      <c r="S32" s="79"/>
      <c r="T32" s="79"/>
      <c r="U32" s="86"/>
      <c r="V32" s="86"/>
      <c r="W32" s="86"/>
      <c r="X32" s="86"/>
    </row>
    <row r="33" spans="2:24" ht="25.5" customHeight="1" thickBot="1" x14ac:dyDescent="0.3">
      <c r="B33" s="15" t="str">
        <f>IF('3. Rate Classes'!Q31=1,'3. Rate Classes'!C31, 0)</f>
        <v>Street Lighting</v>
      </c>
      <c r="C33" s="8"/>
      <c r="D33" s="16" t="str">
        <f>IF(ISERROR(VLOOKUP($B33, '3. Rate Classes'!$C$24:$H$45,6,0)), "", VLOOKUP($B33, '3. Rate Classes'!$C$24:$H$45,6,0))</f>
        <v>kW</v>
      </c>
      <c r="F33" s="70">
        <f>VLOOKUP($B33, '11. Adj Network to Forecast WS'!$B$25:$R$48,17,0)</f>
        <v>1.7528142808361287</v>
      </c>
      <c r="G33" s="57"/>
      <c r="H33" s="70">
        <f>VLOOKUP($B33, '12. Adj Conn. to Forecast WS'!$B$25:$R$48,17,0)</f>
        <v>2.0666992990324666</v>
      </c>
      <c r="I33" s="69"/>
      <c r="J33" s="80"/>
      <c r="K33" s="81"/>
      <c r="L33" s="82"/>
      <c r="M33" s="83"/>
      <c r="N33" s="84"/>
      <c r="O33" s="79"/>
      <c r="P33" s="82"/>
      <c r="Q33" s="79"/>
      <c r="R33" s="76"/>
      <c r="S33" s="79"/>
      <c r="T33" s="79"/>
      <c r="U33" s="86"/>
      <c r="V33" s="86"/>
      <c r="W33" s="86"/>
      <c r="X33" s="86"/>
    </row>
    <row r="34" spans="2:24" ht="25.5" customHeight="1" thickBot="1" x14ac:dyDescent="0.3">
      <c r="B34" s="15" t="str">
        <f>IF('3. Rate Classes'!Q32=1,'3. Rate Classes'!C32, 0)</f>
        <v>Embedded Distributor</v>
      </c>
      <c r="C34" s="8"/>
      <c r="D34" s="16" t="str">
        <f>IF(ISERROR(VLOOKUP($B34, '3. Rate Classes'!$C$24:$H$45,6,0)), "", VLOOKUP($B34, '3. Rate Classes'!$C$24:$H$45,6,0))</f>
        <v>kW</v>
      </c>
      <c r="F34" s="70">
        <f>VLOOKUP($B34, '11. Adj Network to Forecast WS'!$B$25:$R$48,17,0)</f>
        <v>3.2979211314809698</v>
      </c>
      <c r="G34" s="57"/>
      <c r="H34" s="70">
        <f>VLOOKUP($B34, '12. Adj Conn. to Forecast WS'!$B$25:$R$48,17,0)</f>
        <v>2.2962075499865344</v>
      </c>
      <c r="I34" s="69"/>
      <c r="J34" s="80"/>
      <c r="K34" s="81"/>
      <c r="L34" s="82"/>
      <c r="M34" s="83"/>
      <c r="N34" s="84"/>
      <c r="O34" s="79"/>
      <c r="P34" s="82"/>
      <c r="Q34" s="79"/>
      <c r="R34" s="76"/>
      <c r="S34" s="79"/>
      <c r="T34" s="79"/>
      <c r="U34" s="86"/>
      <c r="V34" s="86"/>
      <c r="W34" s="86"/>
      <c r="X34" s="86"/>
    </row>
    <row r="35" spans="2:24" ht="25.5" hidden="1" customHeight="1" thickBot="1" x14ac:dyDescent="0.3">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3">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3">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3">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3">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3">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3">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3">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3">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3">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3">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3">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3">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8" thickBot="1" x14ac:dyDescent="0.3">
      <c r="F48" s="70"/>
      <c r="G48" s="37"/>
      <c r="H48" s="86"/>
      <c r="I48" s="86"/>
      <c r="J48" s="79"/>
      <c r="K48" s="79"/>
      <c r="L48" s="79"/>
      <c r="M48" s="79"/>
      <c r="N48" s="79"/>
      <c r="O48" s="79"/>
      <c r="P48" s="79"/>
      <c r="Q48" s="79"/>
      <c r="R48" s="76"/>
      <c r="S48" s="79"/>
      <c r="T48" s="79"/>
      <c r="U48" s="86"/>
      <c r="V48" s="86"/>
      <c r="W48" s="86"/>
      <c r="X48" s="86"/>
    </row>
    <row r="49" spans="6:24" ht="13.8" thickBot="1" x14ac:dyDescent="0.3">
      <c r="F49" s="70"/>
      <c r="G49" s="37"/>
      <c r="H49" s="86"/>
      <c r="I49" s="86"/>
      <c r="J49" s="79"/>
      <c r="K49" s="79"/>
      <c r="L49" s="79"/>
      <c r="M49" s="79"/>
      <c r="N49" s="79"/>
      <c r="O49" s="79"/>
      <c r="P49" s="79"/>
      <c r="Q49" s="79"/>
      <c r="R49" s="76"/>
      <c r="S49" s="79"/>
      <c r="T49" s="79"/>
      <c r="U49" s="86"/>
      <c r="V49" s="86"/>
      <c r="W49" s="86"/>
      <c r="X49" s="86"/>
    </row>
    <row r="50" spans="6:24" ht="13.8" thickBot="1" x14ac:dyDescent="0.3">
      <c r="F50" s="70"/>
      <c r="G50" s="37"/>
      <c r="H50" s="86"/>
      <c r="I50" s="86"/>
      <c r="J50" s="79"/>
      <c r="K50" s="79"/>
      <c r="L50" s="82"/>
      <c r="M50" s="79"/>
      <c r="N50" s="79"/>
      <c r="O50" s="79"/>
      <c r="P50" s="79"/>
      <c r="Q50" s="79"/>
      <c r="R50" s="76"/>
      <c r="S50" s="79"/>
      <c r="T50" s="79"/>
      <c r="U50" s="86"/>
      <c r="V50" s="86"/>
      <c r="W50" s="86"/>
      <c r="X50" s="86"/>
    </row>
    <row r="51" spans="6:24" ht="13.8" thickBot="1" x14ac:dyDescent="0.3">
      <c r="F51" s="70"/>
      <c r="G51" s="37"/>
      <c r="H51" s="86"/>
      <c r="I51" s="86"/>
      <c r="J51" s="79"/>
      <c r="K51" s="79"/>
      <c r="L51" s="79"/>
      <c r="M51" s="79"/>
      <c r="N51" s="79"/>
      <c r="O51" s="79"/>
      <c r="P51" s="79"/>
      <c r="Q51" s="79"/>
      <c r="R51" s="76"/>
      <c r="S51" s="79"/>
      <c r="T51" s="79"/>
      <c r="U51" s="86"/>
      <c r="V51" s="86"/>
      <c r="W51" s="86"/>
      <c r="X51" s="86"/>
    </row>
    <row r="52" spans="6:24" ht="13.8" thickBot="1" x14ac:dyDescent="0.3">
      <c r="F52" s="70"/>
      <c r="G52" s="37"/>
      <c r="H52" s="86"/>
      <c r="I52" s="86"/>
      <c r="J52" s="79"/>
      <c r="K52" s="79"/>
      <c r="L52" s="79"/>
      <c r="M52" s="79"/>
      <c r="N52" s="79"/>
      <c r="O52" s="79"/>
      <c r="P52" s="79"/>
      <c r="Q52" s="79"/>
      <c r="R52" s="76"/>
      <c r="S52" s="79"/>
      <c r="T52" s="79"/>
      <c r="U52" s="86"/>
      <c r="V52" s="86"/>
      <c r="W52" s="86"/>
      <c r="X52" s="86"/>
    </row>
    <row r="53" spans="6:24" ht="13.8" thickBot="1" x14ac:dyDescent="0.3">
      <c r="F53" s="70"/>
      <c r="G53" s="37"/>
      <c r="H53" s="86"/>
      <c r="I53" s="86"/>
      <c r="J53" s="79"/>
      <c r="K53" s="79"/>
      <c r="L53" s="79"/>
      <c r="M53" s="79"/>
      <c r="N53" s="79"/>
      <c r="O53" s="79"/>
      <c r="P53" s="79"/>
      <c r="Q53" s="79"/>
      <c r="R53" s="76"/>
      <c r="S53" s="79"/>
      <c r="T53" s="79"/>
      <c r="U53" s="86"/>
      <c r="V53" s="86"/>
      <c r="W53" s="86"/>
      <c r="X53" s="86"/>
    </row>
    <row r="54" spans="6:24" ht="13.8" thickBot="1" x14ac:dyDescent="0.3">
      <c r="F54" s="67"/>
      <c r="H54" s="86"/>
      <c r="I54" s="86"/>
      <c r="J54" s="79"/>
      <c r="K54" s="79"/>
      <c r="L54" s="79"/>
      <c r="M54" s="79"/>
      <c r="N54" s="79"/>
      <c r="O54" s="79"/>
      <c r="P54" s="79"/>
      <c r="Q54" s="79"/>
      <c r="R54" s="76"/>
      <c r="S54" s="79"/>
      <c r="T54" s="79"/>
      <c r="U54" s="86"/>
      <c r="V54" s="86"/>
      <c r="W54" s="86"/>
      <c r="X54" s="86"/>
    </row>
    <row r="55" spans="6:24" ht="13.8" thickBot="1" x14ac:dyDescent="0.3">
      <c r="F55" s="67"/>
      <c r="H55" s="86"/>
      <c r="I55" s="86"/>
      <c r="J55" s="79"/>
      <c r="K55" s="79"/>
      <c r="L55" s="79"/>
      <c r="M55" s="79"/>
      <c r="N55" s="79"/>
      <c r="O55" s="79"/>
      <c r="P55" s="79"/>
      <c r="Q55" s="79"/>
      <c r="R55" s="79"/>
      <c r="S55" s="79"/>
      <c r="T55" s="79"/>
      <c r="U55" s="86"/>
      <c r="V55" s="86"/>
      <c r="W55" s="86"/>
      <c r="X55" s="86"/>
    </row>
    <row r="56" spans="6:24" ht="13.8" thickBot="1" x14ac:dyDescent="0.3">
      <c r="F56" s="56"/>
      <c r="H56" s="86"/>
      <c r="I56" s="86"/>
      <c r="J56" s="79"/>
      <c r="K56" s="79"/>
      <c r="L56" s="79"/>
      <c r="M56" s="79"/>
      <c r="N56" s="79"/>
      <c r="O56" s="79"/>
      <c r="P56" s="79"/>
      <c r="Q56" s="79"/>
      <c r="R56" s="79"/>
      <c r="S56" s="79"/>
      <c r="T56" s="79"/>
      <c r="U56" s="86"/>
      <c r="V56" s="86"/>
      <c r="W56" s="86"/>
      <c r="X56" s="86"/>
    </row>
    <row r="57" spans="6:24" ht="13.8" thickBot="1" x14ac:dyDescent="0.3">
      <c r="F57" s="56"/>
      <c r="H57" s="86"/>
      <c r="I57" s="86"/>
      <c r="J57" s="79"/>
      <c r="K57" s="79"/>
      <c r="L57" s="79"/>
      <c r="M57" s="79"/>
      <c r="N57" s="79"/>
      <c r="O57" s="79"/>
      <c r="P57" s="79"/>
      <c r="Q57" s="79"/>
      <c r="R57" s="79"/>
      <c r="S57" s="79"/>
      <c r="T57" s="79"/>
      <c r="U57" s="86"/>
      <c r="V57" s="86"/>
      <c r="W57" s="86"/>
      <c r="X57" s="86"/>
    </row>
    <row r="58" spans="6:24" x14ac:dyDescent="0.25">
      <c r="H58" s="86"/>
      <c r="I58" s="86"/>
      <c r="J58" s="79"/>
      <c r="K58" s="79"/>
      <c r="L58" s="79"/>
      <c r="M58" s="79"/>
      <c r="N58" s="79"/>
      <c r="O58" s="79"/>
      <c r="P58" s="79"/>
      <c r="Q58" s="79"/>
      <c r="R58" s="79"/>
      <c r="S58" s="79"/>
      <c r="T58" s="79"/>
      <c r="U58" s="86"/>
      <c r="V58" s="86"/>
      <c r="W58" s="86"/>
      <c r="X58" s="86"/>
    </row>
    <row r="59" spans="6:24" x14ac:dyDescent="0.25">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5" right="0.75" top="1" bottom="1" header="0.5" footer="0.5"/>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3.2" x14ac:dyDescent="0.25"/>
  <cols>
    <col min="1" max="1" width="30.5546875" bestFit="1" customWidth="1"/>
    <col min="4" max="4" width="22.88671875" bestFit="1" customWidth="1"/>
  </cols>
  <sheetData>
    <row r="1" spans="1:4" x14ac:dyDescent="0.25">
      <c r="A1" s="4" t="str">
        <f>IF('3. Rate Classes'!Q24=1, '3. Rate Classes'!C24, "")</f>
        <v>Residential</v>
      </c>
      <c r="B1" s="4">
        <v>1</v>
      </c>
      <c r="D1" s="5"/>
    </row>
    <row r="2" spans="1:4" x14ac:dyDescent="0.25">
      <c r="A2" s="4" t="str">
        <f>IF('3. Rate Classes'!Q25=1, '3. Rate Classes'!C25, "")</f>
        <v>General Service Less Than 50 kW</v>
      </c>
      <c r="B2" s="4">
        <v>2</v>
      </c>
    </row>
    <row r="3" spans="1:4" x14ac:dyDescent="0.25">
      <c r="A3" s="4" t="str">
        <f>IF('3. Rate Classes'!Q26=1, '3. Rate Classes'!C26, "")</f>
        <v>General Service 50 to 999 kW</v>
      </c>
      <c r="B3" s="4">
        <v>3</v>
      </c>
    </row>
    <row r="4" spans="1:4" x14ac:dyDescent="0.25">
      <c r="A4" s="4" t="str">
        <f>IF('3. Rate Classes'!Q27=1, '3. Rate Classes'!C27, "")</f>
        <v>General Service 1,000 to 4,999 kW</v>
      </c>
      <c r="B4" s="4">
        <v>4</v>
      </c>
    </row>
    <row r="5" spans="1:4" x14ac:dyDescent="0.25">
      <c r="A5" s="4" t="str">
        <f>IF('3. Rate Classes'!Q28=1, '3. Rate Classes'!C28, "")</f>
        <v>Large Use</v>
      </c>
      <c r="B5" s="4">
        <v>5</v>
      </c>
    </row>
    <row r="6" spans="1:4" x14ac:dyDescent="0.25">
      <c r="A6" s="4" t="str">
        <f>IF('3. Rate Classes'!Q29=1, '3. Rate Classes'!C29, "")</f>
        <v>Unmetered Scattered Load</v>
      </c>
      <c r="B6" s="4">
        <v>6</v>
      </c>
    </row>
    <row r="7" spans="1:4" x14ac:dyDescent="0.25">
      <c r="A7" s="4" t="str">
        <f>IF('3. Rate Classes'!Q30=1, '3. Rate Classes'!C30, "")</f>
        <v>Sentinel Lighting</v>
      </c>
      <c r="B7" s="4">
        <v>7</v>
      </c>
    </row>
    <row r="8" spans="1:4" x14ac:dyDescent="0.25">
      <c r="A8" s="4" t="str">
        <f>IF('3. Rate Classes'!Q31=1, '3. Rate Classes'!C31, "")</f>
        <v>Street Lighting</v>
      </c>
      <c r="B8" s="4">
        <v>8</v>
      </c>
    </row>
    <row r="9" spans="1:4" x14ac:dyDescent="0.25">
      <c r="A9" s="4" t="str">
        <f>IF('3. Rate Classes'!Q32=1, '3. Rate Classes'!C32, "")</f>
        <v>Embedded Distributor</v>
      </c>
      <c r="B9" s="4">
        <v>9</v>
      </c>
    </row>
    <row r="10" spans="1:4" x14ac:dyDescent="0.25">
      <c r="A10" s="4" t="str">
        <f>IF('3. Rate Classes'!Q33=1, '3. Rate Classes'!C33, "")</f>
        <v/>
      </c>
      <c r="B10" s="4">
        <v>10</v>
      </c>
    </row>
    <row r="11" spans="1:4" x14ac:dyDescent="0.25">
      <c r="A11" s="4" t="str">
        <f>IF('3. Rate Classes'!Q34=1, '3. Rate Classes'!C34, "")</f>
        <v/>
      </c>
      <c r="B11" s="4">
        <v>11</v>
      </c>
    </row>
    <row r="12" spans="1:4" x14ac:dyDescent="0.25">
      <c r="A12" s="4" t="str">
        <f>IF('3. Rate Classes'!Q35=1, '3. Rate Classes'!C35, "")</f>
        <v/>
      </c>
      <c r="B12" s="4">
        <v>12</v>
      </c>
    </row>
    <row r="13" spans="1:4" x14ac:dyDescent="0.25">
      <c r="A13" s="4" t="str">
        <f>IF('3. Rate Classes'!Q36=1, '3. Rate Classes'!C36, "")</f>
        <v/>
      </c>
      <c r="B13" s="4">
        <v>13</v>
      </c>
    </row>
    <row r="14" spans="1:4" x14ac:dyDescent="0.25">
      <c r="A14" s="4" t="str">
        <f>IF('3. Rate Classes'!Q37=1, '3. Rate Classes'!C37, "")</f>
        <v/>
      </c>
      <c r="B14" s="4">
        <v>14</v>
      </c>
    </row>
    <row r="15" spans="1:4" x14ac:dyDescent="0.25">
      <c r="A15" s="4" t="str">
        <f>IF('3. Rate Classes'!Q38=1, '3. Rate Classes'!C38, "")</f>
        <v/>
      </c>
      <c r="B15" s="4">
        <v>15</v>
      </c>
    </row>
    <row r="16" spans="1:4" x14ac:dyDescent="0.25">
      <c r="A16" s="4" t="str">
        <f>IF('3. Rate Classes'!Q39=1, '3. Rate Classes'!C39, "")</f>
        <v/>
      </c>
      <c r="B16" s="4">
        <v>16</v>
      </c>
    </row>
    <row r="17" spans="1:4" x14ac:dyDescent="0.25">
      <c r="A17" s="4" t="str">
        <f>IF('3. Rate Classes'!Q40=1, '3. Rate Classes'!C40, "")</f>
        <v/>
      </c>
      <c r="B17" s="4">
        <v>17</v>
      </c>
    </row>
    <row r="18" spans="1:4" x14ac:dyDescent="0.25">
      <c r="A18" s="4" t="str">
        <f>IF('3. Rate Classes'!Q41=1, '3. Rate Classes'!C41, "")</f>
        <v/>
      </c>
      <c r="B18" s="4">
        <v>18</v>
      </c>
    </row>
    <row r="19" spans="1:4" x14ac:dyDescent="0.25">
      <c r="A19" s="4" t="str">
        <f>IF('3. Rate Classes'!Q42=1, '3. Rate Classes'!C42, "")</f>
        <v/>
      </c>
      <c r="B19" s="4">
        <v>19</v>
      </c>
    </row>
    <row r="20" spans="1:4" x14ac:dyDescent="0.25">
      <c r="A20" s="4" t="str">
        <f>IF('3. Rate Classes'!Q43=1, '3. Rate Classes'!C43, "")</f>
        <v/>
      </c>
      <c r="B20" s="4">
        <v>20</v>
      </c>
    </row>
    <row r="21" spans="1:4" x14ac:dyDescent="0.25">
      <c r="A21" s="4" t="str">
        <f>IF('3. Rate Classes'!Q44=1, '3. Rate Classes'!C44, "")</f>
        <v/>
      </c>
      <c r="B21" s="4">
        <v>21</v>
      </c>
      <c r="D21" s="5"/>
    </row>
    <row r="22" spans="1:4" x14ac:dyDescent="0.25">
      <c r="A22" s="4" t="str">
        <f>IF('3. Rate Classes'!Q45=1, '3. Rate Classes'!C45, "")</f>
        <v/>
      </c>
      <c r="B22" s="4">
        <v>22</v>
      </c>
      <c r="D22" s="5"/>
    </row>
    <row r="23" spans="1:4" x14ac:dyDescent="0.25">
      <c r="D23" s="5"/>
    </row>
    <row r="24" spans="1:4" x14ac:dyDescent="0.25">
      <c r="D24" s="5"/>
    </row>
    <row r="25" spans="1:4" x14ac:dyDescent="0.25">
      <c r="D25" s="5"/>
    </row>
    <row r="26" spans="1:4" x14ac:dyDescent="0.25">
      <c r="D26" s="5"/>
    </row>
    <row r="27" spans="1:4" x14ac:dyDescent="0.25">
      <c r="D27" s="5"/>
    </row>
    <row r="28" spans="1:4" x14ac:dyDescent="0.25">
      <c r="D28" s="5"/>
    </row>
    <row r="29" spans="1:4" x14ac:dyDescent="0.25">
      <c r="D29" s="5"/>
    </row>
    <row r="30" spans="1:4" x14ac:dyDescent="0.25">
      <c r="D30" s="5"/>
    </row>
    <row r="31" spans="1:4" x14ac:dyDescent="0.25">
      <c r="D31" s="5"/>
    </row>
    <row r="32" spans="1:4" x14ac:dyDescent="0.25">
      <c r="D32" s="5"/>
    </row>
    <row r="73" spans="4:4" x14ac:dyDescent="0.25">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topLeftCell="A10" workbookViewId="0">
      <selection activeCell="I33" sqref="I33"/>
    </sheetView>
  </sheetViews>
  <sheetFormatPr defaultRowHeight="13.2" x14ac:dyDescent="0.25"/>
  <sheetData>
    <row r="14" ht="3" customHeight="1" x14ac:dyDescent="0.25"/>
    <row r="15" ht="3" customHeight="1" x14ac:dyDescent="0.25"/>
    <row r="16" ht="3" customHeight="1" x14ac:dyDescent="0.25"/>
    <row r="17" spans="3:13" s="75" customFormat="1" ht="3" customHeight="1" x14ac:dyDescent="0.25"/>
    <row r="18" spans="3:13" s="75" customFormat="1" ht="3" customHeight="1" x14ac:dyDescent="0.25">
      <c r="C18" s="8"/>
      <c r="D18" s="8"/>
      <c r="E18" s="8"/>
      <c r="F18" s="8"/>
      <c r="G18" s="8"/>
      <c r="H18" s="8"/>
      <c r="I18" s="8"/>
      <c r="J18" s="8"/>
      <c r="K18" s="8"/>
      <c r="L18" s="8"/>
      <c r="M18" s="8"/>
    </row>
    <row r="19" spans="3:13" s="75" customFormat="1" x14ac:dyDescent="0.25">
      <c r="C19" s="8"/>
      <c r="D19" s="8"/>
      <c r="E19" s="8"/>
      <c r="F19" s="8"/>
      <c r="G19" s="8"/>
      <c r="H19" s="8"/>
      <c r="I19" s="8"/>
      <c r="J19" s="8"/>
      <c r="K19" s="8"/>
      <c r="L19" s="8"/>
      <c r="M19" s="8"/>
    </row>
    <row r="20" spans="3:13" s="75" customFormat="1" ht="15.6" x14ac:dyDescent="0.3">
      <c r="C20" s="8"/>
      <c r="D20" s="154" t="s">
        <v>141</v>
      </c>
      <c r="E20" s="8"/>
      <c r="F20" s="8"/>
      <c r="G20" s="8"/>
      <c r="H20" s="8"/>
      <c r="I20" s="154" t="s">
        <v>147</v>
      </c>
      <c r="J20" s="8"/>
      <c r="K20" s="8"/>
      <c r="L20" s="8"/>
      <c r="M20" s="8"/>
    </row>
    <row r="21" spans="3:13" s="75" customFormat="1" ht="15.6" x14ac:dyDescent="0.3">
      <c r="C21" s="8"/>
      <c r="D21" s="140"/>
      <c r="E21" s="8"/>
      <c r="F21" s="8"/>
      <c r="G21" s="8"/>
      <c r="H21" s="8"/>
      <c r="I21" s="140"/>
      <c r="J21" s="8"/>
      <c r="K21" s="8"/>
      <c r="L21" s="8"/>
      <c r="M21" s="8"/>
    </row>
    <row r="22" spans="3:13" s="75" customFormat="1" ht="15.6" x14ac:dyDescent="0.3">
      <c r="C22" s="8"/>
      <c r="D22" s="154" t="s">
        <v>142</v>
      </c>
      <c r="E22" s="8"/>
      <c r="F22" s="8"/>
      <c r="G22" s="8"/>
      <c r="H22" s="8"/>
      <c r="I22" s="154" t="s">
        <v>148</v>
      </c>
      <c r="J22" s="8"/>
      <c r="K22" s="8"/>
      <c r="L22" s="8"/>
      <c r="M22" s="8"/>
    </row>
    <row r="23" spans="3:13" s="75" customFormat="1" ht="15.6" x14ac:dyDescent="0.3">
      <c r="C23" s="8"/>
      <c r="D23" s="140"/>
      <c r="E23" s="8"/>
      <c r="F23" s="8"/>
      <c r="G23" s="8"/>
      <c r="H23" s="8"/>
      <c r="I23" s="140"/>
      <c r="J23" s="8"/>
      <c r="K23" s="8"/>
      <c r="L23" s="8"/>
      <c r="M23" s="8"/>
    </row>
    <row r="24" spans="3:13" s="75" customFormat="1" ht="15.6" x14ac:dyDescent="0.3">
      <c r="C24" s="8"/>
      <c r="D24" s="154" t="s">
        <v>143</v>
      </c>
      <c r="E24" s="8"/>
      <c r="F24" s="8"/>
      <c r="G24" s="8"/>
      <c r="H24" s="8"/>
      <c r="I24" s="154" t="s">
        <v>149</v>
      </c>
      <c r="J24" s="8"/>
      <c r="K24" s="8"/>
      <c r="L24" s="8"/>
      <c r="M24" s="8"/>
    </row>
    <row r="25" spans="3:13" s="75" customFormat="1" ht="15.6" x14ac:dyDescent="0.3">
      <c r="C25" s="8"/>
      <c r="D25" s="140"/>
      <c r="E25" s="8"/>
      <c r="F25" s="8"/>
      <c r="G25" s="8"/>
      <c r="H25" s="8"/>
      <c r="I25" s="140"/>
      <c r="J25" s="8"/>
      <c r="K25" s="8"/>
      <c r="L25" s="8"/>
      <c r="M25" s="8"/>
    </row>
    <row r="26" spans="3:13" s="75" customFormat="1" ht="15.6" x14ac:dyDescent="0.3">
      <c r="C26" s="8"/>
      <c r="D26" s="154" t="s">
        <v>144</v>
      </c>
      <c r="E26" s="8"/>
      <c r="F26" s="8"/>
      <c r="G26" s="8"/>
      <c r="H26" s="8"/>
      <c r="I26" s="154" t="s">
        <v>150</v>
      </c>
      <c r="J26" s="8"/>
      <c r="K26" s="8"/>
      <c r="L26" s="8"/>
      <c r="M26" s="8"/>
    </row>
    <row r="27" spans="3:13" s="75" customFormat="1" ht="15.6" x14ac:dyDescent="0.3">
      <c r="C27" s="8"/>
      <c r="D27" s="140"/>
      <c r="E27" s="8"/>
      <c r="F27" s="8"/>
      <c r="G27" s="8"/>
      <c r="H27" s="8"/>
      <c r="I27" s="140"/>
      <c r="J27" s="8"/>
      <c r="K27" s="8"/>
      <c r="L27" s="8"/>
      <c r="M27" s="8"/>
    </row>
    <row r="28" spans="3:13" s="75" customFormat="1" ht="15.6" x14ac:dyDescent="0.3">
      <c r="C28" s="8"/>
      <c r="D28" s="154" t="s">
        <v>145</v>
      </c>
      <c r="E28" s="8"/>
      <c r="F28" s="8"/>
      <c r="G28" s="8"/>
      <c r="H28" s="8"/>
      <c r="I28" s="154" t="s">
        <v>151</v>
      </c>
      <c r="J28" s="8"/>
      <c r="K28" s="8"/>
      <c r="L28" s="8"/>
      <c r="M28" s="8"/>
    </row>
    <row r="29" spans="3:13" s="75" customFormat="1" ht="15.6" x14ac:dyDescent="0.3">
      <c r="C29" s="8"/>
      <c r="D29" s="140"/>
      <c r="E29" s="8"/>
      <c r="F29" s="8"/>
      <c r="G29" s="8"/>
      <c r="H29" s="8"/>
      <c r="I29" s="140"/>
      <c r="J29" s="8"/>
      <c r="K29" s="8"/>
      <c r="L29" s="8"/>
      <c r="M29" s="8"/>
    </row>
    <row r="30" spans="3:13" s="75" customFormat="1" ht="15.6" x14ac:dyDescent="0.3">
      <c r="C30" s="8"/>
      <c r="D30" s="154" t="s">
        <v>146</v>
      </c>
      <c r="E30" s="8"/>
      <c r="F30" s="8"/>
      <c r="G30" s="8"/>
      <c r="H30" s="8"/>
      <c r="I30" s="154" t="s">
        <v>152</v>
      </c>
      <c r="J30" s="8"/>
      <c r="K30" s="8"/>
      <c r="L30" s="8"/>
      <c r="M30" s="8"/>
    </row>
    <row r="31" spans="3:13" s="75" customFormat="1" x14ac:dyDescent="0.25">
      <c r="C31" s="8"/>
      <c r="D31" s="8"/>
      <c r="E31" s="8"/>
      <c r="F31" s="8"/>
      <c r="G31" s="8"/>
      <c r="H31" s="8"/>
      <c r="I31" s="8"/>
      <c r="J31" s="8"/>
      <c r="K31" s="8"/>
      <c r="L31" s="8"/>
      <c r="M31" s="8"/>
    </row>
    <row r="32" spans="3:13" s="75" customFormat="1" ht="15.6" x14ac:dyDescent="0.3">
      <c r="C32" s="8"/>
      <c r="D32" s="8"/>
      <c r="E32" s="8"/>
      <c r="F32" s="8"/>
      <c r="G32" s="8"/>
      <c r="H32" s="8"/>
      <c r="I32" s="154" t="s">
        <v>250</v>
      </c>
      <c r="J32" s="8"/>
      <c r="K32" s="8"/>
      <c r="L32" s="8"/>
      <c r="M32" s="8"/>
    </row>
    <row r="33" spans="3:13" s="75" customFormat="1" x14ac:dyDescent="0.25">
      <c r="C33" s="8"/>
      <c r="D33" s="8"/>
      <c r="E33" s="8"/>
      <c r="F33" s="8"/>
      <c r="G33" s="8"/>
      <c r="H33" s="8"/>
      <c r="I33" s="8"/>
      <c r="J33" s="8"/>
      <c r="K33" s="8"/>
      <c r="L33" s="8"/>
      <c r="M33" s="8"/>
    </row>
    <row r="34" spans="3:13" s="75" customFormat="1" x14ac:dyDescent="0.25">
      <c r="C34" s="8"/>
      <c r="D34" s="8"/>
      <c r="E34" s="8"/>
      <c r="F34" s="8"/>
      <c r="G34" s="8"/>
      <c r="H34" s="8"/>
      <c r="I34" s="8"/>
      <c r="J34" s="8"/>
      <c r="K34" s="8"/>
      <c r="L34" s="8"/>
      <c r="M34" s="8"/>
    </row>
    <row r="35" spans="3:13" s="75" customFormat="1" x14ac:dyDescent="0.25">
      <c r="C35" s="8"/>
      <c r="D35" s="8"/>
      <c r="E35" s="8"/>
      <c r="F35" s="8"/>
      <c r="G35" s="8"/>
      <c r="H35" s="8"/>
      <c r="I35" s="8"/>
      <c r="J35" s="8"/>
      <c r="K35" s="8"/>
      <c r="L35" s="8"/>
      <c r="M35" s="8"/>
    </row>
    <row r="36" spans="3:13" s="75" customFormat="1" x14ac:dyDescent="0.25"/>
    <row r="37" spans="3:13" s="75" customFormat="1" x14ac:dyDescent="0.25"/>
    <row r="38" spans="3:13" s="75" customFormat="1" x14ac:dyDescent="0.25"/>
    <row r="39" spans="3:13" s="75" customFormat="1" x14ac:dyDescent="0.25"/>
    <row r="40" spans="3:13" s="75" customFormat="1" x14ac:dyDescent="0.25"/>
    <row r="41" spans="3:13" s="75" customFormat="1" x14ac:dyDescent="0.25"/>
    <row r="42" spans="3:13" s="75" customFormat="1" x14ac:dyDescent="0.25"/>
    <row r="43" spans="3:13" s="75" customFormat="1" x14ac:dyDescent="0.25"/>
    <row r="44" spans="3:13" s="75" customFormat="1" x14ac:dyDescent="0.25"/>
    <row r="45" spans="3:13" s="75" customFormat="1" x14ac:dyDescent="0.25"/>
    <row r="46" spans="3:13" s="75" customFormat="1" x14ac:dyDescent="0.25"/>
    <row r="47" spans="3:13" s="75" customFormat="1" x14ac:dyDescent="0.25"/>
    <row r="48" spans="3:13" s="75" customFormat="1" x14ac:dyDescent="0.25"/>
    <row r="49" s="75" customFormat="1" x14ac:dyDescent="0.25"/>
    <row r="50" s="75" customFormat="1" x14ac:dyDescent="0.25"/>
    <row r="51" s="75" customFormat="1" x14ac:dyDescent="0.25"/>
    <row r="52" s="75" customFormat="1" x14ac:dyDescent="0.25"/>
    <row r="53" s="75" customFormat="1" x14ac:dyDescent="0.25"/>
    <row r="54" s="75" customFormat="1" x14ac:dyDescent="0.25"/>
    <row r="55" s="75" customFormat="1" x14ac:dyDescent="0.25"/>
    <row r="56" s="75" customFormat="1" x14ac:dyDescent="0.25"/>
    <row r="57" s="75" customFormat="1" x14ac:dyDescent="0.25"/>
    <row r="58" s="75" customFormat="1" x14ac:dyDescent="0.25"/>
    <row r="59" s="75" customFormat="1" x14ac:dyDescent="0.25"/>
    <row r="60" s="75" customFormat="1" x14ac:dyDescent="0.25"/>
    <row r="61" s="75" customFormat="1" x14ac:dyDescent="0.25"/>
    <row r="62" s="75" customFormat="1" x14ac:dyDescent="0.25"/>
    <row r="63" s="75" customFormat="1" x14ac:dyDescent="0.25"/>
    <row r="64" s="75" customFormat="1" x14ac:dyDescent="0.25"/>
    <row r="65" s="75" customFormat="1" x14ac:dyDescent="0.25"/>
    <row r="66" s="75" customFormat="1" x14ac:dyDescent="0.25"/>
    <row r="67" s="75" customFormat="1" x14ac:dyDescent="0.25"/>
    <row r="68" s="75" customFormat="1" x14ac:dyDescent="0.25"/>
    <row r="69" s="75" customFormat="1" x14ac:dyDescent="0.25"/>
    <row r="70" s="75" customFormat="1" x14ac:dyDescent="0.25"/>
    <row r="71" s="75" customFormat="1" x14ac:dyDescent="0.25"/>
    <row r="72" s="75" customFormat="1" x14ac:dyDescent="0.25"/>
    <row r="73" s="75" customFormat="1" x14ac:dyDescent="0.25"/>
    <row r="74" s="75" customFormat="1" x14ac:dyDescent="0.25"/>
    <row r="75" s="75" customFormat="1" x14ac:dyDescent="0.25"/>
    <row r="76" s="75" customFormat="1" x14ac:dyDescent="0.25"/>
    <row r="77" s="75" customFormat="1" x14ac:dyDescent="0.25"/>
    <row r="78" s="75" customFormat="1" x14ac:dyDescent="0.25"/>
    <row r="79" s="75" customFormat="1" x14ac:dyDescent="0.25"/>
    <row r="80" s="75" customFormat="1" x14ac:dyDescent="0.25"/>
    <row r="81" s="75" customFormat="1" x14ac:dyDescent="0.25"/>
    <row r="82" s="75" customFormat="1" x14ac:dyDescent="0.25"/>
    <row r="83" s="75" customFormat="1" x14ac:dyDescent="0.25"/>
    <row r="84" s="75" customFormat="1" x14ac:dyDescent="0.25"/>
    <row r="85" s="75" customFormat="1" x14ac:dyDescent="0.25"/>
    <row r="86" s="75" customFormat="1" x14ac:dyDescent="0.25"/>
    <row r="87" s="75" customFormat="1" x14ac:dyDescent="0.25"/>
    <row r="88" s="75" customFormat="1" x14ac:dyDescent="0.25"/>
    <row r="89" s="75" customFormat="1" x14ac:dyDescent="0.25"/>
    <row r="90" s="75" customFormat="1" x14ac:dyDescent="0.25"/>
    <row r="91" s="75" customFormat="1" x14ac:dyDescent="0.25"/>
    <row r="92" s="75" customFormat="1" x14ac:dyDescent="0.25"/>
    <row r="93" s="75" customFormat="1" x14ac:dyDescent="0.25"/>
    <row r="94" s="75" customFormat="1" x14ac:dyDescent="0.25"/>
    <row r="95" s="75" customFormat="1" x14ac:dyDescent="0.25"/>
    <row r="96" s="75" customFormat="1" x14ac:dyDescent="0.25"/>
    <row r="97" spans="3:3" s="75" customFormat="1" x14ac:dyDescent="0.25"/>
    <row r="98" spans="3:3" s="75" customFormat="1" x14ac:dyDescent="0.25"/>
    <row r="99" spans="3:3" s="75" customFormat="1" x14ac:dyDescent="0.25"/>
    <row r="100" spans="3:3" s="75" customFormat="1" x14ac:dyDescent="0.25"/>
    <row r="101" spans="3:3" s="75" customFormat="1" x14ac:dyDescent="0.25"/>
    <row r="102" spans="3:3" s="75" customFormat="1" x14ac:dyDescent="0.25"/>
    <row r="103" spans="3:3" s="75" customFormat="1" x14ac:dyDescent="0.25"/>
    <row r="104" spans="3:3" s="75" customFormat="1" x14ac:dyDescent="0.25"/>
    <row r="105" spans="3:3" s="75" customFormat="1" x14ac:dyDescent="0.25"/>
    <row r="106" spans="3:3" s="75" customFormat="1" x14ac:dyDescent="0.25"/>
    <row r="107" spans="3:3" s="75" customFormat="1" x14ac:dyDescent="0.25"/>
    <row r="108" spans="3:3" s="75" customFormat="1" x14ac:dyDescent="0.25"/>
    <row r="109" spans="3:3" s="75" customFormat="1" x14ac:dyDescent="0.25"/>
    <row r="110" spans="3:3" s="75" customFormat="1" x14ac:dyDescent="0.25"/>
    <row r="111" spans="3:3" s="75" customFormat="1" x14ac:dyDescent="0.25"/>
    <row r="112" spans="3:3" x14ac:dyDescent="0.25">
      <c r="C112" s="75"/>
    </row>
    <row r="113" spans="3:3" x14ac:dyDescent="0.25">
      <c r="C113" s="75"/>
    </row>
    <row r="114" spans="3:3" x14ac:dyDescent="0.25">
      <c r="C114" s="75"/>
    </row>
    <row r="115" spans="3:3" x14ac:dyDescent="0.25">
      <c r="C115" s="75"/>
    </row>
    <row r="116" spans="3:3" x14ac:dyDescent="0.25">
      <c r="C116" s="75"/>
    </row>
    <row r="117" spans="3:3" x14ac:dyDescent="0.25">
      <c r="C117" s="75"/>
    </row>
    <row r="118" spans="3:3" x14ac:dyDescent="0.25">
      <c r="C118" s="75"/>
    </row>
    <row r="119" spans="3:3" x14ac:dyDescent="0.25">
      <c r="C119" s="75"/>
    </row>
    <row r="120" spans="3:3" x14ac:dyDescent="0.25">
      <c r="C120" s="75"/>
    </row>
    <row r="121" spans="3:3" x14ac:dyDescent="0.25">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topLeftCell="B1" workbookViewId="0">
      <pane ySplit="22" topLeftCell="A23" activePane="bottomLeft" state="frozenSplit"/>
      <selection pane="bottomLeft" activeCell="C31" sqref="C31:F31"/>
    </sheetView>
  </sheetViews>
  <sheetFormatPr defaultRowHeight="13.2" x14ac:dyDescent="0.25"/>
  <cols>
    <col min="1" max="1" width="0" hidden="1" customWidth="1"/>
    <col min="4" max="4" width="39.6640625" customWidth="1"/>
    <col min="9" max="9" width="9.44140625" customWidth="1"/>
    <col min="13" max="13" width="9.33203125" customWidth="1"/>
    <col min="16" max="21" width="0" hidden="1" customWidth="1"/>
    <col min="26" max="27" width="0" hidden="1" customWidth="1"/>
    <col min="28" max="28" width="91.44140625" hidden="1" customWidth="1"/>
    <col min="29" max="48" width="0" hidden="1" customWidth="1"/>
  </cols>
  <sheetData>
    <row r="13" spans="3:14" ht="29.25" customHeight="1" x14ac:dyDescent="0.25">
      <c r="C13" s="164" t="s">
        <v>246</v>
      </c>
      <c r="D13" s="164"/>
      <c r="E13" s="164"/>
      <c r="F13" s="164"/>
      <c r="G13" s="164"/>
      <c r="H13" s="164"/>
      <c r="I13" s="164"/>
      <c r="J13" s="164"/>
      <c r="K13" s="164"/>
      <c r="L13" s="164"/>
      <c r="M13" s="164"/>
      <c r="N13" s="164"/>
    </row>
    <row r="15" spans="3:14" ht="3" customHeight="1" x14ac:dyDescent="0.25"/>
    <row r="16" spans="3:14" ht="3" customHeight="1" x14ac:dyDescent="0.25"/>
    <row r="17" spans="3:28" ht="3" customHeight="1" x14ac:dyDescent="0.25"/>
    <row r="18" spans="3:28" ht="3" customHeight="1" x14ac:dyDescent="0.25"/>
    <row r="19" spans="3:28" ht="3" customHeight="1" x14ac:dyDescent="0.25"/>
    <row r="21" spans="3:28" x14ac:dyDescent="0.25">
      <c r="E21" s="5"/>
    </row>
    <row r="22" spans="3:28" ht="15.6" x14ac:dyDescent="0.3">
      <c r="C22" s="140" t="s">
        <v>209</v>
      </c>
      <c r="D22" s="140"/>
      <c r="E22" s="140"/>
      <c r="F22" s="140"/>
      <c r="G22" s="140"/>
      <c r="H22" s="140" t="s">
        <v>210</v>
      </c>
      <c r="I22" s="140"/>
      <c r="J22" s="140" t="s">
        <v>247</v>
      </c>
      <c r="K22" s="140"/>
      <c r="L22" s="140"/>
      <c r="M22" s="140" t="s">
        <v>248</v>
      </c>
    </row>
    <row r="24" spans="3:28" x14ac:dyDescent="0.25">
      <c r="C24" s="166" t="s">
        <v>29</v>
      </c>
      <c r="D24" s="166"/>
      <c r="E24" s="166"/>
      <c r="F24" s="166"/>
      <c r="G24" s="10"/>
      <c r="H24" s="3" t="s">
        <v>255</v>
      </c>
      <c r="I24" s="14"/>
      <c r="J24" s="168">
        <v>5.8999999999999999E-3</v>
      </c>
      <c r="K24" s="168"/>
      <c r="L24" s="7"/>
      <c r="M24" s="168">
        <v>4.0000000000000001E-3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5">
      <c r="C25" s="166" t="s">
        <v>31</v>
      </c>
      <c r="D25" s="166"/>
      <c r="E25" s="166"/>
      <c r="F25" s="166"/>
      <c r="G25" s="10"/>
      <c r="H25" s="152" t="s">
        <v>255</v>
      </c>
      <c r="I25" s="6"/>
      <c r="J25" s="167">
        <v>5.4000000000000003E-3</v>
      </c>
      <c r="K25" s="167"/>
      <c r="L25" s="8"/>
      <c r="M25" s="167">
        <v>3.5999999999999999E-3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5">
      <c r="C26" s="166" t="s">
        <v>61</v>
      </c>
      <c r="D26" s="166"/>
      <c r="E26" s="166"/>
      <c r="F26" s="166"/>
      <c r="G26" s="10"/>
      <c r="H26" s="152" t="s">
        <v>113</v>
      </c>
      <c r="I26" s="6"/>
      <c r="J26" s="167">
        <v>2.4575</v>
      </c>
      <c r="K26" s="167"/>
      <c r="L26" s="8"/>
      <c r="M26" s="167">
        <v>1.2952999999999999</v>
      </c>
      <c r="N26" s="167"/>
      <c r="Q26">
        <f t="shared" si="0"/>
        <v>1</v>
      </c>
      <c r="R26" t="str">
        <f t="shared" si="1"/>
        <v>C26</v>
      </c>
      <c r="S26" t="str">
        <f t="shared" si="2"/>
        <v/>
      </c>
      <c r="AB26" t="s">
        <v>33</v>
      </c>
    </row>
    <row r="27" spans="3:28" x14ac:dyDescent="0.25">
      <c r="C27" s="166" t="s">
        <v>34</v>
      </c>
      <c r="D27" s="166"/>
      <c r="E27" s="166"/>
      <c r="F27" s="166"/>
      <c r="G27" s="10"/>
      <c r="H27" s="152" t="s">
        <v>113</v>
      </c>
      <c r="I27" s="6"/>
      <c r="J27" s="167">
        <v>2.6692</v>
      </c>
      <c r="K27" s="167"/>
      <c r="L27" s="8"/>
      <c r="M27" s="167">
        <v>1.3929</v>
      </c>
      <c r="N27" s="167"/>
      <c r="Q27">
        <f t="shared" si="0"/>
        <v>1</v>
      </c>
      <c r="R27" t="str">
        <f t="shared" si="1"/>
        <v>C27</v>
      </c>
      <c r="S27" t="str">
        <f t="shared" si="2"/>
        <v/>
      </c>
      <c r="AB27" t="s">
        <v>35</v>
      </c>
    </row>
    <row r="28" spans="3:28" x14ac:dyDescent="0.25">
      <c r="C28" s="166" t="s">
        <v>36</v>
      </c>
      <c r="D28" s="166"/>
      <c r="E28" s="166"/>
      <c r="F28" s="166"/>
      <c r="G28" s="10"/>
      <c r="H28" s="152" t="s">
        <v>113</v>
      </c>
      <c r="I28" s="6"/>
      <c r="J28" s="167">
        <v>2.9590999999999998</v>
      </c>
      <c r="K28" s="167"/>
      <c r="L28" s="8"/>
      <c r="M28" s="167">
        <v>1.58</v>
      </c>
      <c r="N28" s="167"/>
      <c r="Q28">
        <f t="shared" si="0"/>
        <v>1</v>
      </c>
      <c r="R28" t="str">
        <f t="shared" si="1"/>
        <v>C28</v>
      </c>
      <c r="S28" t="str">
        <f t="shared" si="2"/>
        <v/>
      </c>
      <c r="AB28" t="s">
        <v>37</v>
      </c>
    </row>
    <row r="29" spans="3:28" x14ac:dyDescent="0.25">
      <c r="C29" s="166" t="s">
        <v>38</v>
      </c>
      <c r="D29" s="166"/>
      <c r="E29" s="166"/>
      <c r="F29" s="166"/>
      <c r="G29" s="10"/>
      <c r="H29" s="152" t="s">
        <v>255</v>
      </c>
      <c r="I29" s="6"/>
      <c r="J29" s="167">
        <v>5.4000000000000003E-3</v>
      </c>
      <c r="K29" s="167"/>
      <c r="L29" s="8"/>
      <c r="M29" s="167">
        <v>3.5999999999999999E-3</v>
      </c>
      <c r="N29" s="167"/>
      <c r="Q29">
        <f t="shared" si="0"/>
        <v>1</v>
      </c>
      <c r="R29" t="str">
        <f t="shared" si="1"/>
        <v>C29</v>
      </c>
      <c r="S29" t="str">
        <f t="shared" si="2"/>
        <v/>
      </c>
      <c r="AB29" t="s">
        <v>39</v>
      </c>
    </row>
    <row r="30" spans="3:28" x14ac:dyDescent="0.25">
      <c r="C30" s="166" t="s">
        <v>40</v>
      </c>
      <c r="D30" s="166"/>
      <c r="E30" s="166"/>
      <c r="F30" s="166"/>
      <c r="G30" s="10"/>
      <c r="H30" s="152" t="s">
        <v>113</v>
      </c>
      <c r="I30" s="6"/>
      <c r="J30" s="167">
        <v>1.8978999999999999</v>
      </c>
      <c r="K30" s="167"/>
      <c r="L30" s="8"/>
      <c r="M30" s="167">
        <v>1.0003</v>
      </c>
      <c r="N30" s="167"/>
      <c r="Q30">
        <f t="shared" si="0"/>
        <v>1</v>
      </c>
      <c r="R30" t="str">
        <f t="shared" si="1"/>
        <v>C30</v>
      </c>
      <c r="S30" t="str">
        <f t="shared" si="2"/>
        <v/>
      </c>
      <c r="AB30" t="s">
        <v>41</v>
      </c>
    </row>
    <row r="31" spans="3:28" x14ac:dyDescent="0.25">
      <c r="C31" s="166" t="s">
        <v>42</v>
      </c>
      <c r="D31" s="166"/>
      <c r="E31" s="166"/>
      <c r="F31" s="166"/>
      <c r="G31" s="10"/>
      <c r="H31" s="152" t="s">
        <v>113</v>
      </c>
      <c r="I31" s="6"/>
      <c r="J31" s="167">
        <v>1.8978999999999999</v>
      </c>
      <c r="K31" s="167"/>
      <c r="L31" s="8"/>
      <c r="M31" s="167">
        <v>1.6533</v>
      </c>
      <c r="N31" s="167"/>
      <c r="Q31">
        <f t="shared" si="0"/>
        <v>1</v>
      </c>
      <c r="R31" t="str">
        <f t="shared" si="1"/>
        <v>C31</v>
      </c>
      <c r="S31" t="str">
        <f t="shared" si="2"/>
        <v/>
      </c>
      <c r="AB31" t="s">
        <v>43</v>
      </c>
    </row>
    <row r="32" spans="3:28" x14ac:dyDescent="0.25">
      <c r="C32" s="166" t="s">
        <v>100</v>
      </c>
      <c r="D32" s="166"/>
      <c r="E32" s="166"/>
      <c r="F32" s="166"/>
      <c r="G32" s="10"/>
      <c r="H32" s="152" t="s">
        <v>113</v>
      </c>
      <c r="I32" s="6"/>
      <c r="J32" s="167">
        <v>3.5709</v>
      </c>
      <c r="K32" s="167"/>
      <c r="L32" s="8"/>
      <c r="M32" s="167">
        <v>1.8369</v>
      </c>
      <c r="N32" s="167"/>
      <c r="Q32">
        <f t="shared" si="0"/>
        <v>1</v>
      </c>
      <c r="R32" t="str">
        <f t="shared" si="1"/>
        <v>C32</v>
      </c>
      <c r="S32" t="str">
        <f t="shared" si="2"/>
        <v/>
      </c>
      <c r="AB32" t="s">
        <v>44</v>
      </c>
    </row>
    <row r="33" spans="3:28" x14ac:dyDescent="0.25">
      <c r="C33" s="166" t="s">
        <v>30</v>
      </c>
      <c r="D33" s="166"/>
      <c r="E33" s="166"/>
      <c r="F33" s="166"/>
      <c r="G33" s="10"/>
      <c r="H33" s="153"/>
      <c r="I33" s="6"/>
      <c r="J33" s="167"/>
      <c r="K33" s="167"/>
      <c r="L33" s="8"/>
      <c r="M33" s="167"/>
      <c r="N33" s="167"/>
      <c r="Q33">
        <f t="shared" si="0"/>
        <v>0</v>
      </c>
      <c r="R33" t="str">
        <f t="shared" si="1"/>
        <v>C33</v>
      </c>
      <c r="S33" t="str">
        <f t="shared" si="2"/>
        <v/>
      </c>
      <c r="AB33" t="s">
        <v>45</v>
      </c>
    </row>
    <row r="34" spans="3:28" x14ac:dyDescent="0.25">
      <c r="C34" s="166" t="s">
        <v>30</v>
      </c>
      <c r="D34" s="166"/>
      <c r="E34" s="166"/>
      <c r="F34" s="166"/>
      <c r="G34" s="10"/>
      <c r="H34" s="153"/>
      <c r="I34" s="6"/>
      <c r="J34" s="167"/>
      <c r="K34" s="167"/>
      <c r="L34" s="8"/>
      <c r="M34" s="167"/>
      <c r="N34" s="167"/>
      <c r="Q34">
        <f t="shared" si="0"/>
        <v>0</v>
      </c>
      <c r="R34" t="str">
        <f t="shared" si="1"/>
        <v>C34</v>
      </c>
      <c r="S34" t="str">
        <f t="shared" si="2"/>
        <v/>
      </c>
      <c r="AB34" t="s">
        <v>46</v>
      </c>
    </row>
    <row r="35" spans="3:28" x14ac:dyDescent="0.25">
      <c r="C35" s="166" t="s">
        <v>30</v>
      </c>
      <c r="D35" s="166"/>
      <c r="E35" s="166"/>
      <c r="F35" s="166"/>
      <c r="G35" s="10"/>
      <c r="H35" s="153"/>
      <c r="I35" s="6"/>
      <c r="J35" s="167"/>
      <c r="K35" s="167"/>
      <c r="L35" s="8"/>
      <c r="M35" s="167"/>
      <c r="N35" s="167"/>
      <c r="Q35">
        <f t="shared" si="0"/>
        <v>0</v>
      </c>
      <c r="R35" t="str">
        <f t="shared" si="1"/>
        <v>C35</v>
      </c>
      <c r="S35" t="str">
        <f t="shared" si="2"/>
        <v/>
      </c>
      <c r="AB35" t="s">
        <v>47</v>
      </c>
    </row>
    <row r="36" spans="3:28" x14ac:dyDescent="0.25">
      <c r="C36" s="166" t="s">
        <v>30</v>
      </c>
      <c r="D36" s="166"/>
      <c r="E36" s="166"/>
      <c r="F36" s="166"/>
      <c r="G36" s="10"/>
      <c r="H36" s="153"/>
      <c r="I36" s="6"/>
      <c r="J36" s="167"/>
      <c r="K36" s="167"/>
      <c r="L36" s="8"/>
      <c r="M36" s="167"/>
      <c r="N36" s="167"/>
      <c r="Q36">
        <f t="shared" si="0"/>
        <v>0</v>
      </c>
      <c r="R36" t="str">
        <f t="shared" si="1"/>
        <v>C36</v>
      </c>
      <c r="S36" t="str">
        <f t="shared" si="2"/>
        <v/>
      </c>
      <c r="AB36" t="s">
        <v>48</v>
      </c>
    </row>
    <row r="37" spans="3:28" x14ac:dyDescent="0.25">
      <c r="C37" s="166" t="s">
        <v>30</v>
      </c>
      <c r="D37" s="166"/>
      <c r="E37" s="166"/>
      <c r="F37" s="166"/>
      <c r="G37" s="10"/>
      <c r="H37" s="153"/>
      <c r="I37" s="6"/>
      <c r="J37" s="167"/>
      <c r="K37" s="167"/>
      <c r="L37" s="8"/>
      <c r="M37" s="167"/>
      <c r="N37" s="167"/>
      <c r="Q37">
        <f t="shared" si="0"/>
        <v>0</v>
      </c>
      <c r="R37" t="str">
        <f t="shared" si="1"/>
        <v>C37</v>
      </c>
      <c r="S37" t="str">
        <f t="shared" si="2"/>
        <v/>
      </c>
      <c r="AB37" t="s">
        <v>49</v>
      </c>
    </row>
    <row r="38" spans="3:28" x14ac:dyDescent="0.25">
      <c r="C38" s="166" t="s">
        <v>30</v>
      </c>
      <c r="D38" s="166"/>
      <c r="E38" s="166"/>
      <c r="F38" s="166"/>
      <c r="G38" s="10"/>
      <c r="H38" s="153"/>
      <c r="I38" s="6"/>
      <c r="J38" s="167"/>
      <c r="K38" s="167"/>
      <c r="L38" s="8"/>
      <c r="M38" s="167"/>
      <c r="N38" s="167"/>
      <c r="Q38">
        <f t="shared" si="0"/>
        <v>0</v>
      </c>
      <c r="R38" t="str">
        <f t="shared" si="1"/>
        <v>C38</v>
      </c>
      <c r="S38" t="str">
        <f t="shared" si="2"/>
        <v/>
      </c>
      <c r="AB38" t="s">
        <v>50</v>
      </c>
    </row>
    <row r="39" spans="3:28" x14ac:dyDescent="0.25">
      <c r="C39" s="166" t="s">
        <v>30</v>
      </c>
      <c r="D39" s="166"/>
      <c r="E39" s="166"/>
      <c r="F39" s="166"/>
      <c r="G39" s="10"/>
      <c r="H39" s="153"/>
      <c r="I39" s="6"/>
      <c r="J39" s="167"/>
      <c r="K39" s="167"/>
      <c r="L39" s="8"/>
      <c r="M39" s="167"/>
      <c r="N39" s="167"/>
      <c r="Q39">
        <f t="shared" si="0"/>
        <v>0</v>
      </c>
      <c r="R39" t="str">
        <f t="shared" si="1"/>
        <v>C39</v>
      </c>
      <c r="S39" t="str">
        <f t="shared" si="2"/>
        <v/>
      </c>
    </row>
    <row r="40" spans="3:28" x14ac:dyDescent="0.25">
      <c r="C40" s="166" t="s">
        <v>30</v>
      </c>
      <c r="D40" s="166"/>
      <c r="E40" s="166"/>
      <c r="F40" s="166"/>
      <c r="G40" s="10"/>
      <c r="H40" s="153"/>
      <c r="I40" s="6"/>
      <c r="J40" s="167"/>
      <c r="K40" s="167"/>
      <c r="L40" s="8"/>
      <c r="M40" s="167"/>
      <c r="N40" s="167"/>
      <c r="Q40">
        <f t="shared" si="0"/>
        <v>0</v>
      </c>
      <c r="R40" t="str">
        <f t="shared" si="1"/>
        <v>C40</v>
      </c>
      <c r="S40" t="str">
        <f t="shared" si="2"/>
        <v/>
      </c>
      <c r="AB40" t="s">
        <v>31</v>
      </c>
    </row>
    <row r="41" spans="3:28" x14ac:dyDescent="0.25">
      <c r="C41" s="166" t="s">
        <v>30</v>
      </c>
      <c r="D41" s="166"/>
      <c r="E41" s="166"/>
      <c r="F41" s="166"/>
      <c r="G41" s="10"/>
      <c r="H41" s="153"/>
      <c r="I41" s="6"/>
      <c r="J41" s="167"/>
      <c r="K41" s="167"/>
      <c r="L41" s="8"/>
      <c r="M41" s="167"/>
      <c r="N41" s="167"/>
      <c r="Q41">
        <f t="shared" si="0"/>
        <v>0</v>
      </c>
      <c r="R41" t="str">
        <f t="shared" si="1"/>
        <v>C41</v>
      </c>
      <c r="S41" t="str">
        <f t="shared" si="2"/>
        <v/>
      </c>
      <c r="AB41" t="s">
        <v>51</v>
      </c>
    </row>
    <row r="42" spans="3:28" x14ac:dyDescent="0.25">
      <c r="C42" s="166" t="s">
        <v>30</v>
      </c>
      <c r="D42" s="166"/>
      <c r="E42" s="166"/>
      <c r="F42" s="166"/>
      <c r="G42" s="10"/>
      <c r="H42" s="153"/>
      <c r="I42" s="6"/>
      <c r="J42" s="167"/>
      <c r="K42" s="167"/>
      <c r="L42" s="8"/>
      <c r="M42" s="167"/>
      <c r="N42" s="167"/>
      <c r="Q42">
        <f t="shared" si="0"/>
        <v>0</v>
      </c>
      <c r="R42" t="str">
        <f t="shared" si="1"/>
        <v>C42</v>
      </c>
      <c r="S42" t="str">
        <f t="shared" si="2"/>
        <v/>
      </c>
      <c r="AB42" t="s">
        <v>52</v>
      </c>
    </row>
    <row r="43" spans="3:28" x14ac:dyDescent="0.25">
      <c r="C43" s="166" t="s">
        <v>30</v>
      </c>
      <c r="D43" s="166"/>
      <c r="E43" s="166"/>
      <c r="F43" s="166"/>
      <c r="G43" s="10"/>
      <c r="H43" s="153"/>
      <c r="I43" s="6"/>
      <c r="J43" s="167"/>
      <c r="K43" s="167"/>
      <c r="L43" s="8"/>
      <c r="M43" s="167"/>
      <c r="N43" s="167"/>
      <c r="Q43">
        <f t="shared" si="0"/>
        <v>0</v>
      </c>
      <c r="R43" t="str">
        <f t="shared" si="1"/>
        <v>C43</v>
      </c>
      <c r="S43" t="str">
        <f t="shared" si="2"/>
        <v/>
      </c>
      <c r="AB43" t="s">
        <v>53</v>
      </c>
    </row>
    <row r="44" spans="3:28" x14ac:dyDescent="0.25">
      <c r="C44" s="166" t="s">
        <v>30</v>
      </c>
      <c r="D44" s="166"/>
      <c r="E44" s="166"/>
      <c r="F44" s="166"/>
      <c r="G44" s="10"/>
      <c r="H44" s="153"/>
      <c r="I44" s="6"/>
      <c r="J44" s="167"/>
      <c r="K44" s="167"/>
      <c r="L44" s="8"/>
      <c r="M44" s="167"/>
      <c r="N44" s="167"/>
      <c r="Q44">
        <f t="shared" si="0"/>
        <v>0</v>
      </c>
      <c r="R44" t="str">
        <f t="shared" si="1"/>
        <v>C44</v>
      </c>
      <c r="S44" t="str">
        <f t="shared" si="2"/>
        <v/>
      </c>
      <c r="AB44" t="s">
        <v>54</v>
      </c>
    </row>
    <row r="45" spans="3:28" x14ac:dyDescent="0.25">
      <c r="C45" s="166" t="s">
        <v>30</v>
      </c>
      <c r="D45" s="166"/>
      <c r="E45" s="166"/>
      <c r="F45" s="166"/>
      <c r="G45" s="10"/>
      <c r="H45" s="153"/>
      <c r="I45" s="6"/>
      <c r="J45" s="167"/>
      <c r="K45" s="167"/>
      <c r="L45" s="8"/>
      <c r="M45" s="167"/>
      <c r="N45" s="167"/>
      <c r="Q45">
        <f t="shared" si="0"/>
        <v>0</v>
      </c>
      <c r="R45" t="str">
        <f t="shared" si="1"/>
        <v>C45</v>
      </c>
      <c r="S45" t="str">
        <f t="shared" si="2"/>
        <v/>
      </c>
      <c r="AB45" t="s">
        <v>55</v>
      </c>
    </row>
    <row r="46" spans="3:28" x14ac:dyDescent="0.25">
      <c r="C46" s="165"/>
      <c r="D46" s="165"/>
      <c r="E46" s="165"/>
      <c r="F46" s="165"/>
      <c r="G46" s="10"/>
      <c r="H46" s="10"/>
      <c r="S46">
        <f>COUNTIF(S24:S45, "x")</f>
        <v>0</v>
      </c>
      <c r="AB46" t="s">
        <v>56</v>
      </c>
    </row>
    <row r="47" spans="3:28" x14ac:dyDescent="0.25">
      <c r="C47" s="165"/>
      <c r="D47" s="165"/>
      <c r="E47" s="165"/>
      <c r="F47" s="165"/>
      <c r="G47" s="10"/>
      <c r="H47" s="10"/>
      <c r="AB47" t="s">
        <v>57</v>
      </c>
    </row>
    <row r="48" spans="3:28" x14ac:dyDescent="0.25">
      <c r="C48" s="165"/>
      <c r="D48" s="165"/>
      <c r="E48" s="165"/>
      <c r="F48" s="165"/>
      <c r="G48" s="10"/>
      <c r="H48" s="10"/>
      <c r="AB48" t="s">
        <v>58</v>
      </c>
    </row>
    <row r="50" spans="28:28" x14ac:dyDescent="0.25">
      <c r="AB50" t="s">
        <v>59</v>
      </c>
    </row>
    <row r="51" spans="28:28" x14ac:dyDescent="0.25">
      <c r="AB51" t="s">
        <v>60</v>
      </c>
    </row>
    <row r="52" spans="28:28" x14ac:dyDescent="0.25">
      <c r="AB52" t="s">
        <v>61</v>
      </c>
    </row>
    <row r="53" spans="28:28" x14ac:dyDescent="0.25">
      <c r="AB53" t="s">
        <v>62</v>
      </c>
    </row>
    <row r="54" spans="28:28" x14ac:dyDescent="0.25">
      <c r="AB54" t="s">
        <v>32</v>
      </c>
    </row>
    <row r="55" spans="28:28" x14ac:dyDescent="0.25">
      <c r="AB55" t="s">
        <v>63</v>
      </c>
    </row>
    <row r="56" spans="28:28" x14ac:dyDescent="0.25">
      <c r="AB56" t="s">
        <v>64</v>
      </c>
    </row>
    <row r="57" spans="28:28" x14ac:dyDescent="0.25">
      <c r="AB57" t="s">
        <v>65</v>
      </c>
    </row>
    <row r="58" spans="28:28" x14ac:dyDescent="0.25">
      <c r="AB58" t="s">
        <v>66</v>
      </c>
    </row>
    <row r="59" spans="28:28" x14ac:dyDescent="0.25">
      <c r="AB59" t="s">
        <v>67</v>
      </c>
    </row>
    <row r="60" spans="28:28" x14ac:dyDescent="0.25">
      <c r="AB60" t="s">
        <v>68</v>
      </c>
    </row>
    <row r="61" spans="28:28" x14ac:dyDescent="0.25">
      <c r="AB61" t="s">
        <v>69</v>
      </c>
    </row>
    <row r="62" spans="28:28" x14ac:dyDescent="0.25">
      <c r="AB62" t="s">
        <v>70</v>
      </c>
    </row>
    <row r="63" spans="28:28" x14ac:dyDescent="0.25">
      <c r="AB63" t="s">
        <v>71</v>
      </c>
    </row>
    <row r="64" spans="28:28" x14ac:dyDescent="0.25">
      <c r="AB64" t="s">
        <v>72</v>
      </c>
    </row>
    <row r="65" spans="28:28" x14ac:dyDescent="0.25">
      <c r="AB65" t="s">
        <v>73</v>
      </c>
    </row>
    <row r="66" spans="28:28" x14ac:dyDescent="0.25">
      <c r="AB66" t="s">
        <v>74</v>
      </c>
    </row>
    <row r="67" spans="28:28" x14ac:dyDescent="0.25">
      <c r="AB67" t="s">
        <v>75</v>
      </c>
    </row>
    <row r="68" spans="28:28" x14ac:dyDescent="0.25">
      <c r="AB68" t="s">
        <v>76</v>
      </c>
    </row>
    <row r="69" spans="28:28" x14ac:dyDescent="0.25">
      <c r="AB69" t="s">
        <v>77</v>
      </c>
    </row>
    <row r="70" spans="28:28" x14ac:dyDescent="0.25">
      <c r="AB70" t="s">
        <v>34</v>
      </c>
    </row>
    <row r="71" spans="28:28" x14ac:dyDescent="0.25">
      <c r="AB71" t="s">
        <v>78</v>
      </c>
    </row>
    <row r="72" spans="28:28" x14ac:dyDescent="0.25">
      <c r="AB72" t="s">
        <v>79</v>
      </c>
    </row>
    <row r="73" spans="28:28" x14ac:dyDescent="0.25">
      <c r="AB73" t="s">
        <v>80</v>
      </c>
    </row>
    <row r="74" spans="28:28" x14ac:dyDescent="0.25">
      <c r="AB74" t="s">
        <v>81</v>
      </c>
    </row>
    <row r="75" spans="28:28" x14ac:dyDescent="0.25">
      <c r="AB75" t="s">
        <v>82</v>
      </c>
    </row>
    <row r="76" spans="28:28" x14ac:dyDescent="0.25">
      <c r="AB76" t="s">
        <v>83</v>
      </c>
    </row>
    <row r="77" spans="28:28" x14ac:dyDescent="0.25">
      <c r="AB77" t="s">
        <v>84</v>
      </c>
    </row>
    <row r="78" spans="28:28" x14ac:dyDescent="0.25">
      <c r="AB78" t="s">
        <v>85</v>
      </c>
    </row>
    <row r="79" spans="28:28" x14ac:dyDescent="0.25">
      <c r="AB79" t="s">
        <v>86</v>
      </c>
    </row>
    <row r="80" spans="28:28" x14ac:dyDescent="0.25">
      <c r="AB80" t="s">
        <v>87</v>
      </c>
    </row>
    <row r="81" spans="28:28" x14ac:dyDescent="0.25">
      <c r="AB81" t="s">
        <v>88</v>
      </c>
    </row>
    <row r="82" spans="28:28" x14ac:dyDescent="0.25">
      <c r="AB82" t="s">
        <v>89</v>
      </c>
    </row>
    <row r="83" spans="28:28" x14ac:dyDescent="0.25">
      <c r="AB83" t="s">
        <v>90</v>
      </c>
    </row>
    <row r="84" spans="28:28" x14ac:dyDescent="0.25">
      <c r="AB84" t="s">
        <v>91</v>
      </c>
    </row>
    <row r="85" spans="28:28" x14ac:dyDescent="0.25">
      <c r="AB85" t="s">
        <v>92</v>
      </c>
    </row>
    <row r="86" spans="28:28" x14ac:dyDescent="0.25">
      <c r="AB86" t="s">
        <v>93</v>
      </c>
    </row>
    <row r="87" spans="28:28" x14ac:dyDescent="0.25">
      <c r="AB87" t="s">
        <v>94</v>
      </c>
    </row>
    <row r="88" spans="28:28" x14ac:dyDescent="0.25">
      <c r="AB88" t="s">
        <v>95</v>
      </c>
    </row>
    <row r="90" spans="28:28" x14ac:dyDescent="0.25">
      <c r="AB90" t="s">
        <v>36</v>
      </c>
    </row>
    <row r="91" spans="28:28" x14ac:dyDescent="0.25">
      <c r="AB91" t="s">
        <v>96</v>
      </c>
    </row>
    <row r="92" spans="28:28" x14ac:dyDescent="0.25">
      <c r="AB92" t="s">
        <v>97</v>
      </c>
    </row>
    <row r="93" spans="28:28" x14ac:dyDescent="0.25">
      <c r="AB93" t="s">
        <v>98</v>
      </c>
    </row>
    <row r="94" spans="28:28" x14ac:dyDescent="0.25">
      <c r="AB94" t="s">
        <v>99</v>
      </c>
    </row>
    <row r="96" spans="28:28" x14ac:dyDescent="0.25">
      <c r="AB96" t="s">
        <v>38</v>
      </c>
    </row>
    <row r="98" spans="28:28" x14ac:dyDescent="0.25">
      <c r="AB98" t="s">
        <v>40</v>
      </c>
    </row>
    <row r="100" spans="28:28" x14ac:dyDescent="0.25">
      <c r="AB100" t="s">
        <v>42</v>
      </c>
    </row>
    <row r="102" spans="28:28" x14ac:dyDescent="0.25">
      <c r="AB102" t="s">
        <v>100</v>
      </c>
    </row>
    <row r="103" spans="28:28" x14ac:dyDescent="0.25">
      <c r="AB103" t="s">
        <v>101</v>
      </c>
    </row>
    <row r="105" spans="28:28" x14ac:dyDescent="0.25">
      <c r="AB105" t="s">
        <v>102</v>
      </c>
    </row>
    <row r="106" spans="28:28" x14ac:dyDescent="0.25">
      <c r="AB106" t="s">
        <v>103</v>
      </c>
    </row>
    <row r="107" spans="28:28" x14ac:dyDescent="0.25">
      <c r="AB107" t="s">
        <v>104</v>
      </c>
    </row>
    <row r="108" spans="28:28" x14ac:dyDescent="0.25">
      <c r="AB108" t="s">
        <v>105</v>
      </c>
    </row>
    <row r="109" spans="28:28" x14ac:dyDescent="0.25">
      <c r="AB109" t="s">
        <v>106</v>
      </c>
    </row>
    <row r="110" spans="28:28" x14ac:dyDescent="0.25">
      <c r="AB110" t="s">
        <v>107</v>
      </c>
    </row>
    <row r="111" spans="28:28" x14ac:dyDescent="0.25">
      <c r="AB111" t="s">
        <v>108</v>
      </c>
    </row>
    <row r="112" spans="28:28" x14ac:dyDescent="0.25">
      <c r="AB112" t="s">
        <v>109</v>
      </c>
    </row>
    <row r="113" spans="28:28" x14ac:dyDescent="0.25">
      <c r="AB113" t="s">
        <v>110</v>
      </c>
    </row>
    <row r="114" spans="28:28" x14ac:dyDescent="0.25">
      <c r="AB114" t="s">
        <v>111</v>
      </c>
    </row>
    <row r="115" spans="28:28" x14ac:dyDescent="0.25">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workbookViewId="0">
      <pane ySplit="25" topLeftCell="A35" activePane="bottomLeft" state="frozenSplit"/>
      <selection pane="bottomLeft" activeCell="H48" sqref="H48:I48"/>
    </sheetView>
  </sheetViews>
  <sheetFormatPr defaultColWidth="9.109375" defaultRowHeight="13.2" x14ac:dyDescent="0.25"/>
  <cols>
    <col min="1" max="1" width="13.6640625" style="19" customWidth="1"/>
    <col min="2" max="2" width="32.33203125" style="19" customWidth="1"/>
    <col min="3" max="3" width="16" style="19" customWidth="1"/>
    <col min="4" max="4" width="9.109375" style="19"/>
    <col min="5" max="5" width="3.44140625" style="19" customWidth="1"/>
    <col min="6" max="7" width="16.109375" style="19" customWidth="1"/>
    <col min="8" max="8" width="10.5546875" style="19" customWidth="1"/>
    <col min="9" max="9" width="5.44140625" style="19" customWidth="1"/>
    <col min="10" max="10" width="4.88671875" style="19" customWidth="1"/>
    <col min="11" max="11" width="4.33203125" style="19" customWidth="1"/>
    <col min="12" max="13" width="16.109375" style="19" customWidth="1"/>
    <col min="14" max="16384" width="9.109375" style="19"/>
  </cols>
  <sheetData>
    <row r="13" spans="2:12" ht="42.75" customHeight="1" x14ac:dyDescent="0.25">
      <c r="B13" s="170" t="s">
        <v>245</v>
      </c>
      <c r="C13" s="170"/>
      <c r="D13" s="170"/>
      <c r="E13" s="170"/>
      <c r="F13" s="170"/>
      <c r="G13" s="170"/>
      <c r="H13" s="170"/>
      <c r="I13" s="170"/>
      <c r="J13" s="170"/>
      <c r="K13" s="170"/>
      <c r="L13" s="170"/>
    </row>
    <row r="15" spans="2:12" ht="1.5" customHeight="1" x14ac:dyDescent="0.25"/>
    <row r="16" spans="2:12" ht="1.5" customHeight="1" x14ac:dyDescent="0.25"/>
    <row r="17" spans="2:14" ht="1.5" customHeight="1" x14ac:dyDescent="0.25"/>
    <row r="18" spans="2:14" ht="1.5" customHeight="1" x14ac:dyDescent="0.25"/>
    <row r="19" spans="2:14" ht="1.5" customHeight="1" x14ac:dyDescent="0.25"/>
    <row r="20" spans="2:14" ht="1.5" customHeight="1" x14ac:dyDescent="0.25"/>
    <row r="21" spans="2:14" ht="1.5" customHeight="1" x14ac:dyDescent="0.25">
      <c r="B21" s="148"/>
      <c r="C21" s="147"/>
      <c r="D21" s="149"/>
      <c r="E21" s="147"/>
      <c r="F21" s="147"/>
      <c r="G21" s="147"/>
      <c r="H21" s="147"/>
      <c r="I21" s="147"/>
      <c r="J21" s="169"/>
      <c r="K21" s="169"/>
      <c r="L21" s="147"/>
      <c r="M21" s="147"/>
    </row>
    <row r="22" spans="2:14" s="93" customFormat="1" ht="1.5" customHeight="1" x14ac:dyDescent="0.3">
      <c r="B22" s="92"/>
      <c r="D22" s="94"/>
      <c r="F22" s="92"/>
      <c r="J22" s="94"/>
    </row>
    <row r="23" spans="2:14" ht="15.6" x14ac:dyDescent="0.3">
      <c r="B23" s="91"/>
      <c r="D23" s="94"/>
      <c r="E23" s="93"/>
      <c r="F23" s="92"/>
      <c r="G23" s="93"/>
      <c r="H23" s="93"/>
      <c r="I23" s="93"/>
      <c r="J23" s="94"/>
    </row>
    <row r="24" spans="2:14" ht="39.6" x14ac:dyDescent="0.25">
      <c r="B24" s="148" t="s">
        <v>209</v>
      </c>
      <c r="C24" s="147"/>
      <c r="D24" s="149" t="s">
        <v>210</v>
      </c>
      <c r="E24" s="147"/>
      <c r="F24" s="147" t="s">
        <v>240</v>
      </c>
      <c r="G24" s="147" t="s">
        <v>241</v>
      </c>
      <c r="H24" s="147" t="s">
        <v>242</v>
      </c>
      <c r="I24" s="147"/>
      <c r="J24" s="169" t="s">
        <v>243</v>
      </c>
      <c r="K24" s="169"/>
      <c r="L24" s="147" t="s">
        <v>215</v>
      </c>
      <c r="M24" s="147" t="s">
        <v>244</v>
      </c>
    </row>
    <row r="26" spans="2:14" hidden="1" x14ac:dyDescent="0.25"/>
    <row r="27" spans="2:14" ht="25.5" customHeight="1" thickBot="1" x14ac:dyDescent="0.3">
      <c r="B27" s="95" t="str">
        <f>IF('3. Rate Classes'!Q24=1,'3. Rate Classes'!C24, 0)</f>
        <v>Residential</v>
      </c>
      <c r="C27" s="96"/>
      <c r="D27" s="97" t="str">
        <f>IF(OR(VLOOKUP($B27, '3. Rate Classes'!$C$24:$H$45,6,0)=0, ISERROR(VLOOKUP($B27, '3. Rate Classes'!$C$24:$H$45,6,0))), "", VLOOKUP($B27, '3. Rate Classes'!$C$24:$H$45,6,0))</f>
        <v>kWh</v>
      </c>
      <c r="F27" s="150">
        <v>141607881</v>
      </c>
      <c r="G27" s="150"/>
      <c r="H27" s="179">
        <v>1.0427</v>
      </c>
      <c r="I27" s="179"/>
      <c r="J27" s="171" t="str">
        <f t="shared" ref="J27:J32" si="0">IF(ISERROR(F27/(G27*30.4*24)), "", IF(D27="kW", F27/(G27*30.4*24), ""))</f>
        <v/>
      </c>
      <c r="K27" s="171"/>
      <c r="L27" s="98">
        <f>IF(OR(H27=0, OR(ISBLANK(H27), TRIM(H27)="")), F27, F27*H27)</f>
        <v>147654537.5187</v>
      </c>
      <c r="M27" s="98">
        <f>IF(OR(H27=0, OR(ISBLANK(H27), TRIM(H27)="")), G27, G27)</f>
        <v>0</v>
      </c>
      <c r="N27" s="13"/>
    </row>
    <row r="28" spans="2:14" ht="25.5" customHeight="1" thickBot="1" x14ac:dyDescent="0.3">
      <c r="B28" s="95" t="str">
        <f>IF('3. Rate Classes'!Q25=1,'3. Rate Classes'!C25, 0)</f>
        <v>General Service Less Than 50 kW</v>
      </c>
      <c r="C28" s="96"/>
      <c r="D28" s="97" t="str">
        <f>IF(OR(VLOOKUP($B28, '3. Rate Classes'!$C$24:$H$45,6,0)=0, ISERROR(VLOOKUP($B28, '3. Rate Classes'!$C$24:$H$45,6,0))), "", VLOOKUP($B28, '3. Rate Classes'!$C$24:$H$45,6,0))</f>
        <v>kWh</v>
      </c>
      <c r="F28" s="151">
        <v>48940695</v>
      </c>
      <c r="G28" s="151"/>
      <c r="H28" s="179">
        <v>1.0427</v>
      </c>
      <c r="I28" s="179"/>
      <c r="J28" s="171" t="str">
        <f t="shared" si="0"/>
        <v/>
      </c>
      <c r="K28" s="171"/>
      <c r="L28" s="98">
        <f t="shared" ref="L28:L48" si="1">IF(OR(H28=0, OR(ISBLANK(H28), TRIM(H28)="")), F28, F28*H28)</f>
        <v>51030462.6765</v>
      </c>
      <c r="M28" s="98">
        <f t="shared" ref="M28:M48" si="2">IF(OR(H28=0, OR(ISBLANK(H28), TRIM(H28)="")), G28, G28)</f>
        <v>0</v>
      </c>
    </row>
    <row r="29" spans="2:14" ht="25.5" customHeight="1" thickBot="1" x14ac:dyDescent="0.3">
      <c r="B29" s="95" t="str">
        <f>IF('3. Rate Classes'!Q26=1,'3. Rate Classes'!C26, 0)</f>
        <v>General Service 50 to 999 kW</v>
      </c>
      <c r="C29" s="96"/>
      <c r="D29" s="97" t="str">
        <f>IF(OR(VLOOKUP($B29, '3. Rate Classes'!$C$24:$H$45,6,0)=0, ISERROR(VLOOKUP($B29, '3. Rate Classes'!$C$24:$H$45,6,0))), "", VLOOKUP($B29, '3. Rate Classes'!$C$24:$H$45,6,0))</f>
        <v>kW</v>
      </c>
      <c r="F29" s="151">
        <v>76414560</v>
      </c>
      <c r="G29" s="150">
        <v>223584</v>
      </c>
      <c r="H29" s="172"/>
      <c r="I29" s="172"/>
      <c r="J29" s="171">
        <f t="shared" si="0"/>
        <v>0.46843633006410407</v>
      </c>
      <c r="K29" s="171"/>
      <c r="L29" s="98">
        <f t="shared" si="1"/>
        <v>76414560</v>
      </c>
      <c r="M29" s="98">
        <f t="shared" si="2"/>
        <v>223584</v>
      </c>
    </row>
    <row r="30" spans="2:14" ht="25.5" customHeight="1" thickBot="1" x14ac:dyDescent="0.3">
      <c r="B30" s="95" t="str">
        <f>IF('3. Rate Classes'!Q27=1,'3. Rate Classes'!C27, 0)</f>
        <v>General Service 1,000 to 4,999 kW</v>
      </c>
      <c r="C30" s="96"/>
      <c r="D30" s="97" t="str">
        <f>IF(OR(VLOOKUP($B30, '3. Rate Classes'!$C$24:$H$45,6,0)=0, ISERROR(VLOOKUP($B30, '3. Rate Classes'!$C$24:$H$45,6,0))), "", VLOOKUP($B30, '3. Rate Classes'!$C$24:$H$45,6,0))</f>
        <v>kW</v>
      </c>
      <c r="F30" s="151">
        <v>99303972</v>
      </c>
      <c r="G30" s="151">
        <f>138108+30440</f>
        <v>168548</v>
      </c>
      <c r="H30" s="172"/>
      <c r="I30" s="172"/>
      <c r="J30" s="171">
        <f t="shared" si="0"/>
        <v>0.80752911789613568</v>
      </c>
      <c r="K30" s="171"/>
      <c r="L30" s="98">
        <f t="shared" si="1"/>
        <v>99303972</v>
      </c>
      <c r="M30" s="98">
        <f t="shared" si="2"/>
        <v>168548</v>
      </c>
    </row>
    <row r="31" spans="2:14" ht="25.5" customHeight="1" thickBot="1" x14ac:dyDescent="0.3">
      <c r="B31" s="95" t="str">
        <f>IF('3. Rate Classes'!Q28=1,'3. Rate Classes'!C28, 0)</f>
        <v>Large Use</v>
      </c>
      <c r="C31" s="96"/>
      <c r="D31" s="97" t="str">
        <f>IF(OR(VLOOKUP($B31, '3. Rate Classes'!$C$24:$H$45,6,0)=0, ISERROR(VLOOKUP($B31, '3. Rate Classes'!$C$24:$H$45,6,0))), "", VLOOKUP($B31, '3. Rate Classes'!$C$24:$H$45,6,0))</f>
        <v>kW</v>
      </c>
      <c r="F31" s="151">
        <v>95335410</v>
      </c>
      <c r="G31" s="150">
        <v>159576</v>
      </c>
      <c r="H31" s="172"/>
      <c r="I31" s="172"/>
      <c r="J31" s="171">
        <f t="shared" si="0"/>
        <v>0.81884525860306134</v>
      </c>
      <c r="K31" s="171"/>
      <c r="L31" s="98">
        <f t="shared" si="1"/>
        <v>95335410</v>
      </c>
      <c r="M31" s="98">
        <f t="shared" si="2"/>
        <v>159576</v>
      </c>
    </row>
    <row r="32" spans="2:14" ht="25.5" customHeight="1" thickBot="1" x14ac:dyDescent="0.3">
      <c r="B32" s="95" t="str">
        <f>IF('3. Rate Classes'!Q29=1,'3. Rate Classes'!C29, 0)</f>
        <v>Unmetered Scattered Load</v>
      </c>
      <c r="C32" s="96"/>
      <c r="D32" s="97" t="str">
        <f>IF(OR(VLOOKUP($B32, '3. Rate Classes'!$C$24:$H$45,6,0)=0, ISERROR(VLOOKUP($B32, '3. Rate Classes'!$C$24:$H$45,6,0))), "", VLOOKUP($B32, '3. Rate Classes'!$C$24:$H$45,6,0))</f>
        <v>kWh</v>
      </c>
      <c r="F32" s="151">
        <v>608161</v>
      </c>
      <c r="G32" s="151"/>
      <c r="H32" s="179">
        <v>1.0427</v>
      </c>
      <c r="I32" s="179"/>
      <c r="J32" s="171" t="str">
        <f t="shared" si="0"/>
        <v/>
      </c>
      <c r="K32" s="171"/>
      <c r="L32" s="98">
        <f t="shared" si="1"/>
        <v>634129.47470000002</v>
      </c>
      <c r="M32" s="98">
        <f t="shared" si="2"/>
        <v>0</v>
      </c>
    </row>
    <row r="33" spans="2:13" ht="25.5" customHeight="1" thickBot="1" x14ac:dyDescent="0.3">
      <c r="B33" s="95" t="str">
        <f>IF('3. Rate Classes'!Q30=1,'3. Rate Classes'!C30, 0)</f>
        <v>Sentinel Lighting</v>
      </c>
      <c r="C33" s="96"/>
      <c r="D33" s="97" t="str">
        <f>IF(OR(VLOOKUP($B33, '3. Rate Classes'!$C$24:$H$45,6,0)=0, ISERROR(VLOOKUP($B33, '3. Rate Classes'!$C$24:$H$45,6,0))), "", VLOOKUP($B33, '3. Rate Classes'!$C$24:$H$45,6,0))</f>
        <v>kW</v>
      </c>
      <c r="F33" s="151">
        <v>54410</v>
      </c>
      <c r="G33" s="150">
        <v>18</v>
      </c>
      <c r="H33" s="172"/>
      <c r="I33" s="172"/>
      <c r="J33" s="171">
        <f t="shared" ref="J33:J48" si="3">IF(ISERROR(F33/(G33*30.4*24)), "", IF(D33="kW", F33/(G33*30.4*24), ""))</f>
        <v>4.1430616471734893</v>
      </c>
      <c r="K33" s="171"/>
      <c r="L33" s="98">
        <f t="shared" si="1"/>
        <v>54410</v>
      </c>
      <c r="M33" s="98">
        <f t="shared" si="2"/>
        <v>18</v>
      </c>
    </row>
    <row r="34" spans="2:13" ht="25.5" customHeight="1" thickBot="1" x14ac:dyDescent="0.3">
      <c r="B34" s="95" t="str">
        <f>IF('3. Rate Classes'!Q31=1,'3. Rate Classes'!C31, 0)</f>
        <v>Street Lighting</v>
      </c>
      <c r="C34" s="96"/>
      <c r="D34" s="97" t="str">
        <f>IF(OR(VLOOKUP($B34, '3. Rate Classes'!$C$24:$H$45,6,0)=0, ISERROR(VLOOKUP($B34, '3. Rate Classes'!$C$24:$H$45,6,0))), "", VLOOKUP($B34, '3. Rate Classes'!$C$24:$H$45,6,0))</f>
        <v>kW</v>
      </c>
      <c r="F34" s="151">
        <v>4189868</v>
      </c>
      <c r="G34" s="151">
        <v>920</v>
      </c>
      <c r="H34" s="172"/>
      <c r="I34" s="172"/>
      <c r="J34" s="171">
        <f t="shared" si="3"/>
        <v>6.2420563977879482</v>
      </c>
      <c r="K34" s="171"/>
      <c r="L34" s="98">
        <f t="shared" si="1"/>
        <v>4189868</v>
      </c>
      <c r="M34" s="98">
        <f t="shared" si="2"/>
        <v>920</v>
      </c>
    </row>
    <row r="35" spans="2:13" ht="25.5" customHeight="1" thickBot="1" x14ac:dyDescent="0.3">
      <c r="B35" s="95" t="str">
        <f>IF('3. Rate Classes'!Q32=1,'3. Rate Classes'!C32, 0)</f>
        <v>Embedded Distributor</v>
      </c>
      <c r="C35" s="96"/>
      <c r="D35" s="97" t="str">
        <f>IF(OR(VLOOKUP($B35, '3. Rate Classes'!$C$24:$H$45,6,0)=0, ISERROR(VLOOKUP($B35, '3. Rate Classes'!$C$24:$H$45,6,0))), "", VLOOKUP($B35, '3. Rate Classes'!$C$24:$H$45,6,0))</f>
        <v>kW</v>
      </c>
      <c r="F35" s="151">
        <v>17400000</v>
      </c>
      <c r="G35" s="150">
        <v>23837</v>
      </c>
      <c r="H35" s="172"/>
      <c r="I35" s="172"/>
      <c r="J35" s="171">
        <f t="shared" si="3"/>
        <v>1.0004901711845584</v>
      </c>
      <c r="K35" s="171"/>
      <c r="L35" s="98">
        <f t="shared" si="1"/>
        <v>17400000</v>
      </c>
      <c r="M35" s="98">
        <f t="shared" si="2"/>
        <v>23837</v>
      </c>
    </row>
    <row r="36" spans="2:13" ht="25.5" hidden="1" customHeight="1" thickBot="1" x14ac:dyDescent="0.3">
      <c r="B36" s="95">
        <f>IF('3. Rate Classes'!Q33=1,'3. Rate Classes'!C33, 0)</f>
        <v>0</v>
      </c>
      <c r="C36" s="96"/>
      <c r="D36" s="97" t="e">
        <f>IF(OR(VLOOKUP($B36, '3. Rate Classes'!$C$24:$H$45,6,0)=0, ISERROR(VLOOKUP($B36, '3. Rate Classes'!$C$24:$H$45,6,0))), "", VLOOKUP($B36, '3. Rate Classes'!$C$24:$H$45,6,0))</f>
        <v>#N/A</v>
      </c>
      <c r="F36" s="151"/>
      <c r="G36" s="151"/>
      <c r="H36" s="172"/>
      <c r="I36" s="172"/>
      <c r="J36" s="171" t="str">
        <f t="shared" si="3"/>
        <v/>
      </c>
      <c r="K36" s="171"/>
      <c r="L36" s="98">
        <f t="shared" si="1"/>
        <v>0</v>
      </c>
      <c r="M36" s="98">
        <f t="shared" si="2"/>
        <v>0</v>
      </c>
    </row>
    <row r="37" spans="2:13" ht="25.5" hidden="1" customHeight="1" thickBot="1" x14ac:dyDescent="0.3">
      <c r="B37" s="95">
        <f>IF('3. Rate Classes'!Q34=1,'3. Rate Classes'!C34, 0)</f>
        <v>0</v>
      </c>
      <c r="C37" s="96"/>
      <c r="D37" s="97" t="e">
        <f>IF(OR(VLOOKUP($B37, '3. Rate Classes'!$C$24:$H$45,6,0)=0, ISERROR(VLOOKUP($B37, '3. Rate Classes'!$C$24:$H$45,6,0))), "", VLOOKUP($B37, '3. Rate Classes'!$C$24:$H$45,6,0))</f>
        <v>#N/A</v>
      </c>
      <c r="F37" s="151"/>
      <c r="G37" s="150"/>
      <c r="H37" s="172"/>
      <c r="I37" s="172"/>
      <c r="J37" s="171" t="str">
        <f t="shared" si="3"/>
        <v/>
      </c>
      <c r="K37" s="171"/>
      <c r="L37" s="98">
        <f t="shared" si="1"/>
        <v>0</v>
      </c>
      <c r="M37" s="98">
        <f t="shared" si="2"/>
        <v>0</v>
      </c>
    </row>
    <row r="38" spans="2:13" ht="25.5" hidden="1" customHeight="1" thickBot="1" x14ac:dyDescent="0.3">
      <c r="B38" s="95">
        <f>IF('3. Rate Classes'!Q35=1,'3. Rate Classes'!C35, 0)</f>
        <v>0</v>
      </c>
      <c r="C38" s="96"/>
      <c r="D38" s="97" t="e">
        <f>IF(OR(VLOOKUP($B38, '3. Rate Classes'!$C$24:$H$45,6,0)=0, ISERROR(VLOOKUP($B38, '3. Rate Classes'!$C$24:$H$45,6,0))), "", VLOOKUP($B38, '3. Rate Classes'!$C$24:$H$45,6,0))</f>
        <v>#N/A</v>
      </c>
      <c r="F38" s="151"/>
      <c r="G38" s="151"/>
      <c r="H38" s="172"/>
      <c r="I38" s="172"/>
      <c r="J38" s="171" t="str">
        <f t="shared" si="3"/>
        <v/>
      </c>
      <c r="K38" s="171"/>
      <c r="L38" s="98">
        <f t="shared" si="1"/>
        <v>0</v>
      </c>
      <c r="M38" s="98">
        <f t="shared" si="2"/>
        <v>0</v>
      </c>
    </row>
    <row r="39" spans="2:13" ht="25.5" hidden="1" customHeight="1" thickBot="1" x14ac:dyDescent="0.3">
      <c r="B39" s="95">
        <f>IF('3. Rate Classes'!Q36=1,'3. Rate Classes'!C36, 0)</f>
        <v>0</v>
      </c>
      <c r="C39" s="96"/>
      <c r="D39" s="97" t="e">
        <f>IF(OR(VLOOKUP($B39, '3. Rate Classes'!$C$24:$H$45,6,0)=0, ISERROR(VLOOKUP($B39, '3. Rate Classes'!$C$24:$H$45,6,0))), "", VLOOKUP($B39, '3. Rate Classes'!$C$24:$H$45,6,0))</f>
        <v>#N/A</v>
      </c>
      <c r="F39" s="151"/>
      <c r="G39" s="150"/>
      <c r="H39" s="172"/>
      <c r="I39" s="172"/>
      <c r="J39" s="171" t="str">
        <f t="shared" si="3"/>
        <v/>
      </c>
      <c r="K39" s="171"/>
      <c r="L39" s="98">
        <f t="shared" si="1"/>
        <v>0</v>
      </c>
      <c r="M39" s="98">
        <f t="shared" si="2"/>
        <v>0</v>
      </c>
    </row>
    <row r="40" spans="2:13" ht="25.5" hidden="1" customHeight="1" thickBot="1" x14ac:dyDescent="0.3">
      <c r="B40" s="95">
        <f>IF('3. Rate Classes'!Q37=1,'3. Rate Classes'!C37, 0)</f>
        <v>0</v>
      </c>
      <c r="C40" s="96"/>
      <c r="D40" s="97" t="e">
        <f>IF(OR(VLOOKUP($B40, '3. Rate Classes'!$C$24:$H$45,6,0)=0, ISERROR(VLOOKUP($B40, '3. Rate Classes'!$C$24:$H$45,6,0))), "", VLOOKUP($B40, '3. Rate Classes'!$C$24:$H$45,6,0))</f>
        <v>#N/A</v>
      </c>
      <c r="F40" s="151"/>
      <c r="G40" s="151"/>
      <c r="H40" s="172"/>
      <c r="I40" s="172"/>
      <c r="J40" s="171" t="str">
        <f t="shared" si="3"/>
        <v/>
      </c>
      <c r="K40" s="171"/>
      <c r="L40" s="98">
        <f t="shared" si="1"/>
        <v>0</v>
      </c>
      <c r="M40" s="98">
        <f t="shared" si="2"/>
        <v>0</v>
      </c>
    </row>
    <row r="41" spans="2:13" ht="25.5" hidden="1" customHeight="1" thickBot="1" x14ac:dyDescent="0.3">
      <c r="B41" s="95">
        <f>IF('3. Rate Classes'!Q38=1,'3. Rate Classes'!C38, 0)</f>
        <v>0</v>
      </c>
      <c r="C41" s="96"/>
      <c r="D41" s="97" t="e">
        <f>IF(OR(VLOOKUP($B41, '3. Rate Classes'!$C$24:$H$45,6,0)=0, ISERROR(VLOOKUP($B41, '3. Rate Classes'!$C$24:$H$45,6,0))), "", VLOOKUP($B41, '3. Rate Classes'!$C$24:$H$45,6,0))</f>
        <v>#N/A</v>
      </c>
      <c r="F41" s="151"/>
      <c r="G41" s="150"/>
      <c r="H41" s="172"/>
      <c r="I41" s="172"/>
      <c r="J41" s="171" t="str">
        <f t="shared" si="3"/>
        <v/>
      </c>
      <c r="K41" s="171"/>
      <c r="L41" s="98">
        <f t="shared" si="1"/>
        <v>0</v>
      </c>
      <c r="M41" s="98">
        <f t="shared" si="2"/>
        <v>0</v>
      </c>
    </row>
    <row r="42" spans="2:13" ht="25.5" hidden="1" customHeight="1" thickBot="1" x14ac:dyDescent="0.3">
      <c r="B42" s="95">
        <f>IF('3. Rate Classes'!Q39=1,'3. Rate Classes'!C39, 0)</f>
        <v>0</v>
      </c>
      <c r="C42" s="96"/>
      <c r="D42" s="97" t="e">
        <f>IF(OR(VLOOKUP($B42, '3. Rate Classes'!$C$24:$H$45,6,0)=0, ISERROR(VLOOKUP($B42, '3. Rate Classes'!$C$24:$H$45,6,0))), "", VLOOKUP($B42, '3. Rate Classes'!$C$24:$H$45,6,0))</f>
        <v>#N/A</v>
      </c>
      <c r="F42" s="151"/>
      <c r="G42" s="151"/>
      <c r="H42" s="172"/>
      <c r="I42" s="172"/>
      <c r="J42" s="171" t="str">
        <f t="shared" si="3"/>
        <v/>
      </c>
      <c r="K42" s="171"/>
      <c r="L42" s="98">
        <f t="shared" si="1"/>
        <v>0</v>
      </c>
      <c r="M42" s="98">
        <f t="shared" si="2"/>
        <v>0</v>
      </c>
    </row>
    <row r="43" spans="2:13" ht="25.5" hidden="1" customHeight="1" thickBot="1" x14ac:dyDescent="0.3">
      <c r="B43" s="95">
        <f>IF('3. Rate Classes'!Q40=1,'3. Rate Classes'!C40, 0)</f>
        <v>0</v>
      </c>
      <c r="C43" s="96"/>
      <c r="D43" s="97" t="e">
        <f>IF(OR(VLOOKUP($B43, '3. Rate Classes'!$C$24:$H$45,6,0)=0, ISERROR(VLOOKUP($B43, '3. Rate Classes'!$C$24:$H$45,6,0))), "", VLOOKUP($B43, '3. Rate Classes'!$C$24:$H$45,6,0))</f>
        <v>#N/A</v>
      </c>
      <c r="F43" s="151"/>
      <c r="G43" s="150"/>
      <c r="H43" s="172"/>
      <c r="I43" s="172"/>
      <c r="J43" s="171" t="str">
        <f t="shared" si="3"/>
        <v/>
      </c>
      <c r="K43" s="171"/>
      <c r="L43" s="98">
        <f t="shared" si="1"/>
        <v>0</v>
      </c>
      <c r="M43" s="98">
        <f t="shared" si="2"/>
        <v>0</v>
      </c>
    </row>
    <row r="44" spans="2:13" ht="25.5" hidden="1" customHeight="1" thickBot="1" x14ac:dyDescent="0.3">
      <c r="B44" s="95">
        <f>IF('3. Rate Classes'!Q41=1,'3. Rate Classes'!C41, 0)</f>
        <v>0</v>
      </c>
      <c r="C44" s="96"/>
      <c r="D44" s="97" t="e">
        <f>IF(OR(VLOOKUP($B44, '3. Rate Classes'!$C$24:$H$45,6,0)=0, ISERROR(VLOOKUP($B44, '3. Rate Classes'!$C$24:$H$45,6,0))), "", VLOOKUP($B44, '3. Rate Classes'!$C$24:$H$45,6,0))</f>
        <v>#N/A</v>
      </c>
      <c r="F44" s="151"/>
      <c r="G44" s="151"/>
      <c r="H44" s="172"/>
      <c r="I44" s="172"/>
      <c r="J44" s="171" t="str">
        <f t="shared" si="3"/>
        <v/>
      </c>
      <c r="K44" s="171"/>
      <c r="L44" s="98">
        <f t="shared" si="1"/>
        <v>0</v>
      </c>
      <c r="M44" s="98">
        <f t="shared" si="2"/>
        <v>0</v>
      </c>
    </row>
    <row r="45" spans="2:13" ht="25.5" hidden="1" customHeight="1" thickBot="1" x14ac:dyDescent="0.3">
      <c r="B45" s="95">
        <f>IF('3. Rate Classes'!Q42=1,'3. Rate Classes'!C42, 0)</f>
        <v>0</v>
      </c>
      <c r="C45" s="96"/>
      <c r="D45" s="97" t="e">
        <f>IF(OR(VLOOKUP($B45, '3. Rate Classes'!$C$24:$H$45,6,0)=0, ISERROR(VLOOKUP($B45, '3. Rate Classes'!$C$24:$H$45,6,0))), "", VLOOKUP($B45, '3. Rate Classes'!$C$24:$H$45,6,0))</f>
        <v>#N/A</v>
      </c>
      <c r="F45" s="151"/>
      <c r="G45" s="150"/>
      <c r="H45" s="172"/>
      <c r="I45" s="172"/>
      <c r="J45" s="171" t="str">
        <f t="shared" si="3"/>
        <v/>
      </c>
      <c r="K45" s="171"/>
      <c r="L45" s="98">
        <f t="shared" si="1"/>
        <v>0</v>
      </c>
      <c r="M45" s="98">
        <f t="shared" si="2"/>
        <v>0</v>
      </c>
    </row>
    <row r="46" spans="2:13" ht="25.5" hidden="1" customHeight="1" thickBot="1" x14ac:dyDescent="0.3">
      <c r="B46" s="95">
        <f>IF('3. Rate Classes'!Q43=1,'3. Rate Classes'!C43, 0)</f>
        <v>0</v>
      </c>
      <c r="C46" s="96"/>
      <c r="D46" s="97" t="e">
        <f>IF(OR(VLOOKUP($B46, '3. Rate Classes'!$C$24:$H$45,6,0)=0, ISERROR(VLOOKUP($B46, '3. Rate Classes'!$C$24:$H$45,6,0))), "", VLOOKUP($B46, '3. Rate Classes'!$C$24:$H$45,6,0))</f>
        <v>#N/A</v>
      </c>
      <c r="F46" s="151"/>
      <c r="G46" s="151"/>
      <c r="H46" s="172"/>
      <c r="I46" s="172"/>
      <c r="J46" s="171" t="str">
        <f t="shared" si="3"/>
        <v/>
      </c>
      <c r="K46" s="171"/>
      <c r="L46" s="98">
        <f t="shared" si="1"/>
        <v>0</v>
      </c>
      <c r="M46" s="98">
        <f t="shared" si="2"/>
        <v>0</v>
      </c>
    </row>
    <row r="47" spans="2:13" ht="25.5" hidden="1" customHeight="1" thickBot="1" x14ac:dyDescent="0.3">
      <c r="B47" s="95">
        <f>IF('3. Rate Classes'!Q44=1,'3. Rate Classes'!C44, 0)</f>
        <v>0</v>
      </c>
      <c r="C47" s="96"/>
      <c r="D47" s="97" t="e">
        <f>IF(OR(VLOOKUP($B47, '3. Rate Classes'!$C$24:$H$45,6,0)=0, ISERROR(VLOOKUP($B47, '3. Rate Classes'!$C$24:$H$45,6,0))), "", VLOOKUP($B47, '3. Rate Classes'!$C$24:$H$45,6,0))</f>
        <v>#N/A</v>
      </c>
      <c r="F47" s="151"/>
      <c r="G47" s="150"/>
      <c r="H47" s="172"/>
      <c r="I47" s="172"/>
      <c r="J47" s="171" t="str">
        <f t="shared" si="3"/>
        <v/>
      </c>
      <c r="K47" s="171"/>
      <c r="L47" s="98">
        <f t="shared" si="1"/>
        <v>0</v>
      </c>
      <c r="M47" s="98">
        <f t="shared" si="2"/>
        <v>0</v>
      </c>
    </row>
    <row r="48" spans="2:13" ht="25.5" hidden="1" customHeight="1" thickBot="1" x14ac:dyDescent="0.3">
      <c r="B48" s="95">
        <f>IF('3. Rate Classes'!Q45=1,'3. Rate Classes'!C45, 0)</f>
        <v>0</v>
      </c>
      <c r="C48" s="96"/>
      <c r="D48" s="97" t="e">
        <f>IF(OR(VLOOKUP($B48, '3. Rate Classes'!$C$24:$H$45,6,0)=0, ISERROR(VLOOKUP($B48, '3. Rate Classes'!$C$24:$H$45,6,0))), "", VLOOKUP($B48, '3. Rate Classes'!$C$24:$H$45,6,0))</f>
        <v>#N/A</v>
      </c>
      <c r="F48" s="151"/>
      <c r="G48" s="151"/>
      <c r="H48" s="172"/>
      <c r="I48" s="172"/>
      <c r="J48" s="171" t="str">
        <f t="shared" si="3"/>
        <v/>
      </c>
      <c r="K48" s="171"/>
      <c r="L48" s="98">
        <f t="shared" si="1"/>
        <v>0</v>
      </c>
      <c r="M48" s="98">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58"/>
  <sheetViews>
    <sheetView showGridLines="0" workbookViewId="0">
      <pane ySplit="16" topLeftCell="A17" activePane="bottomLeft" state="frozenSplit"/>
      <selection activeCell="I48" sqref="I48"/>
      <selection pane="bottomLeft" activeCell="I22" sqref="I22"/>
    </sheetView>
  </sheetViews>
  <sheetFormatPr defaultRowHeight="13.2" x14ac:dyDescent="0.25"/>
  <cols>
    <col min="1" max="1" width="11.88671875" customWidth="1"/>
    <col min="2" max="2" width="62.88671875" bestFit="1" customWidth="1"/>
    <col min="3" max="3" width="15.44140625" customWidth="1"/>
    <col min="5" max="5" width="15.109375" customWidth="1"/>
    <col min="6" max="6" width="6.33203125" customWidth="1"/>
    <col min="7" max="7" width="15.109375" customWidth="1"/>
    <col min="8" max="8" width="5.44140625" customWidth="1"/>
    <col min="9" max="9" width="15.109375" customWidth="1"/>
  </cols>
  <sheetData>
    <row r="15" spans="2:9" x14ac:dyDescent="0.25">
      <c r="B15" s="145"/>
      <c r="C15" s="146"/>
      <c r="D15" s="5"/>
      <c r="E15" s="146"/>
      <c r="F15" s="5"/>
      <c r="G15" s="146"/>
      <c r="H15" s="5"/>
      <c r="I15" s="146"/>
    </row>
    <row r="17" spans="2:9" ht="15.6" x14ac:dyDescent="0.3">
      <c r="B17" s="17"/>
      <c r="C17" s="17"/>
      <c r="D17" s="18"/>
      <c r="E17" s="21"/>
      <c r="F17" s="17"/>
      <c r="G17" s="21"/>
      <c r="H17" s="17"/>
    </row>
    <row r="18" spans="2:9" ht="26.4" x14ac:dyDescent="0.25">
      <c r="B18" s="144" t="s">
        <v>235</v>
      </c>
      <c r="C18" s="143" t="s">
        <v>210</v>
      </c>
      <c r="E18" s="143" t="s">
        <v>236</v>
      </c>
      <c r="G18" s="143" t="s">
        <v>237</v>
      </c>
      <c r="I18" s="143" t="s">
        <v>238</v>
      </c>
    </row>
    <row r="19" spans="2:9" x14ac:dyDescent="0.25">
      <c r="B19" s="19"/>
      <c r="C19" s="19"/>
      <c r="D19" s="19"/>
      <c r="E19" s="19"/>
      <c r="F19" s="19"/>
      <c r="G19" s="19"/>
      <c r="H19" s="19"/>
    </row>
    <row r="20" spans="2:9" ht="15.6" x14ac:dyDescent="0.3">
      <c r="B20" s="1" t="s">
        <v>114</v>
      </c>
      <c r="C20" s="1"/>
      <c r="D20" s="26"/>
      <c r="E20" s="27" t="s">
        <v>115</v>
      </c>
      <c r="F20" s="28"/>
      <c r="G20" s="27" t="s">
        <v>115</v>
      </c>
      <c r="H20" s="28"/>
      <c r="I20" s="27" t="s">
        <v>115</v>
      </c>
    </row>
    <row r="21" spans="2:9" x14ac:dyDescent="0.25">
      <c r="B21" s="19"/>
      <c r="C21" s="19"/>
      <c r="E21" s="19"/>
      <c r="F21" s="19"/>
      <c r="G21" s="19"/>
      <c r="H21" s="19"/>
    </row>
    <row r="22" spans="2:9" ht="17.399999999999999" x14ac:dyDescent="0.35">
      <c r="B22" s="35" t="s">
        <v>116</v>
      </c>
      <c r="C22" s="33" t="s">
        <v>113</v>
      </c>
      <c r="D22" s="36"/>
      <c r="E22" s="32">
        <v>3.22</v>
      </c>
      <c r="F22" s="31"/>
      <c r="G22" s="32">
        <v>3.57</v>
      </c>
      <c r="H22" s="30"/>
      <c r="I22" s="100">
        <v>3.63</v>
      </c>
    </row>
    <row r="23" spans="2:9" ht="17.399999999999999" x14ac:dyDescent="0.35">
      <c r="B23" s="31"/>
      <c r="C23" s="31"/>
      <c r="D23" s="36"/>
      <c r="E23" s="32"/>
      <c r="F23" s="31"/>
      <c r="G23" s="32"/>
      <c r="H23" s="30"/>
      <c r="I23" s="32"/>
    </row>
    <row r="24" spans="2:9" ht="17.399999999999999" x14ac:dyDescent="0.35">
      <c r="B24" s="35" t="s">
        <v>117</v>
      </c>
      <c r="C24" s="33" t="s">
        <v>113</v>
      </c>
      <c r="D24" s="36"/>
      <c r="E24" s="32">
        <v>0.79</v>
      </c>
      <c r="F24" s="31"/>
      <c r="G24" s="32">
        <v>0.8</v>
      </c>
      <c r="H24" s="30"/>
      <c r="I24" s="100">
        <v>0.75</v>
      </c>
    </row>
    <row r="25" spans="2:9" ht="17.399999999999999" x14ac:dyDescent="0.35">
      <c r="B25" s="31"/>
      <c r="C25" s="31"/>
      <c r="D25" s="36"/>
      <c r="E25" s="32"/>
      <c r="F25" s="31"/>
      <c r="G25" s="32"/>
      <c r="H25" s="30"/>
      <c r="I25" s="32"/>
    </row>
    <row r="26" spans="2:9" ht="17.399999999999999" x14ac:dyDescent="0.35">
      <c r="B26" s="35" t="s">
        <v>118</v>
      </c>
      <c r="C26" s="33" t="s">
        <v>113</v>
      </c>
      <c r="D26" s="36"/>
      <c r="E26" s="32">
        <v>1.77</v>
      </c>
      <c r="F26" s="31"/>
      <c r="G26" s="32">
        <v>1.86</v>
      </c>
      <c r="H26" s="30"/>
      <c r="I26" s="100">
        <v>1.85</v>
      </c>
    </row>
    <row r="27" spans="2:9" x14ac:dyDescent="0.25">
      <c r="B27" s="19"/>
      <c r="C27" s="19"/>
      <c r="E27" s="19"/>
      <c r="F27" s="19"/>
      <c r="G27" s="19"/>
      <c r="H27" s="19"/>
    </row>
    <row r="28" spans="2:9" x14ac:dyDescent="0.25">
      <c r="B28" s="19"/>
      <c r="C28" s="19"/>
      <c r="E28" s="19"/>
      <c r="F28" s="19"/>
      <c r="G28" s="19"/>
      <c r="H28" s="19"/>
    </row>
    <row r="29" spans="2:9" ht="26.4" x14ac:dyDescent="0.25">
      <c r="B29" s="144" t="s">
        <v>239</v>
      </c>
      <c r="C29" s="143" t="s">
        <v>210</v>
      </c>
      <c r="E29" s="143" t="s">
        <v>236</v>
      </c>
      <c r="G29" s="143" t="s">
        <v>237</v>
      </c>
      <c r="I29" s="143" t="s">
        <v>238</v>
      </c>
    </row>
    <row r="30" spans="2:9" ht="15.6" x14ac:dyDescent="0.3">
      <c r="B30" s="20"/>
      <c r="C30" s="18"/>
      <c r="E30" s="17"/>
      <c r="F30" s="17"/>
      <c r="G30" s="17"/>
      <c r="H30" s="17"/>
    </row>
    <row r="31" spans="2:9" ht="3" customHeight="1" x14ac:dyDescent="0.3">
      <c r="B31" s="17"/>
      <c r="C31" s="18"/>
      <c r="E31" s="21"/>
      <c r="F31" s="17"/>
      <c r="G31" s="21"/>
      <c r="H31" s="17"/>
    </row>
    <row r="32" spans="2:9" ht="3" customHeight="1" x14ac:dyDescent="0.25">
      <c r="B32" s="19"/>
      <c r="C32" s="19"/>
      <c r="E32" s="19"/>
      <c r="F32" s="19"/>
      <c r="G32" s="19"/>
      <c r="H32" s="19"/>
    </row>
    <row r="33" spans="2:9" ht="15.6" x14ac:dyDescent="0.3">
      <c r="B33" s="1" t="s">
        <v>114</v>
      </c>
      <c r="C33" s="1"/>
      <c r="D33" s="26"/>
      <c r="E33" s="27" t="s">
        <v>115</v>
      </c>
      <c r="F33" s="28"/>
      <c r="G33" s="27" t="s">
        <v>115</v>
      </c>
      <c r="H33" s="19"/>
      <c r="I33" s="27" t="s">
        <v>115</v>
      </c>
    </row>
    <row r="34" spans="2:9" x14ac:dyDescent="0.25">
      <c r="B34" s="19"/>
      <c r="C34" s="19"/>
      <c r="E34" s="19"/>
      <c r="F34" s="19"/>
      <c r="G34" s="19"/>
      <c r="H34" s="19"/>
    </row>
    <row r="35" spans="2:9" ht="17.399999999999999" x14ac:dyDescent="0.35">
      <c r="B35" s="35" t="s">
        <v>116</v>
      </c>
      <c r="C35" s="33" t="s">
        <v>113</v>
      </c>
      <c r="D35" s="36"/>
      <c r="E35" s="32">
        <v>2.65</v>
      </c>
      <c r="F35" s="31"/>
      <c r="G35" s="32">
        <v>2.65</v>
      </c>
      <c r="H35" s="17"/>
      <c r="I35" s="100">
        <v>2.65</v>
      </c>
    </row>
    <row r="36" spans="2:9" ht="15.6" x14ac:dyDescent="0.3">
      <c r="B36" s="17"/>
      <c r="C36" s="17"/>
      <c r="D36" s="37"/>
      <c r="E36" s="22"/>
      <c r="F36" s="17"/>
      <c r="G36" s="22"/>
      <c r="H36" s="17"/>
      <c r="I36" s="22"/>
    </row>
    <row r="37" spans="2:9" ht="17.399999999999999" x14ac:dyDescent="0.35">
      <c r="B37" s="35" t="s">
        <v>117</v>
      </c>
      <c r="C37" s="33" t="s">
        <v>113</v>
      </c>
      <c r="D37" s="36"/>
      <c r="E37" s="32">
        <v>0.64</v>
      </c>
      <c r="F37" s="31"/>
      <c r="G37" s="32">
        <v>0.64</v>
      </c>
      <c r="H37" s="17"/>
      <c r="I37" s="100">
        <v>0.64</v>
      </c>
    </row>
    <row r="38" spans="2:9" ht="15.6" x14ac:dyDescent="0.3">
      <c r="B38" s="17"/>
      <c r="C38" s="17"/>
      <c r="D38" s="37"/>
      <c r="E38" s="22"/>
      <c r="F38" s="17"/>
      <c r="G38" s="22"/>
      <c r="H38" s="17"/>
      <c r="I38" s="22"/>
    </row>
    <row r="39" spans="2:9" ht="17.399999999999999" x14ac:dyDescent="0.35">
      <c r="B39" s="35" t="s">
        <v>118</v>
      </c>
      <c r="C39" s="33" t="s">
        <v>113</v>
      </c>
      <c r="D39" s="36"/>
      <c r="E39" s="32">
        <v>1.5</v>
      </c>
      <c r="F39" s="31"/>
      <c r="G39" s="32">
        <v>1.5</v>
      </c>
      <c r="H39" s="17"/>
      <c r="I39" s="100">
        <v>1.5</v>
      </c>
    </row>
    <row r="40" spans="2:9" ht="15.6" x14ac:dyDescent="0.3">
      <c r="B40" s="17"/>
      <c r="C40" s="17"/>
      <c r="D40" s="37"/>
      <c r="E40" s="22"/>
      <c r="F40" s="17"/>
      <c r="G40" s="22"/>
      <c r="H40" s="17"/>
      <c r="I40" s="22"/>
    </row>
    <row r="41" spans="2:9" ht="17.399999999999999" x14ac:dyDescent="0.35">
      <c r="B41" s="35" t="s">
        <v>119</v>
      </c>
      <c r="C41" s="33" t="s">
        <v>113</v>
      </c>
      <c r="D41" s="36"/>
      <c r="E41" s="32">
        <f>E39+E37</f>
        <v>2.14</v>
      </c>
      <c r="F41" s="31"/>
      <c r="G41" s="32">
        <f>G39+G37</f>
        <v>2.14</v>
      </c>
      <c r="H41" s="17"/>
      <c r="I41" s="100">
        <f>I39+I37</f>
        <v>2.14</v>
      </c>
    </row>
    <row r="42" spans="2:9" ht="15.6" x14ac:dyDescent="0.3">
      <c r="B42" s="17"/>
      <c r="C42" s="17"/>
      <c r="E42" s="22"/>
      <c r="F42" s="19"/>
      <c r="G42" s="22"/>
      <c r="H42" s="19"/>
    </row>
    <row r="43" spans="2:9" x14ac:dyDescent="0.25">
      <c r="C43" s="19"/>
      <c r="E43" s="19"/>
      <c r="F43" s="19"/>
      <c r="G43" s="19"/>
      <c r="H43" s="19"/>
    </row>
    <row r="44" spans="2:9" ht="15.6" x14ac:dyDescent="0.3">
      <c r="B44" s="20"/>
      <c r="C44" s="19"/>
      <c r="E44" s="19"/>
      <c r="F44" s="19"/>
      <c r="G44" s="19"/>
      <c r="H44" s="19"/>
    </row>
    <row r="45" spans="2:9" ht="26.4" x14ac:dyDescent="0.25">
      <c r="B45" s="144" t="s">
        <v>120</v>
      </c>
      <c r="C45" s="143" t="s">
        <v>210</v>
      </c>
      <c r="E45" s="143" t="s">
        <v>236</v>
      </c>
      <c r="G45" s="143" t="s">
        <v>237</v>
      </c>
      <c r="I45" s="143" t="s">
        <v>238</v>
      </c>
    </row>
    <row r="46" spans="2:9" x14ac:dyDescent="0.25">
      <c r="B46" s="19"/>
      <c r="C46" s="19"/>
      <c r="E46" s="19"/>
      <c r="F46" s="19"/>
      <c r="G46" s="19"/>
      <c r="H46" s="19"/>
    </row>
    <row r="47" spans="2:9" ht="15.6" x14ac:dyDescent="0.3">
      <c r="B47" s="1" t="s">
        <v>114</v>
      </c>
      <c r="C47" s="1"/>
      <c r="D47" s="26"/>
      <c r="E47" s="27" t="s">
        <v>115</v>
      </c>
      <c r="F47" s="28"/>
      <c r="G47" s="27" t="s">
        <v>115</v>
      </c>
      <c r="H47" s="19"/>
      <c r="I47" s="27" t="s">
        <v>115</v>
      </c>
    </row>
    <row r="48" spans="2:9" x14ac:dyDescent="0.25">
      <c r="B48" s="19"/>
      <c r="C48" s="19"/>
      <c r="E48" s="19"/>
      <c r="F48" s="19"/>
      <c r="G48" s="19"/>
      <c r="H48" s="19"/>
    </row>
    <row r="49" spans="2:9" ht="17.399999999999999" x14ac:dyDescent="0.35">
      <c r="B49" s="35" t="s">
        <v>121</v>
      </c>
      <c r="C49" s="33" t="s">
        <v>113</v>
      </c>
      <c r="D49" s="36"/>
      <c r="E49" s="38">
        <v>4.7E-2</v>
      </c>
      <c r="F49" s="31"/>
      <c r="G49" s="38">
        <v>0</v>
      </c>
      <c r="H49" s="23"/>
      <c r="I49" s="38">
        <v>0</v>
      </c>
    </row>
    <row r="50" spans="2:9" ht="15.6" x14ac:dyDescent="0.3">
      <c r="B50" s="17"/>
      <c r="C50" s="17"/>
      <c r="D50" s="37"/>
      <c r="E50" s="24"/>
      <c r="F50" s="25"/>
      <c r="G50" s="24"/>
      <c r="H50" s="23"/>
      <c r="I50" s="24"/>
    </row>
    <row r="51" spans="2:9" ht="17.399999999999999" x14ac:dyDescent="0.35">
      <c r="B51" s="35" t="s">
        <v>122</v>
      </c>
      <c r="C51" s="33" t="s">
        <v>113</v>
      </c>
      <c r="D51" s="36"/>
      <c r="E51" s="38">
        <v>-2.5000000000000001E-2</v>
      </c>
      <c r="F51" s="31"/>
      <c r="G51" s="38">
        <v>0</v>
      </c>
      <c r="H51" s="23"/>
      <c r="I51" s="38">
        <v>0</v>
      </c>
    </row>
    <row r="52" spans="2:9" ht="15.6" x14ac:dyDescent="0.3">
      <c r="B52" s="17"/>
      <c r="C52" s="17"/>
      <c r="D52" s="37"/>
      <c r="E52" s="24"/>
      <c r="F52" s="25"/>
      <c r="G52" s="24"/>
      <c r="H52" s="23"/>
      <c r="I52" s="24"/>
    </row>
    <row r="53" spans="2:9" ht="17.399999999999999" x14ac:dyDescent="0.35">
      <c r="B53" s="35" t="s">
        <v>123</v>
      </c>
      <c r="C53" s="33" t="s">
        <v>113</v>
      </c>
      <c r="D53" s="36"/>
      <c r="E53" s="38">
        <v>5.8000000000000003E-2</v>
      </c>
      <c r="F53" s="34"/>
      <c r="G53" s="38">
        <v>0</v>
      </c>
      <c r="H53" s="23"/>
      <c r="I53" s="38">
        <v>0</v>
      </c>
    </row>
    <row r="54" spans="2:9" ht="17.399999999999999" x14ac:dyDescent="0.35">
      <c r="B54" s="31"/>
      <c r="C54" s="31"/>
      <c r="D54" s="36"/>
      <c r="E54" s="34"/>
      <c r="F54" s="34"/>
      <c r="G54" s="34"/>
      <c r="H54" s="23"/>
      <c r="I54" s="34"/>
    </row>
    <row r="55" spans="2:9" ht="17.399999999999999" x14ac:dyDescent="0.35">
      <c r="B55" s="35" t="s">
        <v>124</v>
      </c>
      <c r="C55" s="33" t="s">
        <v>113</v>
      </c>
      <c r="D55" s="36"/>
      <c r="E55" s="38">
        <v>-7.4999999999999997E-2</v>
      </c>
      <c r="F55" s="34"/>
      <c r="G55" s="38">
        <v>0</v>
      </c>
      <c r="H55" s="23"/>
      <c r="I55" s="38">
        <v>0</v>
      </c>
    </row>
    <row r="56" spans="2:9" ht="17.399999999999999" x14ac:dyDescent="0.35">
      <c r="B56" s="31"/>
      <c r="C56" s="33"/>
      <c r="D56" s="36"/>
      <c r="E56" s="34"/>
      <c r="F56" s="34"/>
      <c r="G56" s="34"/>
      <c r="H56" s="25"/>
      <c r="I56" s="34"/>
    </row>
    <row r="57" spans="2:9" ht="18" thickBot="1" x14ac:dyDescent="0.4">
      <c r="B57" s="35" t="s">
        <v>120</v>
      </c>
      <c r="C57" s="33" t="s">
        <v>113</v>
      </c>
      <c r="D57" s="36"/>
      <c r="E57" s="39">
        <f>SUM(E49:E55)</f>
        <v>5.0000000000000044E-3</v>
      </c>
      <c r="F57" s="34"/>
      <c r="G57" s="39">
        <f>SUM(G49:G55)</f>
        <v>0</v>
      </c>
      <c r="H57" s="23"/>
      <c r="I57" s="39">
        <f>SUM(I49:I55)</f>
        <v>0</v>
      </c>
    </row>
    <row r="58" spans="2:9" x14ac:dyDescent="0.25">
      <c r="B58" s="17"/>
      <c r="C58" s="17"/>
      <c r="D58" s="18"/>
      <c r="E58" s="17"/>
      <c r="F58" s="17"/>
      <c r="G58" s="17"/>
      <c r="H58" s="1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topLeftCell="B1" zoomScaleNormal="100" workbookViewId="0">
      <pane ySplit="16" topLeftCell="A60" activePane="bottomLeft" state="frozenSplit"/>
      <selection activeCell="I48" sqref="I48"/>
      <selection pane="bottomLeft" activeCell="M33" sqref="M33"/>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33203125" style="19" customWidth="1"/>
    <col min="5" max="5" width="15.109375" style="19" customWidth="1"/>
    <col min="6" max="6" width="13.33203125" style="19" customWidth="1"/>
    <col min="7" max="7" width="2.88671875" style="19" customWidth="1"/>
    <col min="8" max="8" width="13.33203125" style="19" customWidth="1"/>
    <col min="9" max="9" width="9.44140625" style="19" bestFit="1" customWidth="1"/>
    <col min="10" max="10" width="13.33203125" style="19" customWidth="1"/>
    <col min="11" max="11" width="3.109375" style="19" customWidth="1"/>
    <col min="12" max="12" width="13.33203125" style="19" customWidth="1"/>
    <col min="13" max="13" width="9.44140625" style="19" bestFit="1" customWidth="1"/>
    <col min="14" max="14" width="13.33203125" style="19" customWidth="1"/>
    <col min="15" max="15" width="3.6640625" style="19" customWidth="1"/>
    <col min="16" max="16" width="13.33203125" style="19" customWidth="1"/>
    <col min="17" max="16384" width="9.109375" style="19"/>
  </cols>
  <sheetData>
    <row r="19" spans="2:17" ht="33.75" customHeight="1" x14ac:dyDescent="0.3">
      <c r="B19" s="17"/>
      <c r="C19" s="17"/>
      <c r="D19" s="18"/>
      <c r="E19" s="21"/>
      <c r="F19" s="17"/>
      <c r="G19" s="21"/>
      <c r="H19" s="17"/>
    </row>
    <row r="20" spans="2:17" ht="21" x14ac:dyDescent="0.4">
      <c r="B20" s="40"/>
      <c r="C20" s="17"/>
      <c r="D20" s="17"/>
      <c r="E20" s="17"/>
      <c r="F20" s="17"/>
      <c r="G20" s="17"/>
      <c r="H20" s="17"/>
      <c r="I20" s="17"/>
      <c r="J20" s="17"/>
      <c r="K20" s="17"/>
      <c r="L20" s="17"/>
      <c r="M20" s="17"/>
      <c r="N20" s="17"/>
      <c r="O20" s="17"/>
      <c r="P20" s="17"/>
      <c r="Q20" s="17"/>
    </row>
    <row r="21" spans="2:17" ht="15.6" x14ac:dyDescent="0.3">
      <c r="B21" s="142" t="s">
        <v>228</v>
      </c>
      <c r="C21" s="141"/>
      <c r="D21" s="173" t="s">
        <v>229</v>
      </c>
      <c r="E21" s="173"/>
      <c r="F21" s="173"/>
      <c r="G21" s="141"/>
      <c r="H21" s="173" t="s">
        <v>232</v>
      </c>
      <c r="I21" s="173"/>
      <c r="J21" s="173"/>
      <c r="K21" s="141"/>
      <c r="L21" s="173" t="s">
        <v>231</v>
      </c>
      <c r="M21" s="173"/>
      <c r="N21" s="173"/>
      <c r="O21" s="141"/>
      <c r="P21" s="142" t="s">
        <v>230</v>
      </c>
      <c r="Q21" s="41"/>
    </row>
    <row r="22" spans="2:17" ht="31.2"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155">
        <v>8840</v>
      </c>
      <c r="E24" s="156">
        <f t="shared" ref="E24:E35" si="0">IF(D24&lt;&gt;0,F24/D24,0)</f>
        <v>3.2199999999999998</v>
      </c>
      <c r="F24" s="157">
        <v>28464.799999999999</v>
      </c>
      <c r="G24" s="17"/>
      <c r="H24" s="180">
        <v>9347</v>
      </c>
      <c r="I24" s="156">
        <f t="shared" ref="I24:I35" si="1">IF(H24&lt;&gt;0,J24/H24,0)</f>
        <v>0.79</v>
      </c>
      <c r="J24" s="158">
        <v>7384.13</v>
      </c>
      <c r="K24" s="17"/>
      <c r="L24" s="155">
        <v>9347</v>
      </c>
      <c r="M24" s="156">
        <f t="shared" ref="M24:M35" si="2">IF(L24&lt;&gt;0,N24/L24,0)</f>
        <v>1.7699999999999998</v>
      </c>
      <c r="N24" s="157">
        <v>16544.189999999999</v>
      </c>
      <c r="O24" s="17"/>
      <c r="P24" s="47">
        <f t="shared" ref="P24:P35" si="3">J24+N24</f>
        <v>23928.32</v>
      </c>
      <c r="Q24" s="17"/>
    </row>
    <row r="25" spans="2:17" ht="15.6" x14ac:dyDescent="0.3">
      <c r="B25" s="48" t="s">
        <v>129</v>
      </c>
      <c r="C25" s="17"/>
      <c r="D25" s="155">
        <v>8636</v>
      </c>
      <c r="E25" s="156">
        <f t="shared" si="0"/>
        <v>3.2199999999999998</v>
      </c>
      <c r="F25" s="157">
        <v>27807.919999999998</v>
      </c>
      <c r="G25" s="17"/>
      <c r="H25" s="180">
        <v>9063</v>
      </c>
      <c r="I25" s="156">
        <f t="shared" si="1"/>
        <v>0.79</v>
      </c>
      <c r="J25" s="158">
        <v>7159.77</v>
      </c>
      <c r="K25" s="17"/>
      <c r="L25" s="155">
        <v>9063</v>
      </c>
      <c r="M25" s="156">
        <f t="shared" si="2"/>
        <v>1.77</v>
      </c>
      <c r="N25" s="157">
        <v>16041.51</v>
      </c>
      <c r="O25" s="17"/>
      <c r="P25" s="47">
        <f t="shared" si="3"/>
        <v>23201.279999999999</v>
      </c>
      <c r="Q25" s="17"/>
    </row>
    <row r="26" spans="2:17" ht="15.6" x14ac:dyDescent="0.3">
      <c r="B26" s="48" t="s">
        <v>130</v>
      </c>
      <c r="C26" s="17"/>
      <c r="D26" s="155">
        <v>14372</v>
      </c>
      <c r="E26" s="156">
        <f t="shared" si="0"/>
        <v>3.2199999999999998</v>
      </c>
      <c r="F26" s="157">
        <v>46277.84</v>
      </c>
      <c r="G26" s="17"/>
      <c r="H26" s="180">
        <v>16908</v>
      </c>
      <c r="I26" s="156">
        <f t="shared" si="1"/>
        <v>0.79</v>
      </c>
      <c r="J26" s="158">
        <v>13357.32</v>
      </c>
      <c r="K26" s="17"/>
      <c r="L26" s="155">
        <v>16908</v>
      </c>
      <c r="M26" s="156">
        <f t="shared" si="2"/>
        <v>1.77</v>
      </c>
      <c r="N26" s="157">
        <v>29927.16</v>
      </c>
      <c r="O26" s="17"/>
      <c r="P26" s="47">
        <f t="shared" si="3"/>
        <v>43284.479999999996</v>
      </c>
      <c r="Q26" s="17"/>
    </row>
    <row r="27" spans="2:17" ht="15.6" x14ac:dyDescent="0.3">
      <c r="B27" s="48" t="s">
        <v>131</v>
      </c>
      <c r="C27" s="17"/>
      <c r="D27" s="155">
        <v>7554</v>
      </c>
      <c r="E27" s="156">
        <f t="shared" si="0"/>
        <v>3.22</v>
      </c>
      <c r="F27" s="157">
        <v>24323.88</v>
      </c>
      <c r="G27" s="17"/>
      <c r="H27" s="180">
        <v>8005</v>
      </c>
      <c r="I27" s="156">
        <f t="shared" si="1"/>
        <v>0.78999999999999992</v>
      </c>
      <c r="J27" s="158">
        <v>6323.95</v>
      </c>
      <c r="K27" s="17"/>
      <c r="L27" s="155">
        <v>8005</v>
      </c>
      <c r="M27" s="156">
        <f t="shared" si="2"/>
        <v>1.77</v>
      </c>
      <c r="N27" s="157">
        <v>14168.85</v>
      </c>
      <c r="O27" s="17"/>
      <c r="P27" s="47">
        <f t="shared" si="3"/>
        <v>20492.8</v>
      </c>
      <c r="Q27" s="17"/>
    </row>
    <row r="28" spans="2:17" ht="15.6" x14ac:dyDescent="0.3">
      <c r="B28" s="48" t="s">
        <v>132</v>
      </c>
      <c r="C28" s="17"/>
      <c r="D28" s="155">
        <v>9045</v>
      </c>
      <c r="E28" s="156">
        <f t="shared" si="0"/>
        <v>3.22</v>
      </c>
      <c r="F28" s="157">
        <v>29124.9</v>
      </c>
      <c r="G28" s="17"/>
      <c r="H28" s="180">
        <v>9315</v>
      </c>
      <c r="I28" s="156">
        <f t="shared" si="1"/>
        <v>0.79</v>
      </c>
      <c r="J28" s="158">
        <v>7358.85</v>
      </c>
      <c r="K28" s="17"/>
      <c r="L28" s="155">
        <v>9315</v>
      </c>
      <c r="M28" s="156">
        <f t="shared" si="2"/>
        <v>1.7699409554482017</v>
      </c>
      <c r="N28" s="157">
        <v>16487</v>
      </c>
      <c r="O28" s="17"/>
      <c r="P28" s="47">
        <f t="shared" si="3"/>
        <v>23845.85</v>
      </c>
      <c r="Q28" s="17"/>
    </row>
    <row r="29" spans="2:17" ht="15.6" x14ac:dyDescent="0.3">
      <c r="B29" s="48" t="s">
        <v>133</v>
      </c>
      <c r="C29" s="17"/>
      <c r="D29" s="155">
        <v>9532</v>
      </c>
      <c r="E29" s="156">
        <f t="shared" si="0"/>
        <v>3.22</v>
      </c>
      <c r="F29" s="157">
        <v>30693.040000000001</v>
      </c>
      <c r="G29" s="17"/>
      <c r="H29" s="180">
        <v>9532</v>
      </c>
      <c r="I29" s="156">
        <f t="shared" si="1"/>
        <v>0.78999999999999992</v>
      </c>
      <c r="J29" s="158">
        <v>7530.28</v>
      </c>
      <c r="K29" s="17"/>
      <c r="L29" s="155">
        <v>9532</v>
      </c>
      <c r="M29" s="156">
        <f t="shared" si="2"/>
        <v>1.77</v>
      </c>
      <c r="N29" s="157">
        <v>16871.64</v>
      </c>
      <c r="O29" s="17"/>
      <c r="P29" s="47">
        <f t="shared" si="3"/>
        <v>24401.919999999998</v>
      </c>
      <c r="Q29" s="17"/>
    </row>
    <row r="30" spans="2:17" ht="15.6" x14ac:dyDescent="0.3">
      <c r="B30" s="48" t="s">
        <v>134</v>
      </c>
      <c r="C30" s="17"/>
      <c r="D30" s="155">
        <v>10815</v>
      </c>
      <c r="E30" s="156">
        <f t="shared" si="0"/>
        <v>3.22</v>
      </c>
      <c r="F30" s="157">
        <v>34824.300000000003</v>
      </c>
      <c r="G30" s="17"/>
      <c r="H30" s="180">
        <v>10815</v>
      </c>
      <c r="I30" s="156">
        <f t="shared" si="1"/>
        <v>0.79</v>
      </c>
      <c r="J30" s="158">
        <v>8543.85</v>
      </c>
      <c r="K30" s="17"/>
      <c r="L30" s="155">
        <v>10815</v>
      </c>
      <c r="M30" s="156">
        <f t="shared" si="2"/>
        <v>1.77</v>
      </c>
      <c r="N30" s="157">
        <v>19142.55</v>
      </c>
      <c r="O30" s="17"/>
      <c r="P30" s="47">
        <f t="shared" si="3"/>
        <v>27686.400000000001</v>
      </c>
      <c r="Q30" s="17"/>
    </row>
    <row r="31" spans="2:17" ht="15.6" x14ac:dyDescent="0.3">
      <c r="B31" s="48" t="s">
        <v>135</v>
      </c>
      <c r="C31" s="17"/>
      <c r="D31" s="155">
        <v>9230</v>
      </c>
      <c r="E31" s="156">
        <f t="shared" si="0"/>
        <v>3.2199999999999998</v>
      </c>
      <c r="F31" s="157">
        <v>29720.6</v>
      </c>
      <c r="G31" s="17"/>
      <c r="H31" s="180">
        <v>9608</v>
      </c>
      <c r="I31" s="156">
        <f t="shared" si="1"/>
        <v>0.78999999999999992</v>
      </c>
      <c r="J31" s="158">
        <v>7590.32</v>
      </c>
      <c r="K31" s="17"/>
      <c r="L31" s="155">
        <v>9608</v>
      </c>
      <c r="M31" s="156">
        <f t="shared" si="2"/>
        <v>1.77</v>
      </c>
      <c r="N31" s="157">
        <v>17006.16</v>
      </c>
      <c r="O31" s="17"/>
      <c r="P31" s="47">
        <f t="shared" si="3"/>
        <v>24596.48</v>
      </c>
      <c r="Q31" s="17"/>
    </row>
    <row r="32" spans="2:17" ht="15.6" x14ac:dyDescent="0.3">
      <c r="B32" s="48" t="s">
        <v>136</v>
      </c>
      <c r="C32" s="17"/>
      <c r="D32" s="155">
        <v>9685</v>
      </c>
      <c r="E32" s="156">
        <f t="shared" si="0"/>
        <v>3.22</v>
      </c>
      <c r="F32" s="157">
        <v>31185.7</v>
      </c>
      <c r="G32" s="17"/>
      <c r="H32" s="180">
        <v>9886</v>
      </c>
      <c r="I32" s="156">
        <f t="shared" si="1"/>
        <v>0.78999999999999992</v>
      </c>
      <c r="J32" s="158">
        <v>7809.94</v>
      </c>
      <c r="K32" s="17"/>
      <c r="L32" s="155">
        <v>9886</v>
      </c>
      <c r="M32" s="156">
        <f t="shared" si="2"/>
        <v>1.77</v>
      </c>
      <c r="N32" s="157">
        <v>17498.22</v>
      </c>
      <c r="O32" s="17"/>
      <c r="P32" s="47">
        <f t="shared" si="3"/>
        <v>25308.16</v>
      </c>
      <c r="Q32" s="17"/>
    </row>
    <row r="33" spans="2:17" ht="15.6" x14ac:dyDescent="0.3">
      <c r="B33" s="48" t="s">
        <v>137</v>
      </c>
      <c r="C33" s="17"/>
      <c r="D33" s="155">
        <v>7435</v>
      </c>
      <c r="E33" s="156">
        <f t="shared" si="0"/>
        <v>3.22</v>
      </c>
      <c r="F33" s="157">
        <v>23940.7</v>
      </c>
      <c r="G33" s="17"/>
      <c r="H33" s="180">
        <v>7893</v>
      </c>
      <c r="I33" s="156">
        <f t="shared" si="1"/>
        <v>0.79</v>
      </c>
      <c r="J33" s="158">
        <v>6235.47</v>
      </c>
      <c r="K33" s="17"/>
      <c r="L33" s="155">
        <v>7893</v>
      </c>
      <c r="M33" s="156">
        <f t="shared" si="2"/>
        <v>1.77</v>
      </c>
      <c r="N33" s="157">
        <v>13970.61</v>
      </c>
      <c r="O33" s="17"/>
      <c r="P33" s="47">
        <f t="shared" si="3"/>
        <v>20206.080000000002</v>
      </c>
      <c r="Q33" s="17"/>
    </row>
    <row r="34" spans="2:17" ht="15.6" x14ac:dyDescent="0.3">
      <c r="B34" s="48" t="s">
        <v>138</v>
      </c>
      <c r="C34" s="17"/>
      <c r="D34" s="155">
        <v>8259</v>
      </c>
      <c r="E34" s="156">
        <f t="shared" si="0"/>
        <v>3.2199999999999998</v>
      </c>
      <c r="F34" s="157">
        <v>26593.98</v>
      </c>
      <c r="G34" s="17"/>
      <c r="H34" s="180">
        <v>8709</v>
      </c>
      <c r="I34" s="156">
        <f t="shared" si="1"/>
        <v>0.78999999999999992</v>
      </c>
      <c r="J34" s="158">
        <v>6880.11</v>
      </c>
      <c r="K34" s="17"/>
      <c r="L34" s="155">
        <v>8709</v>
      </c>
      <c r="M34" s="156">
        <f t="shared" si="2"/>
        <v>1.77</v>
      </c>
      <c r="N34" s="157">
        <v>15414.93</v>
      </c>
      <c r="O34" s="17"/>
      <c r="P34" s="47">
        <f t="shared" si="3"/>
        <v>22295.040000000001</v>
      </c>
      <c r="Q34" s="17"/>
    </row>
    <row r="35" spans="2:17" ht="15.6" x14ac:dyDescent="0.3">
      <c r="B35" s="48" t="s">
        <v>139</v>
      </c>
      <c r="C35" s="17"/>
      <c r="D35" s="155">
        <v>8369</v>
      </c>
      <c r="E35" s="156">
        <f t="shared" si="0"/>
        <v>3.22</v>
      </c>
      <c r="F35" s="157">
        <v>26948.18</v>
      </c>
      <c r="G35" s="17"/>
      <c r="H35" s="180">
        <v>8490</v>
      </c>
      <c r="I35" s="156">
        <f t="shared" si="1"/>
        <v>0.78906949352179034</v>
      </c>
      <c r="J35" s="158">
        <v>6699.2</v>
      </c>
      <c r="K35" s="17"/>
      <c r="L35" s="155">
        <v>8480</v>
      </c>
      <c r="M35" s="156">
        <f t="shared" si="2"/>
        <v>1.77</v>
      </c>
      <c r="N35" s="157">
        <v>15009.6</v>
      </c>
      <c r="O35" s="17"/>
      <c r="P35" s="47">
        <f t="shared" si="3"/>
        <v>21708.799999999999</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111772</v>
      </c>
      <c r="E37" s="51">
        <f>IF(D37&lt;&gt;0,F37/D37,0)</f>
        <v>3.2199999999999998</v>
      </c>
      <c r="F37" s="52">
        <f>SUM(F24:F35)</f>
        <v>359905.83999999997</v>
      </c>
      <c r="G37" s="17"/>
      <c r="H37" s="50">
        <f>SUM(H24:H35)</f>
        <v>117571</v>
      </c>
      <c r="I37" s="51">
        <f>IF(H37&lt;&gt;0,J37/H37,0)</f>
        <v>0.78993280655944054</v>
      </c>
      <c r="J37" s="52">
        <f>SUM(J24:J35)</f>
        <v>92873.189999999988</v>
      </c>
      <c r="K37" s="17"/>
      <c r="L37" s="50">
        <f>SUM(L24:L35)</f>
        <v>117561</v>
      </c>
      <c r="M37" s="51">
        <f>IF(L37&lt;&gt;0,N37/L37,0)</f>
        <v>1.7699953215777342</v>
      </c>
      <c r="N37" s="52">
        <f>SUM(N24:N35)</f>
        <v>208082.42</v>
      </c>
      <c r="O37" s="17"/>
      <c r="P37" s="52">
        <f>SUM(P24:P35)</f>
        <v>300955.60999999993</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41"/>
      <c r="D39" s="173" t="s">
        <v>229</v>
      </c>
      <c r="E39" s="173"/>
      <c r="F39" s="173"/>
      <c r="G39" s="141"/>
      <c r="H39" s="173" t="s">
        <v>232</v>
      </c>
      <c r="I39" s="173"/>
      <c r="J39" s="173"/>
      <c r="K39" s="141"/>
      <c r="L39" s="173" t="s">
        <v>231</v>
      </c>
      <c r="M39" s="173"/>
      <c r="N39" s="173"/>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31.2"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155">
        <v>58000</v>
      </c>
      <c r="E43" s="156">
        <f t="shared" ref="E43:E54" si="4">IF(D43&lt;&gt;0,F43/D43,0)</f>
        <v>2.6448827586206898</v>
      </c>
      <c r="F43" s="157">
        <v>153403.20000000001</v>
      </c>
      <c r="G43" s="17"/>
      <c r="H43" s="155">
        <v>58000</v>
      </c>
      <c r="I43" s="156">
        <f t="shared" ref="I43:I54" si="5">IF(H43&lt;&gt;0,J43/H43,0)</f>
        <v>2.14</v>
      </c>
      <c r="J43" s="157">
        <v>124120</v>
      </c>
      <c r="K43" s="17"/>
      <c r="L43" s="155">
        <v>58000</v>
      </c>
      <c r="M43" s="156">
        <f t="shared" ref="M43:M54" si="6">IF(L43&lt;&gt;0,N43/L43,0)</f>
        <v>0</v>
      </c>
      <c r="N43" s="157"/>
      <c r="O43" s="17"/>
      <c r="P43" s="47">
        <f t="shared" ref="P43:P54" si="7">J43+N43</f>
        <v>124120</v>
      </c>
      <c r="Q43" s="17"/>
    </row>
    <row r="44" spans="2:17" ht="15.6" x14ac:dyDescent="0.3">
      <c r="B44" s="48" t="s">
        <v>129</v>
      </c>
      <c r="C44" s="17"/>
      <c r="D44" s="155">
        <v>57077</v>
      </c>
      <c r="E44" s="156">
        <f t="shared" si="4"/>
        <v>2.6499071429822871</v>
      </c>
      <c r="F44" s="157">
        <v>151248.75</v>
      </c>
      <c r="G44" s="17"/>
      <c r="H44" s="155">
        <v>57077</v>
      </c>
      <c r="I44" s="156">
        <f t="shared" si="5"/>
        <v>2.14</v>
      </c>
      <c r="J44" s="157">
        <v>122144.78</v>
      </c>
      <c r="K44" s="17"/>
      <c r="L44" s="155">
        <v>57077</v>
      </c>
      <c r="M44" s="156">
        <f t="shared" si="6"/>
        <v>0</v>
      </c>
      <c r="N44" s="157"/>
      <c r="O44" s="17"/>
      <c r="P44" s="47">
        <f t="shared" si="7"/>
        <v>122144.78</v>
      </c>
      <c r="Q44" s="17"/>
    </row>
    <row r="45" spans="2:17" ht="15.6" x14ac:dyDescent="0.3">
      <c r="B45" s="48" t="s">
        <v>130</v>
      </c>
      <c r="C45" s="17"/>
      <c r="D45" s="155">
        <v>54073</v>
      </c>
      <c r="E45" s="156">
        <f t="shared" si="4"/>
        <v>2.6478926636214006</v>
      </c>
      <c r="F45" s="157">
        <v>143179.5</v>
      </c>
      <c r="G45" s="17"/>
      <c r="H45" s="155">
        <v>54073</v>
      </c>
      <c r="I45" s="156">
        <f t="shared" si="5"/>
        <v>2.14</v>
      </c>
      <c r="J45" s="157">
        <v>115716.22</v>
      </c>
      <c r="K45" s="17"/>
      <c r="L45" s="155">
        <v>54073</v>
      </c>
      <c r="M45" s="156">
        <f t="shared" si="6"/>
        <v>0</v>
      </c>
      <c r="N45" s="157"/>
      <c r="O45" s="17"/>
      <c r="P45" s="47">
        <f t="shared" si="7"/>
        <v>115716.22</v>
      </c>
      <c r="Q45" s="17"/>
    </row>
    <row r="46" spans="2:17" ht="15.6" x14ac:dyDescent="0.3">
      <c r="B46" s="48" t="s">
        <v>131</v>
      </c>
      <c r="C46" s="17"/>
      <c r="D46" s="155">
        <v>51275</v>
      </c>
      <c r="E46" s="156">
        <f t="shared" si="4"/>
        <v>2.639663578742077</v>
      </c>
      <c r="F46" s="157">
        <v>135348.75</v>
      </c>
      <c r="G46" s="17"/>
      <c r="H46" s="155">
        <v>51275</v>
      </c>
      <c r="I46" s="156">
        <f t="shared" si="5"/>
        <v>2.14</v>
      </c>
      <c r="J46" s="157">
        <v>109728.5</v>
      </c>
      <c r="K46" s="17"/>
      <c r="L46" s="155">
        <v>51275</v>
      </c>
      <c r="M46" s="156">
        <f t="shared" si="6"/>
        <v>0</v>
      </c>
      <c r="N46" s="157"/>
      <c r="O46" s="17"/>
      <c r="P46" s="47">
        <f t="shared" si="7"/>
        <v>109728.5</v>
      </c>
      <c r="Q46" s="17"/>
    </row>
    <row r="47" spans="2:17" ht="15.6" x14ac:dyDescent="0.3">
      <c r="B47" s="48" t="s">
        <v>132</v>
      </c>
      <c r="C47" s="17"/>
      <c r="D47" s="155">
        <v>58330</v>
      </c>
      <c r="E47" s="156">
        <f t="shared" si="4"/>
        <v>2.6499994856848965</v>
      </c>
      <c r="F47" s="157">
        <v>154574.47</v>
      </c>
      <c r="G47" s="17"/>
      <c r="H47" s="155">
        <v>58330</v>
      </c>
      <c r="I47" s="156">
        <f t="shared" si="5"/>
        <v>2.14</v>
      </c>
      <c r="J47" s="157">
        <v>124826.2</v>
      </c>
      <c r="K47" s="17"/>
      <c r="L47" s="155">
        <v>58330</v>
      </c>
      <c r="M47" s="156">
        <f t="shared" si="6"/>
        <v>0</v>
      </c>
      <c r="N47" s="157"/>
      <c r="O47" s="17"/>
      <c r="P47" s="47">
        <f t="shared" si="7"/>
        <v>124826.2</v>
      </c>
      <c r="Q47" s="17"/>
    </row>
    <row r="48" spans="2:17" ht="15.6" x14ac:dyDescent="0.3">
      <c r="B48" s="48" t="s">
        <v>133</v>
      </c>
      <c r="C48" s="17"/>
      <c r="D48" s="155">
        <v>76931</v>
      </c>
      <c r="E48" s="156">
        <f t="shared" si="4"/>
        <v>2.6465209083464405</v>
      </c>
      <c r="F48" s="157">
        <v>203599.5</v>
      </c>
      <c r="G48" s="17"/>
      <c r="H48" s="155">
        <v>76931</v>
      </c>
      <c r="I48" s="156">
        <f t="shared" si="5"/>
        <v>2.0338919291312996</v>
      </c>
      <c r="J48" s="157">
        <v>156469.34</v>
      </c>
      <c r="K48" s="17"/>
      <c r="L48" s="155">
        <v>76931</v>
      </c>
      <c r="M48" s="156">
        <f t="shared" si="6"/>
        <v>0</v>
      </c>
      <c r="N48" s="157"/>
      <c r="O48" s="17"/>
      <c r="P48" s="47">
        <f t="shared" si="7"/>
        <v>156469.34</v>
      </c>
      <c r="Q48" s="17"/>
    </row>
    <row r="49" spans="2:17" ht="15.6" x14ac:dyDescent="0.3">
      <c r="B49" s="48" t="s">
        <v>134</v>
      </c>
      <c r="C49" s="17"/>
      <c r="D49" s="155">
        <v>85319</v>
      </c>
      <c r="E49" s="156">
        <f t="shared" si="4"/>
        <v>2.65</v>
      </c>
      <c r="F49" s="157">
        <v>226095.35</v>
      </c>
      <c r="G49" s="17"/>
      <c r="H49" s="155">
        <v>85319</v>
      </c>
      <c r="I49" s="156">
        <f t="shared" si="5"/>
        <v>2.0290106541333115</v>
      </c>
      <c r="J49" s="157">
        <v>173113.16</v>
      </c>
      <c r="K49" s="17"/>
      <c r="L49" s="155">
        <v>85319</v>
      </c>
      <c r="M49" s="156">
        <f t="shared" si="6"/>
        <v>0</v>
      </c>
      <c r="N49" s="157"/>
      <c r="O49" s="17"/>
      <c r="P49" s="47">
        <f t="shared" si="7"/>
        <v>173113.16</v>
      </c>
      <c r="Q49" s="17"/>
    </row>
    <row r="50" spans="2:17" ht="15.6" x14ac:dyDescent="0.3">
      <c r="B50" s="48" t="s">
        <v>135</v>
      </c>
      <c r="C50" s="17"/>
      <c r="D50" s="155">
        <v>74706</v>
      </c>
      <c r="E50" s="156">
        <f t="shared" si="4"/>
        <v>2.6462753995662998</v>
      </c>
      <c r="F50" s="157">
        <v>197692.65</v>
      </c>
      <c r="G50" s="17"/>
      <c r="H50" s="155">
        <v>74706</v>
      </c>
      <c r="I50" s="156">
        <f t="shared" si="5"/>
        <v>2.0420560597542368</v>
      </c>
      <c r="J50" s="157">
        <v>152553.84</v>
      </c>
      <c r="K50" s="17"/>
      <c r="L50" s="155">
        <v>74706</v>
      </c>
      <c r="M50" s="156">
        <f t="shared" si="6"/>
        <v>0</v>
      </c>
      <c r="N50" s="157"/>
      <c r="O50" s="17"/>
      <c r="P50" s="47">
        <f t="shared" si="7"/>
        <v>152553.84</v>
      </c>
      <c r="Q50" s="17"/>
    </row>
    <row r="51" spans="2:17" ht="15.6" x14ac:dyDescent="0.3">
      <c r="B51" s="48" t="s">
        <v>136</v>
      </c>
      <c r="C51" s="17"/>
      <c r="D51" s="155">
        <v>71375</v>
      </c>
      <c r="E51" s="156">
        <f t="shared" si="4"/>
        <v>2.6327355516637478</v>
      </c>
      <c r="F51" s="157">
        <v>187911.5</v>
      </c>
      <c r="G51" s="17"/>
      <c r="H51" s="155">
        <v>71375</v>
      </c>
      <c r="I51" s="156">
        <f t="shared" si="5"/>
        <v>2.033660105078809</v>
      </c>
      <c r="J51" s="157">
        <v>145152.49</v>
      </c>
      <c r="K51" s="17"/>
      <c r="L51" s="155">
        <v>71375</v>
      </c>
      <c r="M51" s="156">
        <f t="shared" si="6"/>
        <v>0</v>
      </c>
      <c r="N51" s="157"/>
      <c r="O51" s="17"/>
      <c r="P51" s="47">
        <f t="shared" si="7"/>
        <v>145152.49</v>
      </c>
      <c r="Q51" s="17"/>
    </row>
    <row r="52" spans="2:17" ht="15.6" x14ac:dyDescent="0.3">
      <c r="B52" s="48" t="s">
        <v>137</v>
      </c>
      <c r="C52" s="17"/>
      <c r="D52" s="155">
        <v>63983</v>
      </c>
      <c r="E52" s="156">
        <f t="shared" si="4"/>
        <v>2.6313622368441618</v>
      </c>
      <c r="F52" s="157">
        <v>168362.45</v>
      </c>
      <c r="G52" s="17"/>
      <c r="H52" s="155">
        <v>63983</v>
      </c>
      <c r="I52" s="156">
        <f t="shared" si="5"/>
        <v>2.0307287873341355</v>
      </c>
      <c r="J52" s="157">
        <v>129932.12</v>
      </c>
      <c r="K52" s="17"/>
      <c r="L52" s="155">
        <v>63983</v>
      </c>
      <c r="M52" s="156">
        <f t="shared" si="6"/>
        <v>0</v>
      </c>
      <c r="N52" s="157"/>
      <c r="O52" s="17"/>
      <c r="P52" s="47">
        <f t="shared" si="7"/>
        <v>129932.12</v>
      </c>
      <c r="Q52" s="17"/>
    </row>
    <row r="53" spans="2:17" ht="15.6" x14ac:dyDescent="0.3">
      <c r="B53" s="48" t="s">
        <v>138</v>
      </c>
      <c r="C53" s="17"/>
      <c r="D53" s="155">
        <v>68477</v>
      </c>
      <c r="E53" s="156">
        <f t="shared" si="4"/>
        <v>2.6486068314908655</v>
      </c>
      <c r="F53" s="157">
        <v>181368.65</v>
      </c>
      <c r="G53" s="17"/>
      <c r="H53" s="155">
        <v>68477</v>
      </c>
      <c r="I53" s="156">
        <f t="shared" si="5"/>
        <v>2.0196749273478685</v>
      </c>
      <c r="J53" s="157">
        <v>138301.28</v>
      </c>
      <c r="K53" s="17"/>
      <c r="L53" s="155">
        <v>68477</v>
      </c>
      <c r="M53" s="156">
        <f t="shared" si="6"/>
        <v>0</v>
      </c>
      <c r="N53" s="157"/>
      <c r="O53" s="17"/>
      <c r="P53" s="47">
        <f t="shared" si="7"/>
        <v>138301.28</v>
      </c>
      <c r="Q53" s="17"/>
    </row>
    <row r="54" spans="2:17" ht="15.6" x14ac:dyDescent="0.3">
      <c r="B54" s="48" t="s">
        <v>139</v>
      </c>
      <c r="C54" s="17"/>
      <c r="D54" s="155">
        <v>71324</v>
      </c>
      <c r="E54" s="156">
        <f t="shared" si="4"/>
        <v>2.6477335819639953</v>
      </c>
      <c r="F54" s="157">
        <v>188846.95</v>
      </c>
      <c r="G54" s="17"/>
      <c r="H54" s="155">
        <v>71324</v>
      </c>
      <c r="I54" s="156">
        <f t="shared" si="5"/>
        <v>2.0261603387359091</v>
      </c>
      <c r="J54" s="157">
        <v>144513.85999999999</v>
      </c>
      <c r="K54" s="17"/>
      <c r="L54" s="155">
        <v>71324</v>
      </c>
      <c r="M54" s="156">
        <f t="shared" si="6"/>
        <v>0</v>
      </c>
      <c r="N54" s="157"/>
      <c r="O54" s="17"/>
      <c r="P54" s="47">
        <f t="shared" si="7"/>
        <v>144513.85999999999</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790870</v>
      </c>
      <c r="E56" s="51">
        <f>IF(D56&lt;&gt;0,F56/D56,0)</f>
        <v>2.6447225460568737</v>
      </c>
      <c r="F56" s="52">
        <f>SUM(F43:F54)</f>
        <v>2091631.7199999997</v>
      </c>
      <c r="G56" s="17"/>
      <c r="H56" s="50">
        <f>SUM(H43:H54)</f>
        <v>790870</v>
      </c>
      <c r="I56" s="51">
        <f>IF(H56&lt;&gt;0,J56/H56,0)</f>
        <v>2.0693309772781872</v>
      </c>
      <c r="J56" s="52">
        <f>SUM(J43:J54)</f>
        <v>1636571.79</v>
      </c>
      <c r="K56" s="17"/>
      <c r="L56" s="50">
        <f>SUM(L43:L54)</f>
        <v>790870</v>
      </c>
      <c r="M56" s="51">
        <f>IF(L56&lt;&gt;0,N56/L56,0)</f>
        <v>0</v>
      </c>
      <c r="N56" s="52">
        <f>SUM(N43:N54)</f>
        <v>0</v>
      </c>
      <c r="O56" s="17"/>
      <c r="P56" s="52">
        <f>SUM(P43:P54)</f>
        <v>1636571.79</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41"/>
      <c r="D58" s="173" t="s">
        <v>229</v>
      </c>
      <c r="E58" s="173"/>
      <c r="F58" s="173"/>
      <c r="G58" s="141"/>
      <c r="H58" s="173" t="s">
        <v>232</v>
      </c>
      <c r="I58" s="173"/>
      <c r="J58" s="173"/>
      <c r="K58" s="141"/>
      <c r="L58" s="173" t="s">
        <v>231</v>
      </c>
      <c r="M58" s="173"/>
      <c r="N58" s="173"/>
      <c r="O58" s="141"/>
      <c r="P58" s="142" t="s">
        <v>230</v>
      </c>
      <c r="Q58" s="17"/>
    </row>
    <row r="59" spans="2:17" ht="15.6" x14ac:dyDescent="0.3">
      <c r="B59" s="17"/>
      <c r="C59" s="17"/>
      <c r="D59" s="174"/>
      <c r="E59" s="174"/>
      <c r="F59" s="174"/>
      <c r="G59" s="44"/>
      <c r="H59" s="174"/>
      <c r="I59" s="174"/>
      <c r="J59" s="174"/>
      <c r="K59" s="44"/>
      <c r="L59" s="174"/>
      <c r="M59" s="174"/>
      <c r="N59" s="174"/>
      <c r="O59" s="44"/>
      <c r="P59" s="43"/>
      <c r="Q59" s="17"/>
    </row>
    <row r="60" spans="2:17" ht="31.2"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8">D24+D43</f>
        <v>66840</v>
      </c>
      <c r="E62" s="87">
        <f t="shared" ref="E62:E73" si="9">IF(D62&lt;&gt;0,F62/D62,0)</f>
        <v>2.7209455415918611</v>
      </c>
      <c r="F62" s="47">
        <f t="shared" ref="F62:F73" si="10">F24+F43</f>
        <v>181868</v>
      </c>
      <c r="G62" s="17"/>
      <c r="H62" s="53">
        <f t="shared" ref="H62:H73" si="11">H24+H43</f>
        <v>67347</v>
      </c>
      <c r="I62" s="87">
        <f t="shared" ref="I62:I73" si="12">IF(H62&lt;&gt;0,J62/H62,0)</f>
        <v>1.9526353066951758</v>
      </c>
      <c r="J62" s="47">
        <f t="shared" ref="J62:J73" si="13">J24+J43</f>
        <v>131504.13</v>
      </c>
      <c r="K62" s="17"/>
      <c r="L62" s="53">
        <f t="shared" ref="L62:L73" si="14">L24+L43</f>
        <v>67347</v>
      </c>
      <c r="M62" s="87">
        <f t="shared" ref="M62:M73" si="15">IF(L62&lt;&gt;0,N62/L62,0)</f>
        <v>0.24565593122188067</v>
      </c>
      <c r="N62" s="47">
        <f t="shared" ref="N62:N73" si="16">N24+N43</f>
        <v>16544.189999999999</v>
      </c>
      <c r="O62" s="17"/>
      <c r="P62" s="47">
        <f t="shared" ref="P62:P73" si="17">J62+N62</f>
        <v>148048.32000000001</v>
      </c>
      <c r="Q62" s="17"/>
    </row>
    <row r="63" spans="2:17" ht="15.6" x14ac:dyDescent="0.3">
      <c r="B63" s="48" t="s">
        <v>129</v>
      </c>
      <c r="C63" s="17"/>
      <c r="D63" s="53">
        <f t="shared" si="8"/>
        <v>65713</v>
      </c>
      <c r="E63" s="87">
        <f t="shared" si="9"/>
        <v>2.7248287249098349</v>
      </c>
      <c r="F63" s="47">
        <f t="shared" si="10"/>
        <v>179056.66999999998</v>
      </c>
      <c r="G63" s="17"/>
      <c r="H63" s="53">
        <f t="shared" si="11"/>
        <v>66140</v>
      </c>
      <c r="I63" s="87">
        <f t="shared" si="12"/>
        <v>1.9550128515270639</v>
      </c>
      <c r="J63" s="47">
        <f t="shared" si="13"/>
        <v>129304.55</v>
      </c>
      <c r="K63" s="17"/>
      <c r="L63" s="53">
        <f t="shared" si="14"/>
        <v>66140</v>
      </c>
      <c r="M63" s="87">
        <f t="shared" si="15"/>
        <v>0.24253870577562747</v>
      </c>
      <c r="N63" s="47">
        <f t="shared" si="16"/>
        <v>16041.51</v>
      </c>
      <c r="O63" s="17"/>
      <c r="P63" s="47">
        <f t="shared" si="17"/>
        <v>145346.06</v>
      </c>
      <c r="Q63" s="17"/>
    </row>
    <row r="64" spans="2:17" ht="15.6" x14ac:dyDescent="0.3">
      <c r="B64" s="48" t="s">
        <v>130</v>
      </c>
      <c r="C64" s="17"/>
      <c r="D64" s="53">
        <f t="shared" si="8"/>
        <v>68445</v>
      </c>
      <c r="E64" s="87">
        <f t="shared" si="9"/>
        <v>2.7680230842282123</v>
      </c>
      <c r="F64" s="47">
        <f t="shared" si="10"/>
        <v>189457.34</v>
      </c>
      <c r="G64" s="17"/>
      <c r="H64" s="53">
        <f t="shared" si="11"/>
        <v>70981</v>
      </c>
      <c r="I64" s="87">
        <f t="shared" si="12"/>
        <v>1.8184238035530635</v>
      </c>
      <c r="J64" s="47">
        <f t="shared" si="13"/>
        <v>129073.54000000001</v>
      </c>
      <c r="K64" s="17"/>
      <c r="L64" s="53">
        <f t="shared" si="14"/>
        <v>70981</v>
      </c>
      <c r="M64" s="87">
        <f t="shared" si="15"/>
        <v>0.42162212423042789</v>
      </c>
      <c r="N64" s="47">
        <f t="shared" si="16"/>
        <v>29927.16</v>
      </c>
      <c r="O64" s="17"/>
      <c r="P64" s="47">
        <f t="shared" si="17"/>
        <v>159000.70000000001</v>
      </c>
      <c r="Q64" s="17"/>
    </row>
    <row r="65" spans="2:17" ht="15.6" x14ac:dyDescent="0.3">
      <c r="B65" s="48" t="s">
        <v>131</v>
      </c>
      <c r="C65" s="17"/>
      <c r="D65" s="53">
        <f t="shared" si="8"/>
        <v>58829</v>
      </c>
      <c r="E65" s="87">
        <f t="shared" si="9"/>
        <v>2.7141822910469329</v>
      </c>
      <c r="F65" s="47">
        <f t="shared" si="10"/>
        <v>159672.63</v>
      </c>
      <c r="G65" s="17"/>
      <c r="H65" s="53">
        <f t="shared" si="11"/>
        <v>59280</v>
      </c>
      <c r="I65" s="87">
        <f t="shared" si="12"/>
        <v>1.9576998987854251</v>
      </c>
      <c r="J65" s="47">
        <f t="shared" si="13"/>
        <v>116052.45</v>
      </c>
      <c r="K65" s="17"/>
      <c r="L65" s="53">
        <f t="shared" si="14"/>
        <v>59280</v>
      </c>
      <c r="M65" s="87">
        <f t="shared" si="15"/>
        <v>0.23901568825910932</v>
      </c>
      <c r="N65" s="47">
        <f t="shared" si="16"/>
        <v>14168.85</v>
      </c>
      <c r="O65" s="17"/>
      <c r="P65" s="47">
        <f t="shared" si="17"/>
        <v>130221.3</v>
      </c>
      <c r="Q65" s="17"/>
    </row>
    <row r="66" spans="2:17" ht="15.6" x14ac:dyDescent="0.3">
      <c r="B66" s="48" t="s">
        <v>132</v>
      </c>
      <c r="C66" s="17"/>
      <c r="D66" s="53">
        <f t="shared" si="8"/>
        <v>67375</v>
      </c>
      <c r="E66" s="87">
        <f t="shared" si="9"/>
        <v>2.7265212615955474</v>
      </c>
      <c r="F66" s="47">
        <f t="shared" si="10"/>
        <v>183699.37</v>
      </c>
      <c r="G66" s="17"/>
      <c r="H66" s="53">
        <f t="shared" si="11"/>
        <v>67645</v>
      </c>
      <c r="I66" s="87">
        <f t="shared" si="12"/>
        <v>1.9540993421538915</v>
      </c>
      <c r="J66" s="47">
        <f t="shared" si="13"/>
        <v>132185.04999999999</v>
      </c>
      <c r="K66" s="17"/>
      <c r="L66" s="53">
        <f t="shared" si="14"/>
        <v>67645</v>
      </c>
      <c r="M66" s="87">
        <f t="shared" si="15"/>
        <v>0.24372828738265948</v>
      </c>
      <c r="N66" s="47">
        <f t="shared" si="16"/>
        <v>16487</v>
      </c>
      <c r="O66" s="17"/>
      <c r="P66" s="47">
        <f t="shared" si="17"/>
        <v>148672.04999999999</v>
      </c>
      <c r="Q66" s="17"/>
    </row>
    <row r="67" spans="2:17" ht="15.6" x14ac:dyDescent="0.3">
      <c r="B67" s="48" t="s">
        <v>133</v>
      </c>
      <c r="C67" s="17"/>
      <c r="D67" s="53">
        <f t="shared" si="8"/>
        <v>86463</v>
      </c>
      <c r="E67" s="87">
        <f t="shared" si="9"/>
        <v>2.709743358430774</v>
      </c>
      <c r="F67" s="47">
        <f t="shared" si="10"/>
        <v>234292.54</v>
      </c>
      <c r="G67" s="17"/>
      <c r="H67" s="53">
        <f t="shared" si="11"/>
        <v>86463</v>
      </c>
      <c r="I67" s="87">
        <f t="shared" si="12"/>
        <v>1.8967606953263245</v>
      </c>
      <c r="J67" s="47">
        <f t="shared" si="13"/>
        <v>163999.62</v>
      </c>
      <c r="K67" s="17"/>
      <c r="L67" s="53">
        <f t="shared" si="14"/>
        <v>86463</v>
      </c>
      <c r="M67" s="87">
        <f t="shared" si="15"/>
        <v>0.19513132785121959</v>
      </c>
      <c r="N67" s="47">
        <f t="shared" si="16"/>
        <v>16871.64</v>
      </c>
      <c r="O67" s="17"/>
      <c r="P67" s="47">
        <f t="shared" si="17"/>
        <v>180871.26</v>
      </c>
      <c r="Q67" s="17"/>
    </row>
    <row r="68" spans="2:17" ht="15.6" x14ac:dyDescent="0.3">
      <c r="B68" s="48" t="s">
        <v>134</v>
      </c>
      <c r="C68" s="17"/>
      <c r="D68" s="53">
        <f t="shared" si="8"/>
        <v>96134</v>
      </c>
      <c r="E68" s="87">
        <f t="shared" si="9"/>
        <v>2.7141245553082158</v>
      </c>
      <c r="F68" s="47">
        <f t="shared" si="10"/>
        <v>260919.65000000002</v>
      </c>
      <c r="G68" s="17"/>
      <c r="H68" s="53">
        <f t="shared" si="11"/>
        <v>96134</v>
      </c>
      <c r="I68" s="87">
        <f t="shared" si="12"/>
        <v>1.8896229221711363</v>
      </c>
      <c r="J68" s="47">
        <f t="shared" si="13"/>
        <v>181657.01</v>
      </c>
      <c r="K68" s="17"/>
      <c r="L68" s="53">
        <f t="shared" si="14"/>
        <v>96134</v>
      </c>
      <c r="M68" s="87">
        <f t="shared" si="15"/>
        <v>0.19912361911498533</v>
      </c>
      <c r="N68" s="47">
        <f t="shared" si="16"/>
        <v>19142.55</v>
      </c>
      <c r="O68" s="17"/>
      <c r="P68" s="47">
        <f t="shared" si="17"/>
        <v>200799.56</v>
      </c>
      <c r="Q68" s="17"/>
    </row>
    <row r="69" spans="2:17" ht="15.6" x14ac:dyDescent="0.3">
      <c r="B69" s="48" t="s">
        <v>135</v>
      </c>
      <c r="C69" s="17"/>
      <c r="D69" s="53">
        <f t="shared" si="8"/>
        <v>83936</v>
      </c>
      <c r="E69" s="87">
        <f t="shared" si="9"/>
        <v>2.7093648732367517</v>
      </c>
      <c r="F69" s="47">
        <f t="shared" si="10"/>
        <v>227413.25</v>
      </c>
      <c r="G69" s="17"/>
      <c r="H69" s="53">
        <f t="shared" si="11"/>
        <v>84314</v>
      </c>
      <c r="I69" s="87">
        <f t="shared" si="12"/>
        <v>1.8993780392342909</v>
      </c>
      <c r="J69" s="47">
        <f t="shared" si="13"/>
        <v>160144.16</v>
      </c>
      <c r="K69" s="17"/>
      <c r="L69" s="53">
        <f t="shared" si="14"/>
        <v>84314</v>
      </c>
      <c r="M69" s="87">
        <f t="shared" si="15"/>
        <v>0.20170031074317432</v>
      </c>
      <c r="N69" s="47">
        <f t="shared" si="16"/>
        <v>17006.16</v>
      </c>
      <c r="O69" s="17"/>
      <c r="P69" s="47">
        <f t="shared" si="17"/>
        <v>177150.32</v>
      </c>
      <c r="Q69" s="17"/>
    </row>
    <row r="70" spans="2:17" ht="15.6" x14ac:dyDescent="0.3">
      <c r="B70" s="48" t="s">
        <v>136</v>
      </c>
      <c r="C70" s="17"/>
      <c r="D70" s="53">
        <f t="shared" si="8"/>
        <v>81060</v>
      </c>
      <c r="E70" s="87">
        <f t="shared" si="9"/>
        <v>2.702901554404145</v>
      </c>
      <c r="F70" s="47">
        <f t="shared" si="10"/>
        <v>219097.2</v>
      </c>
      <c r="G70" s="17"/>
      <c r="H70" s="53">
        <f t="shared" si="11"/>
        <v>81261</v>
      </c>
      <c r="I70" s="87">
        <f t="shared" si="12"/>
        <v>1.8823596805355582</v>
      </c>
      <c r="J70" s="47">
        <f t="shared" si="13"/>
        <v>152962.43</v>
      </c>
      <c r="K70" s="17"/>
      <c r="L70" s="53">
        <f t="shared" si="14"/>
        <v>81261</v>
      </c>
      <c r="M70" s="87">
        <f t="shared" si="15"/>
        <v>0.21533355484180605</v>
      </c>
      <c r="N70" s="47">
        <f t="shared" si="16"/>
        <v>17498.22</v>
      </c>
      <c r="O70" s="17"/>
      <c r="P70" s="47">
        <f t="shared" si="17"/>
        <v>170460.65</v>
      </c>
      <c r="Q70" s="17"/>
    </row>
    <row r="71" spans="2:17" ht="15.6" x14ac:dyDescent="0.3">
      <c r="B71" s="48" t="s">
        <v>137</v>
      </c>
      <c r="C71" s="17"/>
      <c r="D71" s="53">
        <f t="shared" si="8"/>
        <v>71418</v>
      </c>
      <c r="E71" s="87">
        <f t="shared" si="9"/>
        <v>2.6926426111064439</v>
      </c>
      <c r="F71" s="47">
        <f t="shared" si="10"/>
        <v>192303.15000000002</v>
      </c>
      <c r="G71" s="17"/>
      <c r="H71" s="53">
        <f t="shared" si="11"/>
        <v>71876</v>
      </c>
      <c r="I71" s="87">
        <f t="shared" si="12"/>
        <v>1.894479242027937</v>
      </c>
      <c r="J71" s="47">
        <f t="shared" si="13"/>
        <v>136167.59</v>
      </c>
      <c r="K71" s="17"/>
      <c r="L71" s="53">
        <f t="shared" si="14"/>
        <v>71876</v>
      </c>
      <c r="M71" s="87">
        <f t="shared" si="15"/>
        <v>0.19437100005565142</v>
      </c>
      <c r="N71" s="47">
        <f t="shared" si="16"/>
        <v>13970.61</v>
      </c>
      <c r="O71" s="17"/>
      <c r="P71" s="47">
        <f t="shared" si="17"/>
        <v>150138.20000000001</v>
      </c>
      <c r="Q71" s="17"/>
    </row>
    <row r="72" spans="2:17" ht="15.6" x14ac:dyDescent="0.3">
      <c r="B72" s="48" t="s">
        <v>138</v>
      </c>
      <c r="C72" s="17"/>
      <c r="D72" s="53">
        <f t="shared" si="8"/>
        <v>76736</v>
      </c>
      <c r="E72" s="87">
        <f t="shared" si="9"/>
        <v>2.7101051657631361</v>
      </c>
      <c r="F72" s="47">
        <f t="shared" si="10"/>
        <v>207962.63</v>
      </c>
      <c r="G72" s="17"/>
      <c r="H72" s="53">
        <f t="shared" si="11"/>
        <v>77186</v>
      </c>
      <c r="I72" s="87">
        <f t="shared" si="12"/>
        <v>1.880929054491747</v>
      </c>
      <c r="J72" s="47">
        <f t="shared" si="13"/>
        <v>145181.38999999998</v>
      </c>
      <c r="K72" s="17"/>
      <c r="L72" s="53">
        <f t="shared" si="14"/>
        <v>77186</v>
      </c>
      <c r="M72" s="87">
        <f t="shared" si="15"/>
        <v>0.19971147617443577</v>
      </c>
      <c r="N72" s="47">
        <f t="shared" si="16"/>
        <v>15414.93</v>
      </c>
      <c r="O72" s="17"/>
      <c r="P72" s="47">
        <f t="shared" si="17"/>
        <v>160596.31999999998</v>
      </c>
      <c r="Q72" s="17"/>
    </row>
    <row r="73" spans="2:17" ht="15.6" x14ac:dyDescent="0.3">
      <c r="B73" s="48" t="s">
        <v>139</v>
      </c>
      <c r="C73" s="17"/>
      <c r="D73" s="53">
        <f t="shared" si="8"/>
        <v>79693</v>
      </c>
      <c r="E73" s="87">
        <f t="shared" si="9"/>
        <v>2.7078304242530713</v>
      </c>
      <c r="F73" s="47">
        <f t="shared" si="10"/>
        <v>215795.13</v>
      </c>
      <c r="G73" s="17"/>
      <c r="H73" s="53">
        <f t="shared" si="11"/>
        <v>79814</v>
      </c>
      <c r="I73" s="87">
        <f t="shared" si="12"/>
        <v>1.8945681208810483</v>
      </c>
      <c r="J73" s="47">
        <f t="shared" si="13"/>
        <v>151213.06</v>
      </c>
      <c r="K73" s="17"/>
      <c r="L73" s="53">
        <f t="shared" si="14"/>
        <v>79804</v>
      </c>
      <c r="M73" s="87">
        <f t="shared" si="15"/>
        <v>0.18808079795498972</v>
      </c>
      <c r="N73" s="47">
        <f t="shared" si="16"/>
        <v>15009.6</v>
      </c>
      <c r="O73" s="17"/>
      <c r="P73" s="47">
        <f t="shared" si="17"/>
        <v>166222.66</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902642</v>
      </c>
      <c r="E75" s="51">
        <f>IF(D75&lt;&gt;0,F75/D75,0)</f>
        <v>2.7159577772804724</v>
      </c>
      <c r="F75" s="52">
        <f>SUM(F62:F73)</f>
        <v>2451537.56</v>
      </c>
      <c r="G75" s="17"/>
      <c r="H75" s="50">
        <f>SUM(H62:H73)</f>
        <v>908441</v>
      </c>
      <c r="I75" s="51">
        <f>IF(H75&lt;&gt;0,J75/H75,0)</f>
        <v>1.9037504692104386</v>
      </c>
      <c r="J75" s="52">
        <f>SUM(J62:J73)</f>
        <v>1729444.98</v>
      </c>
      <c r="K75" s="17"/>
      <c r="L75" s="50">
        <f>SUM(L62:L73)</f>
        <v>908431</v>
      </c>
      <c r="M75" s="51">
        <f>IF(L75&lt;&gt;0,N75/L75,0)</f>
        <v>0.22905693442870181</v>
      </c>
      <c r="N75" s="52">
        <f>SUM(N62:N73)</f>
        <v>208082.42</v>
      </c>
      <c r="O75" s="17"/>
      <c r="P75" s="52">
        <f>SUM(P62:P73)</f>
        <v>1937527.4</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35" activePane="bottomLeft" state="frozenSplit"/>
      <selection activeCell="I48" sqref="I48"/>
      <selection pane="bottomLeft" activeCell="M24" sqref="M24"/>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88671875" style="19" customWidth="1"/>
    <col min="5" max="5" width="15.109375" style="19" customWidth="1"/>
    <col min="6" max="6" width="13.88671875" style="19" customWidth="1"/>
    <col min="7" max="7" width="2.88671875" style="19" customWidth="1"/>
    <col min="8" max="8" width="13.88671875" style="19" customWidth="1"/>
    <col min="9" max="9" width="10.109375" style="19" bestFit="1" customWidth="1"/>
    <col min="10" max="10" width="13.88671875" style="19" customWidth="1"/>
    <col min="11" max="11" width="3.109375" style="19" customWidth="1"/>
    <col min="12" max="12" width="13.88671875" style="19" customWidth="1"/>
    <col min="13" max="13" width="9.44140625" style="19" bestFit="1" customWidth="1"/>
    <col min="14" max="14" width="13.88671875" style="19" customWidth="1"/>
    <col min="15" max="15" width="3.6640625" style="19" customWidth="1"/>
    <col min="16" max="16" width="13.88671875" style="19" customWidth="1"/>
    <col min="17" max="16384" width="9.109375" style="19"/>
  </cols>
  <sheetData>
    <row r="13" spans="2:12" ht="34.5" customHeight="1" x14ac:dyDescent="0.25">
      <c r="B13" s="175" t="s">
        <v>234</v>
      </c>
      <c r="C13" s="175"/>
      <c r="D13" s="175"/>
      <c r="E13" s="175"/>
      <c r="F13" s="175"/>
      <c r="G13" s="175"/>
      <c r="H13" s="175"/>
      <c r="I13" s="175"/>
      <c r="J13" s="175"/>
      <c r="K13" s="175"/>
      <c r="L13" s="175"/>
    </row>
    <row r="19" spans="2:17" ht="15.6" x14ac:dyDescent="0.3">
      <c r="B19" s="17"/>
      <c r="C19" s="17"/>
      <c r="D19" s="18"/>
      <c r="E19" s="21"/>
      <c r="F19" s="17"/>
      <c r="G19" s="21"/>
      <c r="H19" s="17"/>
    </row>
    <row r="20" spans="2:17" ht="15.6" x14ac:dyDescent="0.25">
      <c r="B20" s="142" t="s">
        <v>228</v>
      </c>
      <c r="C20" s="141"/>
      <c r="D20" s="173" t="s">
        <v>229</v>
      </c>
      <c r="E20" s="173"/>
      <c r="F20" s="173"/>
      <c r="G20" s="141"/>
      <c r="H20" s="173" t="s">
        <v>232</v>
      </c>
      <c r="I20" s="173"/>
      <c r="J20" s="173"/>
      <c r="K20" s="141"/>
      <c r="L20" s="173" t="s">
        <v>231</v>
      </c>
      <c r="M20" s="173"/>
      <c r="N20" s="173"/>
      <c r="O20" s="141"/>
      <c r="P20" s="142" t="s">
        <v>230</v>
      </c>
      <c r="Q20" s="17"/>
    </row>
    <row r="21" spans="2:17" ht="15.6" x14ac:dyDescent="0.3">
      <c r="B21" s="17"/>
      <c r="C21" s="17"/>
      <c r="D21" s="174"/>
      <c r="E21" s="174"/>
      <c r="F21" s="174"/>
      <c r="G21" s="44"/>
      <c r="H21" s="174"/>
      <c r="I21" s="174"/>
      <c r="J21" s="174"/>
      <c r="K21" s="44"/>
      <c r="L21" s="174"/>
      <c r="M21" s="174"/>
      <c r="N21" s="174"/>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8840</v>
      </c>
      <c r="E24" s="89">
        <f>'5. UTRs and Sub-Transmission'!G22</f>
        <v>3.57</v>
      </c>
      <c r="F24" s="90">
        <f>D24*E24</f>
        <v>31558.799999999999</v>
      </c>
      <c r="G24" s="17"/>
      <c r="H24" s="88">
        <f>'6. Historical Wholesale'!H24</f>
        <v>9347</v>
      </c>
      <c r="I24" s="89">
        <f>'5. UTRs and Sub-Transmission'!G24</f>
        <v>0.8</v>
      </c>
      <c r="J24" s="90">
        <f>H24*I24</f>
        <v>7477.6</v>
      </c>
      <c r="K24" s="17"/>
      <c r="L24" s="88">
        <f>'6. Historical Wholesale'!L24</f>
        <v>9347</v>
      </c>
      <c r="M24" s="89">
        <f>'5. UTRs and Sub-Transmission'!G26</f>
        <v>1.86</v>
      </c>
      <c r="N24" s="90">
        <f>L24*M24</f>
        <v>17385.420000000002</v>
      </c>
      <c r="O24" s="17"/>
      <c r="P24" s="47">
        <f t="shared" ref="P24:P35" si="0">J24+N24</f>
        <v>24863.020000000004</v>
      </c>
      <c r="Q24" s="17"/>
    </row>
    <row r="25" spans="2:17" ht="15.6" x14ac:dyDescent="0.3">
      <c r="B25" s="48" t="s">
        <v>129</v>
      </c>
      <c r="C25" s="17"/>
      <c r="D25" s="88">
        <f>'6. Historical Wholesale'!D25</f>
        <v>8636</v>
      </c>
      <c r="E25" s="89">
        <f>E24</f>
        <v>3.57</v>
      </c>
      <c r="F25" s="90">
        <f t="shared" ref="F25:F35" si="1">D25*E25</f>
        <v>30830.52</v>
      </c>
      <c r="G25" s="17"/>
      <c r="H25" s="88">
        <f>'6. Historical Wholesale'!H25</f>
        <v>9063</v>
      </c>
      <c r="I25" s="89">
        <f>I24</f>
        <v>0.8</v>
      </c>
      <c r="J25" s="90">
        <f t="shared" ref="J25:J35" si="2">H25*I25</f>
        <v>7250.4000000000005</v>
      </c>
      <c r="K25" s="17"/>
      <c r="L25" s="88">
        <f>'6. Historical Wholesale'!L25</f>
        <v>9063</v>
      </c>
      <c r="M25" s="89">
        <f>M24</f>
        <v>1.86</v>
      </c>
      <c r="N25" s="90">
        <f t="shared" ref="N25:N35" si="3">L25*M25</f>
        <v>16857.18</v>
      </c>
      <c r="O25" s="17"/>
      <c r="P25" s="47">
        <f t="shared" si="0"/>
        <v>24107.58</v>
      </c>
      <c r="Q25" s="17"/>
    </row>
    <row r="26" spans="2:17" ht="15.6" x14ac:dyDescent="0.3">
      <c r="B26" s="48" t="s">
        <v>130</v>
      </c>
      <c r="C26" s="17"/>
      <c r="D26" s="88">
        <f>'6. Historical Wholesale'!D26</f>
        <v>14372</v>
      </c>
      <c r="E26" s="89">
        <f t="shared" ref="E26:E35" si="4">E25</f>
        <v>3.57</v>
      </c>
      <c r="F26" s="90">
        <f t="shared" si="1"/>
        <v>51308.04</v>
      </c>
      <c r="G26" s="17"/>
      <c r="H26" s="88">
        <f>'6. Historical Wholesale'!H26</f>
        <v>16908</v>
      </c>
      <c r="I26" s="89">
        <f t="shared" ref="I26:I35" si="5">I25</f>
        <v>0.8</v>
      </c>
      <c r="J26" s="90">
        <f t="shared" si="2"/>
        <v>13526.400000000001</v>
      </c>
      <c r="K26" s="17"/>
      <c r="L26" s="88">
        <f>'6. Historical Wholesale'!L26</f>
        <v>16908</v>
      </c>
      <c r="M26" s="89">
        <f t="shared" ref="M26:M35" si="6">M25</f>
        <v>1.86</v>
      </c>
      <c r="N26" s="90">
        <f t="shared" si="3"/>
        <v>31448.880000000001</v>
      </c>
      <c r="O26" s="17"/>
      <c r="P26" s="47">
        <f t="shared" si="0"/>
        <v>44975.28</v>
      </c>
      <c r="Q26" s="17"/>
    </row>
    <row r="27" spans="2:17" ht="15.6" x14ac:dyDescent="0.3">
      <c r="B27" s="48" t="s">
        <v>131</v>
      </c>
      <c r="C27" s="17"/>
      <c r="D27" s="88">
        <f>'6. Historical Wholesale'!D27</f>
        <v>7554</v>
      </c>
      <c r="E27" s="89">
        <f t="shared" si="4"/>
        <v>3.57</v>
      </c>
      <c r="F27" s="90">
        <f t="shared" si="1"/>
        <v>26967.78</v>
      </c>
      <c r="G27" s="17"/>
      <c r="H27" s="88">
        <f>'6. Historical Wholesale'!H27</f>
        <v>8005</v>
      </c>
      <c r="I27" s="89">
        <f t="shared" si="5"/>
        <v>0.8</v>
      </c>
      <c r="J27" s="90">
        <f t="shared" si="2"/>
        <v>6404</v>
      </c>
      <c r="K27" s="17"/>
      <c r="L27" s="88">
        <f>'6. Historical Wholesale'!L27</f>
        <v>8005</v>
      </c>
      <c r="M27" s="89">
        <f t="shared" si="6"/>
        <v>1.86</v>
      </c>
      <c r="N27" s="90">
        <f t="shared" si="3"/>
        <v>14889.300000000001</v>
      </c>
      <c r="O27" s="17"/>
      <c r="P27" s="47">
        <f t="shared" si="0"/>
        <v>21293.300000000003</v>
      </c>
      <c r="Q27" s="17"/>
    </row>
    <row r="28" spans="2:17" ht="15.6" x14ac:dyDescent="0.3">
      <c r="B28" s="48" t="s">
        <v>132</v>
      </c>
      <c r="C28" s="17"/>
      <c r="D28" s="88">
        <f>'6. Historical Wholesale'!D28</f>
        <v>9045</v>
      </c>
      <c r="E28" s="89">
        <f t="shared" si="4"/>
        <v>3.57</v>
      </c>
      <c r="F28" s="90">
        <f t="shared" si="1"/>
        <v>32290.649999999998</v>
      </c>
      <c r="G28" s="17"/>
      <c r="H28" s="88">
        <f>'6. Historical Wholesale'!H28</f>
        <v>9315</v>
      </c>
      <c r="I28" s="89">
        <f t="shared" si="5"/>
        <v>0.8</v>
      </c>
      <c r="J28" s="90">
        <f t="shared" si="2"/>
        <v>7452</v>
      </c>
      <c r="K28" s="17"/>
      <c r="L28" s="88">
        <f>'6. Historical Wholesale'!L28</f>
        <v>9315</v>
      </c>
      <c r="M28" s="89">
        <f t="shared" si="6"/>
        <v>1.86</v>
      </c>
      <c r="N28" s="90">
        <f t="shared" si="3"/>
        <v>17325.900000000001</v>
      </c>
      <c r="O28" s="17"/>
      <c r="P28" s="47">
        <f t="shared" si="0"/>
        <v>24777.9</v>
      </c>
      <c r="Q28" s="17"/>
    </row>
    <row r="29" spans="2:17" ht="15.6" x14ac:dyDescent="0.3">
      <c r="B29" s="48" t="s">
        <v>133</v>
      </c>
      <c r="C29" s="17"/>
      <c r="D29" s="88">
        <f>'6. Historical Wholesale'!D29</f>
        <v>9532</v>
      </c>
      <c r="E29" s="89">
        <f t="shared" si="4"/>
        <v>3.57</v>
      </c>
      <c r="F29" s="90">
        <f t="shared" si="1"/>
        <v>34029.24</v>
      </c>
      <c r="G29" s="17"/>
      <c r="H29" s="88">
        <f>'6. Historical Wholesale'!H29</f>
        <v>9532</v>
      </c>
      <c r="I29" s="89">
        <f t="shared" si="5"/>
        <v>0.8</v>
      </c>
      <c r="J29" s="90">
        <f t="shared" si="2"/>
        <v>7625.6</v>
      </c>
      <c r="K29" s="17"/>
      <c r="L29" s="88">
        <f>'6. Historical Wholesale'!L29</f>
        <v>9532</v>
      </c>
      <c r="M29" s="89">
        <f t="shared" si="6"/>
        <v>1.86</v>
      </c>
      <c r="N29" s="90">
        <f t="shared" si="3"/>
        <v>17729.52</v>
      </c>
      <c r="O29" s="17"/>
      <c r="P29" s="47">
        <f t="shared" si="0"/>
        <v>25355.120000000003</v>
      </c>
      <c r="Q29" s="17"/>
    </row>
    <row r="30" spans="2:17" ht="15.6" x14ac:dyDescent="0.3">
      <c r="B30" s="48" t="s">
        <v>134</v>
      </c>
      <c r="C30" s="17"/>
      <c r="D30" s="88">
        <f>'6. Historical Wholesale'!D30</f>
        <v>10815</v>
      </c>
      <c r="E30" s="89">
        <f t="shared" si="4"/>
        <v>3.57</v>
      </c>
      <c r="F30" s="90">
        <f t="shared" si="1"/>
        <v>38609.549999999996</v>
      </c>
      <c r="G30" s="17"/>
      <c r="H30" s="88">
        <f>'6. Historical Wholesale'!H30</f>
        <v>10815</v>
      </c>
      <c r="I30" s="89">
        <f t="shared" si="5"/>
        <v>0.8</v>
      </c>
      <c r="J30" s="90">
        <f t="shared" si="2"/>
        <v>8652</v>
      </c>
      <c r="K30" s="17"/>
      <c r="L30" s="88">
        <f>'6. Historical Wholesale'!L30</f>
        <v>10815</v>
      </c>
      <c r="M30" s="89">
        <f t="shared" si="6"/>
        <v>1.86</v>
      </c>
      <c r="N30" s="90">
        <f t="shared" si="3"/>
        <v>20115.900000000001</v>
      </c>
      <c r="O30" s="17"/>
      <c r="P30" s="47">
        <f t="shared" si="0"/>
        <v>28767.9</v>
      </c>
      <c r="Q30" s="17"/>
    </row>
    <row r="31" spans="2:17" ht="15.6" x14ac:dyDescent="0.3">
      <c r="B31" s="48" t="s">
        <v>135</v>
      </c>
      <c r="C31" s="17"/>
      <c r="D31" s="88">
        <f>'6. Historical Wholesale'!D31</f>
        <v>9230</v>
      </c>
      <c r="E31" s="89">
        <f t="shared" si="4"/>
        <v>3.57</v>
      </c>
      <c r="F31" s="90">
        <f t="shared" si="1"/>
        <v>32951.1</v>
      </c>
      <c r="G31" s="17"/>
      <c r="H31" s="88">
        <f>'6. Historical Wholesale'!H31</f>
        <v>9608</v>
      </c>
      <c r="I31" s="89">
        <f t="shared" si="5"/>
        <v>0.8</v>
      </c>
      <c r="J31" s="90">
        <f t="shared" si="2"/>
        <v>7686.4000000000005</v>
      </c>
      <c r="K31" s="17"/>
      <c r="L31" s="88">
        <f>'6. Historical Wholesale'!L31</f>
        <v>9608</v>
      </c>
      <c r="M31" s="89">
        <f t="shared" si="6"/>
        <v>1.86</v>
      </c>
      <c r="N31" s="90">
        <f t="shared" si="3"/>
        <v>17870.88</v>
      </c>
      <c r="O31" s="17"/>
      <c r="P31" s="47">
        <f t="shared" si="0"/>
        <v>25557.280000000002</v>
      </c>
      <c r="Q31" s="17"/>
    </row>
    <row r="32" spans="2:17" ht="15.6" x14ac:dyDescent="0.3">
      <c r="B32" s="48" t="s">
        <v>136</v>
      </c>
      <c r="C32" s="17"/>
      <c r="D32" s="88">
        <f>'6. Historical Wholesale'!D32</f>
        <v>9685</v>
      </c>
      <c r="E32" s="89">
        <f t="shared" si="4"/>
        <v>3.57</v>
      </c>
      <c r="F32" s="90">
        <f t="shared" si="1"/>
        <v>34575.449999999997</v>
      </c>
      <c r="G32" s="17"/>
      <c r="H32" s="88">
        <f>'6. Historical Wholesale'!H32</f>
        <v>9886</v>
      </c>
      <c r="I32" s="89">
        <f t="shared" si="5"/>
        <v>0.8</v>
      </c>
      <c r="J32" s="90">
        <f t="shared" si="2"/>
        <v>7908.8</v>
      </c>
      <c r="K32" s="17"/>
      <c r="L32" s="88">
        <f>'6. Historical Wholesale'!L32</f>
        <v>9886</v>
      </c>
      <c r="M32" s="89">
        <f t="shared" si="6"/>
        <v>1.86</v>
      </c>
      <c r="N32" s="90">
        <f t="shared" si="3"/>
        <v>18387.960000000003</v>
      </c>
      <c r="O32" s="17"/>
      <c r="P32" s="47">
        <f t="shared" si="0"/>
        <v>26296.760000000002</v>
      </c>
      <c r="Q32" s="17"/>
    </row>
    <row r="33" spans="2:17" ht="15.6" x14ac:dyDescent="0.3">
      <c r="B33" s="48" t="s">
        <v>137</v>
      </c>
      <c r="C33" s="17"/>
      <c r="D33" s="88">
        <f>'6. Historical Wholesale'!D33</f>
        <v>7435</v>
      </c>
      <c r="E33" s="89">
        <f t="shared" si="4"/>
        <v>3.57</v>
      </c>
      <c r="F33" s="90">
        <f t="shared" si="1"/>
        <v>26542.949999999997</v>
      </c>
      <c r="G33" s="17"/>
      <c r="H33" s="88">
        <f>'6. Historical Wholesale'!H33</f>
        <v>7893</v>
      </c>
      <c r="I33" s="89">
        <f t="shared" si="5"/>
        <v>0.8</v>
      </c>
      <c r="J33" s="90">
        <f t="shared" si="2"/>
        <v>6314.4000000000005</v>
      </c>
      <c r="K33" s="17"/>
      <c r="L33" s="88">
        <f>'6. Historical Wholesale'!L33</f>
        <v>7893</v>
      </c>
      <c r="M33" s="89">
        <f t="shared" si="6"/>
        <v>1.86</v>
      </c>
      <c r="N33" s="90">
        <f t="shared" si="3"/>
        <v>14680.980000000001</v>
      </c>
      <c r="O33" s="17"/>
      <c r="P33" s="47">
        <f t="shared" si="0"/>
        <v>20995.38</v>
      </c>
      <c r="Q33" s="17"/>
    </row>
    <row r="34" spans="2:17" ht="15.6" x14ac:dyDescent="0.3">
      <c r="B34" s="48" t="s">
        <v>138</v>
      </c>
      <c r="C34" s="17"/>
      <c r="D34" s="88">
        <f>'6. Historical Wholesale'!D34</f>
        <v>8259</v>
      </c>
      <c r="E34" s="89">
        <f t="shared" si="4"/>
        <v>3.57</v>
      </c>
      <c r="F34" s="90">
        <f t="shared" si="1"/>
        <v>29484.629999999997</v>
      </c>
      <c r="G34" s="17"/>
      <c r="H34" s="88">
        <f>'6. Historical Wholesale'!H34</f>
        <v>8709</v>
      </c>
      <c r="I34" s="89">
        <f t="shared" si="5"/>
        <v>0.8</v>
      </c>
      <c r="J34" s="90">
        <f t="shared" si="2"/>
        <v>6967.2000000000007</v>
      </c>
      <c r="K34" s="17"/>
      <c r="L34" s="88">
        <f>'6. Historical Wholesale'!L34</f>
        <v>8709</v>
      </c>
      <c r="M34" s="89">
        <f t="shared" si="6"/>
        <v>1.86</v>
      </c>
      <c r="N34" s="90">
        <f t="shared" si="3"/>
        <v>16198.740000000002</v>
      </c>
      <c r="O34" s="17"/>
      <c r="P34" s="47">
        <f t="shared" si="0"/>
        <v>23165.940000000002</v>
      </c>
      <c r="Q34" s="17"/>
    </row>
    <row r="35" spans="2:17" ht="15.6" x14ac:dyDescent="0.3">
      <c r="B35" s="48" t="s">
        <v>139</v>
      </c>
      <c r="C35" s="17"/>
      <c r="D35" s="88">
        <f>'6. Historical Wholesale'!D35</f>
        <v>8369</v>
      </c>
      <c r="E35" s="89">
        <f t="shared" si="4"/>
        <v>3.57</v>
      </c>
      <c r="F35" s="90">
        <f t="shared" si="1"/>
        <v>29877.329999999998</v>
      </c>
      <c r="G35" s="17"/>
      <c r="H35" s="88">
        <f>'6. Historical Wholesale'!H35</f>
        <v>8490</v>
      </c>
      <c r="I35" s="89">
        <f t="shared" si="5"/>
        <v>0.8</v>
      </c>
      <c r="J35" s="90">
        <f t="shared" si="2"/>
        <v>6792</v>
      </c>
      <c r="K35" s="17"/>
      <c r="L35" s="88">
        <f>'6. Historical Wholesale'!L35</f>
        <v>8480</v>
      </c>
      <c r="M35" s="89">
        <f t="shared" si="6"/>
        <v>1.86</v>
      </c>
      <c r="N35" s="90">
        <f t="shared" si="3"/>
        <v>15772.800000000001</v>
      </c>
      <c r="O35" s="17"/>
      <c r="P35" s="47">
        <f t="shared" si="0"/>
        <v>22564.800000000003</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111772</v>
      </c>
      <c r="E37" s="51">
        <f>IF(D37&lt;&gt;0,F37/D37,0)</f>
        <v>3.5700000000000003</v>
      </c>
      <c r="F37" s="52">
        <f>SUM(F24:F35)</f>
        <v>399026.04000000004</v>
      </c>
      <c r="G37" s="17"/>
      <c r="H37" s="50">
        <f>SUM(H24:H35)</f>
        <v>117571</v>
      </c>
      <c r="I37" s="51">
        <f>IF(H37&lt;&gt;0,J37/H37,0)</f>
        <v>0.79999999999999993</v>
      </c>
      <c r="J37" s="52">
        <f>SUM(J24:J35)</f>
        <v>94056.799999999988</v>
      </c>
      <c r="K37" s="17"/>
      <c r="L37" s="50">
        <f>SUM(L24:L35)</f>
        <v>117561</v>
      </c>
      <c r="M37" s="51">
        <f>IF(L37&lt;&gt;0,N37/L37,0)</f>
        <v>1.86</v>
      </c>
      <c r="N37" s="52">
        <f>SUM(N24:N35)</f>
        <v>218663.46000000002</v>
      </c>
      <c r="O37" s="17"/>
      <c r="P37" s="52">
        <f>SUM(P24:P35)</f>
        <v>312720.26</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41"/>
      <c r="D39" s="173" t="s">
        <v>229</v>
      </c>
      <c r="E39" s="173"/>
      <c r="F39" s="173"/>
      <c r="G39" s="141"/>
      <c r="H39" s="173" t="s">
        <v>232</v>
      </c>
      <c r="I39" s="173"/>
      <c r="J39" s="173"/>
      <c r="K39" s="141"/>
      <c r="L39" s="173" t="s">
        <v>231</v>
      </c>
      <c r="M39" s="173"/>
      <c r="N39" s="173"/>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58000</v>
      </c>
      <c r="E43" s="89">
        <f>'5. UTRs and Sub-Transmission'!G35+'5. UTRs and Sub-Transmission'!G49</f>
        <v>2.65</v>
      </c>
      <c r="F43" s="90">
        <f>D43*E43</f>
        <v>153700</v>
      </c>
      <c r="G43" s="17"/>
      <c r="H43" s="88">
        <f>'6. Historical Wholesale'!H43</f>
        <v>58000</v>
      </c>
      <c r="I43" s="89">
        <f>'5. UTRs and Sub-Transmission'!G37+'5. UTRs and Sub-Transmission'!G51</f>
        <v>0.64</v>
      </c>
      <c r="J43" s="90">
        <f>H43*I43</f>
        <v>37120</v>
      </c>
      <c r="K43" s="17"/>
      <c r="L43" s="88">
        <f>'6. Historical Wholesale'!L43</f>
        <v>58000</v>
      </c>
      <c r="M43" s="89">
        <f>'5. UTRs and Sub-Transmission'!G39</f>
        <v>1.5</v>
      </c>
      <c r="N43" s="90">
        <f>L43*M43</f>
        <v>87000</v>
      </c>
      <c r="O43" s="17"/>
      <c r="P43" s="47">
        <f t="shared" ref="P43:P54" si="7">J43+N43</f>
        <v>124120</v>
      </c>
      <c r="Q43" s="17"/>
    </row>
    <row r="44" spans="2:17" ht="15.6" x14ac:dyDescent="0.3">
      <c r="B44" s="48" t="s">
        <v>129</v>
      </c>
      <c r="C44" s="17"/>
      <c r="D44" s="88">
        <f>'6. Historical Wholesale'!D44</f>
        <v>57077</v>
      </c>
      <c r="E44" s="89">
        <f>E43</f>
        <v>2.65</v>
      </c>
      <c r="F44" s="90">
        <f t="shared" ref="F44:F54" si="8">D44*E44</f>
        <v>151254.04999999999</v>
      </c>
      <c r="G44" s="17"/>
      <c r="H44" s="88">
        <f>'6. Historical Wholesale'!H44</f>
        <v>57077</v>
      </c>
      <c r="I44" s="89">
        <f>I43</f>
        <v>0.64</v>
      </c>
      <c r="J44" s="90">
        <f t="shared" ref="J44:J54" si="9">H44*I44</f>
        <v>36529.279999999999</v>
      </c>
      <c r="K44" s="17"/>
      <c r="L44" s="88">
        <f>'6. Historical Wholesale'!L44</f>
        <v>57077</v>
      </c>
      <c r="M44" s="89">
        <f>M43</f>
        <v>1.5</v>
      </c>
      <c r="N44" s="90">
        <f t="shared" ref="N44:N54" si="10">L44*M44</f>
        <v>85615.5</v>
      </c>
      <c r="O44" s="17"/>
      <c r="P44" s="47">
        <f t="shared" si="7"/>
        <v>122144.78</v>
      </c>
      <c r="Q44" s="17"/>
    </row>
    <row r="45" spans="2:17" ht="15.6" x14ac:dyDescent="0.3">
      <c r="B45" s="48" t="s">
        <v>130</v>
      </c>
      <c r="C45" s="17"/>
      <c r="D45" s="88">
        <f>'6. Historical Wholesale'!D45</f>
        <v>54073</v>
      </c>
      <c r="E45" s="89">
        <f t="shared" ref="E45:E54" si="11">E44</f>
        <v>2.65</v>
      </c>
      <c r="F45" s="90">
        <f t="shared" si="8"/>
        <v>143293.44999999998</v>
      </c>
      <c r="G45" s="17"/>
      <c r="H45" s="88">
        <f>'6. Historical Wholesale'!H45</f>
        <v>54073</v>
      </c>
      <c r="I45" s="89">
        <f t="shared" ref="I45:I54" si="12">I44</f>
        <v>0.64</v>
      </c>
      <c r="J45" s="90">
        <f t="shared" si="9"/>
        <v>34606.720000000001</v>
      </c>
      <c r="K45" s="17"/>
      <c r="L45" s="88">
        <f>'6. Historical Wholesale'!L45</f>
        <v>54073</v>
      </c>
      <c r="M45" s="89">
        <f>M44</f>
        <v>1.5</v>
      </c>
      <c r="N45" s="90">
        <f t="shared" si="10"/>
        <v>81109.5</v>
      </c>
      <c r="O45" s="17"/>
      <c r="P45" s="47">
        <f t="shared" si="7"/>
        <v>115716.22</v>
      </c>
      <c r="Q45" s="17"/>
    </row>
    <row r="46" spans="2:17" ht="15.6" x14ac:dyDescent="0.3">
      <c r="B46" s="48" t="s">
        <v>131</v>
      </c>
      <c r="C46" s="17"/>
      <c r="D46" s="88">
        <f>'6. Historical Wholesale'!D46</f>
        <v>51275</v>
      </c>
      <c r="E46" s="89">
        <f t="shared" si="11"/>
        <v>2.65</v>
      </c>
      <c r="F46" s="90">
        <f t="shared" si="8"/>
        <v>135878.75</v>
      </c>
      <c r="G46" s="17"/>
      <c r="H46" s="88">
        <f>'6. Historical Wholesale'!H46</f>
        <v>51275</v>
      </c>
      <c r="I46" s="89">
        <f t="shared" si="12"/>
        <v>0.64</v>
      </c>
      <c r="J46" s="90">
        <f t="shared" si="9"/>
        <v>32816</v>
      </c>
      <c r="K46" s="17"/>
      <c r="L46" s="88">
        <f>'6. Historical Wholesale'!L46</f>
        <v>51275</v>
      </c>
      <c r="M46" s="89">
        <f t="shared" ref="M46:M54" si="13">M45</f>
        <v>1.5</v>
      </c>
      <c r="N46" s="90">
        <f t="shared" si="10"/>
        <v>76912.5</v>
      </c>
      <c r="O46" s="17"/>
      <c r="P46" s="47">
        <f t="shared" si="7"/>
        <v>109728.5</v>
      </c>
      <c r="Q46" s="17"/>
    </row>
    <row r="47" spans="2:17" ht="15.6" x14ac:dyDescent="0.3">
      <c r="B47" s="48" t="s">
        <v>132</v>
      </c>
      <c r="C47" s="17"/>
      <c r="D47" s="88">
        <f>'6. Historical Wholesale'!D47</f>
        <v>58330</v>
      </c>
      <c r="E47" s="89">
        <f t="shared" si="11"/>
        <v>2.65</v>
      </c>
      <c r="F47" s="90">
        <f t="shared" si="8"/>
        <v>154574.5</v>
      </c>
      <c r="G47" s="17"/>
      <c r="H47" s="88">
        <f>'6. Historical Wholesale'!H47</f>
        <v>58330</v>
      </c>
      <c r="I47" s="89">
        <f t="shared" si="12"/>
        <v>0.64</v>
      </c>
      <c r="J47" s="90">
        <f t="shared" si="9"/>
        <v>37331.200000000004</v>
      </c>
      <c r="K47" s="17"/>
      <c r="L47" s="88">
        <f>'6. Historical Wholesale'!L47</f>
        <v>58330</v>
      </c>
      <c r="M47" s="89">
        <f t="shared" si="13"/>
        <v>1.5</v>
      </c>
      <c r="N47" s="90">
        <f t="shared" si="10"/>
        <v>87495</v>
      </c>
      <c r="O47" s="17"/>
      <c r="P47" s="47">
        <f t="shared" si="7"/>
        <v>124826.20000000001</v>
      </c>
      <c r="Q47" s="17"/>
    </row>
    <row r="48" spans="2:17" ht="15.6" x14ac:dyDescent="0.3">
      <c r="B48" s="48" t="s">
        <v>133</v>
      </c>
      <c r="C48" s="17"/>
      <c r="D48" s="88">
        <f>'6. Historical Wholesale'!D48</f>
        <v>76931</v>
      </c>
      <c r="E48" s="89">
        <f t="shared" si="11"/>
        <v>2.65</v>
      </c>
      <c r="F48" s="90">
        <f t="shared" si="8"/>
        <v>203867.15</v>
      </c>
      <c r="G48" s="17"/>
      <c r="H48" s="88">
        <f>'6. Historical Wholesale'!H48</f>
        <v>76931</v>
      </c>
      <c r="I48" s="89">
        <f t="shared" si="12"/>
        <v>0.64</v>
      </c>
      <c r="J48" s="90">
        <f t="shared" si="9"/>
        <v>49235.840000000004</v>
      </c>
      <c r="K48" s="17"/>
      <c r="L48" s="88">
        <f>'6. Historical Wholesale'!L48</f>
        <v>76931</v>
      </c>
      <c r="M48" s="89">
        <f t="shared" si="13"/>
        <v>1.5</v>
      </c>
      <c r="N48" s="90">
        <f t="shared" si="10"/>
        <v>115396.5</v>
      </c>
      <c r="O48" s="17"/>
      <c r="P48" s="47">
        <f t="shared" si="7"/>
        <v>164632.34</v>
      </c>
      <c r="Q48" s="17"/>
    </row>
    <row r="49" spans="2:17" ht="15.6" x14ac:dyDescent="0.3">
      <c r="B49" s="48" t="s">
        <v>134</v>
      </c>
      <c r="C49" s="17"/>
      <c r="D49" s="88">
        <f>'6. Historical Wholesale'!D49</f>
        <v>85319</v>
      </c>
      <c r="E49" s="89">
        <f t="shared" si="11"/>
        <v>2.65</v>
      </c>
      <c r="F49" s="90">
        <f t="shared" si="8"/>
        <v>226095.35</v>
      </c>
      <c r="G49" s="17"/>
      <c r="H49" s="88">
        <f>'6. Historical Wholesale'!H49</f>
        <v>85319</v>
      </c>
      <c r="I49" s="89">
        <f t="shared" si="12"/>
        <v>0.64</v>
      </c>
      <c r="J49" s="90">
        <f t="shared" si="9"/>
        <v>54604.160000000003</v>
      </c>
      <c r="K49" s="17"/>
      <c r="L49" s="88">
        <f>'6. Historical Wholesale'!L49</f>
        <v>85319</v>
      </c>
      <c r="M49" s="89">
        <f t="shared" si="13"/>
        <v>1.5</v>
      </c>
      <c r="N49" s="90">
        <f t="shared" si="10"/>
        <v>127978.5</v>
      </c>
      <c r="O49" s="17"/>
      <c r="P49" s="47">
        <f t="shared" si="7"/>
        <v>182582.66</v>
      </c>
      <c r="Q49" s="17"/>
    </row>
    <row r="50" spans="2:17" ht="15.6" x14ac:dyDescent="0.3">
      <c r="B50" s="48" t="s">
        <v>135</v>
      </c>
      <c r="C50" s="17"/>
      <c r="D50" s="88">
        <f>'6. Historical Wholesale'!D50</f>
        <v>74706</v>
      </c>
      <c r="E50" s="89">
        <f t="shared" si="11"/>
        <v>2.65</v>
      </c>
      <c r="F50" s="90">
        <f t="shared" si="8"/>
        <v>197970.9</v>
      </c>
      <c r="G50" s="17"/>
      <c r="H50" s="88">
        <f>'6. Historical Wholesale'!H50</f>
        <v>74706</v>
      </c>
      <c r="I50" s="89">
        <f t="shared" si="12"/>
        <v>0.64</v>
      </c>
      <c r="J50" s="90">
        <f t="shared" si="9"/>
        <v>47811.840000000004</v>
      </c>
      <c r="K50" s="17"/>
      <c r="L50" s="88">
        <f>'6. Historical Wholesale'!L50</f>
        <v>74706</v>
      </c>
      <c r="M50" s="89">
        <f t="shared" si="13"/>
        <v>1.5</v>
      </c>
      <c r="N50" s="90">
        <f t="shared" si="10"/>
        <v>112059</v>
      </c>
      <c r="O50" s="17"/>
      <c r="P50" s="47">
        <f t="shared" si="7"/>
        <v>159870.84</v>
      </c>
      <c r="Q50" s="17"/>
    </row>
    <row r="51" spans="2:17" ht="15.6" x14ac:dyDescent="0.3">
      <c r="B51" s="48" t="s">
        <v>136</v>
      </c>
      <c r="C51" s="17"/>
      <c r="D51" s="88">
        <f>'6. Historical Wholesale'!D51</f>
        <v>71375</v>
      </c>
      <c r="E51" s="89">
        <f t="shared" si="11"/>
        <v>2.65</v>
      </c>
      <c r="F51" s="90">
        <f t="shared" si="8"/>
        <v>189143.75</v>
      </c>
      <c r="G51" s="17"/>
      <c r="H51" s="88">
        <f>'6. Historical Wholesale'!H51</f>
        <v>71375</v>
      </c>
      <c r="I51" s="89">
        <f t="shared" si="12"/>
        <v>0.64</v>
      </c>
      <c r="J51" s="90">
        <f t="shared" si="9"/>
        <v>45680</v>
      </c>
      <c r="K51" s="17"/>
      <c r="L51" s="88">
        <f>'6. Historical Wholesale'!L51</f>
        <v>71375</v>
      </c>
      <c r="M51" s="89">
        <f t="shared" si="13"/>
        <v>1.5</v>
      </c>
      <c r="N51" s="90">
        <f t="shared" si="10"/>
        <v>107062.5</v>
      </c>
      <c r="O51" s="17"/>
      <c r="P51" s="47">
        <f t="shared" si="7"/>
        <v>152742.5</v>
      </c>
      <c r="Q51" s="17"/>
    </row>
    <row r="52" spans="2:17" ht="15.6" x14ac:dyDescent="0.3">
      <c r="B52" s="48" t="s">
        <v>137</v>
      </c>
      <c r="C52" s="17"/>
      <c r="D52" s="88">
        <f>'6. Historical Wholesale'!D52</f>
        <v>63983</v>
      </c>
      <c r="E52" s="89">
        <f t="shared" si="11"/>
        <v>2.65</v>
      </c>
      <c r="F52" s="90">
        <f t="shared" si="8"/>
        <v>169554.94999999998</v>
      </c>
      <c r="G52" s="17"/>
      <c r="H52" s="88">
        <f>'6. Historical Wholesale'!H52</f>
        <v>63983</v>
      </c>
      <c r="I52" s="89">
        <f t="shared" si="12"/>
        <v>0.64</v>
      </c>
      <c r="J52" s="90">
        <f t="shared" si="9"/>
        <v>40949.120000000003</v>
      </c>
      <c r="K52" s="17"/>
      <c r="L52" s="88">
        <f>'6. Historical Wholesale'!L52</f>
        <v>63983</v>
      </c>
      <c r="M52" s="89">
        <f t="shared" si="13"/>
        <v>1.5</v>
      </c>
      <c r="N52" s="90">
        <f t="shared" si="10"/>
        <v>95974.5</v>
      </c>
      <c r="O52" s="17"/>
      <c r="P52" s="47">
        <f t="shared" si="7"/>
        <v>136923.62</v>
      </c>
      <c r="Q52" s="17"/>
    </row>
    <row r="53" spans="2:17" ht="15.6" x14ac:dyDescent="0.3">
      <c r="B53" s="48" t="s">
        <v>138</v>
      </c>
      <c r="C53" s="17"/>
      <c r="D53" s="88">
        <f>'6. Historical Wholesale'!D53</f>
        <v>68477</v>
      </c>
      <c r="E53" s="89">
        <f t="shared" si="11"/>
        <v>2.65</v>
      </c>
      <c r="F53" s="90">
        <f t="shared" si="8"/>
        <v>181464.05</v>
      </c>
      <c r="G53" s="17"/>
      <c r="H53" s="88">
        <f>'6. Historical Wholesale'!H53</f>
        <v>68477</v>
      </c>
      <c r="I53" s="89">
        <f t="shared" si="12"/>
        <v>0.64</v>
      </c>
      <c r="J53" s="90">
        <f t="shared" si="9"/>
        <v>43825.279999999999</v>
      </c>
      <c r="K53" s="17"/>
      <c r="L53" s="88">
        <f>'6. Historical Wholesale'!L53</f>
        <v>68477</v>
      </c>
      <c r="M53" s="89">
        <f t="shared" si="13"/>
        <v>1.5</v>
      </c>
      <c r="N53" s="90">
        <f t="shared" si="10"/>
        <v>102715.5</v>
      </c>
      <c r="O53" s="17"/>
      <c r="P53" s="47">
        <f t="shared" si="7"/>
        <v>146540.78</v>
      </c>
      <c r="Q53" s="17"/>
    </row>
    <row r="54" spans="2:17" ht="15.6" x14ac:dyDescent="0.3">
      <c r="B54" s="48" t="s">
        <v>139</v>
      </c>
      <c r="C54" s="17"/>
      <c r="D54" s="88">
        <f>'6. Historical Wholesale'!D54</f>
        <v>71324</v>
      </c>
      <c r="E54" s="89">
        <f t="shared" si="11"/>
        <v>2.65</v>
      </c>
      <c r="F54" s="90">
        <f t="shared" si="8"/>
        <v>189008.6</v>
      </c>
      <c r="G54" s="17"/>
      <c r="H54" s="88">
        <f>'6. Historical Wholesale'!H54</f>
        <v>71324</v>
      </c>
      <c r="I54" s="89">
        <f t="shared" si="12"/>
        <v>0.64</v>
      </c>
      <c r="J54" s="90">
        <f t="shared" si="9"/>
        <v>45647.360000000001</v>
      </c>
      <c r="K54" s="17"/>
      <c r="L54" s="88">
        <f>'6. Historical Wholesale'!L54</f>
        <v>71324</v>
      </c>
      <c r="M54" s="89">
        <f t="shared" si="13"/>
        <v>1.5</v>
      </c>
      <c r="N54" s="90">
        <f t="shared" si="10"/>
        <v>106986</v>
      </c>
      <c r="O54" s="17"/>
      <c r="P54" s="47">
        <f t="shared" si="7"/>
        <v>152633.35999999999</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790870</v>
      </c>
      <c r="E56" s="51">
        <f>IF(D56&lt;&gt;0,F56/D56,0)</f>
        <v>2.65</v>
      </c>
      <c r="F56" s="52">
        <f>SUM(F43:F54)</f>
        <v>2095805.5</v>
      </c>
      <c r="G56" s="17"/>
      <c r="H56" s="50">
        <f>SUM(H43:H54)</f>
        <v>790870</v>
      </c>
      <c r="I56" s="51">
        <f>IF(H56&lt;&gt;0,J56/H56,0)</f>
        <v>0.64</v>
      </c>
      <c r="J56" s="52">
        <f>SUM(J43:J54)</f>
        <v>506156.80000000005</v>
      </c>
      <c r="K56" s="17"/>
      <c r="L56" s="50">
        <f>SUM(L43:L54)</f>
        <v>790870</v>
      </c>
      <c r="M56" s="51">
        <f>IF(L56&lt;&gt;0,N56/L56,0)</f>
        <v>1.5</v>
      </c>
      <c r="N56" s="52">
        <f>SUM(N43:N54)</f>
        <v>1186305</v>
      </c>
      <c r="O56" s="17"/>
      <c r="P56" s="52">
        <f>SUM(P43:P54)</f>
        <v>1692461.8000000003</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41"/>
      <c r="D58" s="173" t="s">
        <v>229</v>
      </c>
      <c r="E58" s="173"/>
      <c r="F58" s="173"/>
      <c r="G58" s="141"/>
      <c r="H58" s="173" t="s">
        <v>232</v>
      </c>
      <c r="I58" s="173"/>
      <c r="J58" s="173"/>
      <c r="K58" s="141"/>
      <c r="L58" s="173" t="s">
        <v>231</v>
      </c>
      <c r="M58" s="173"/>
      <c r="N58" s="173"/>
      <c r="O58" s="141"/>
      <c r="P58" s="142" t="s">
        <v>230</v>
      </c>
      <c r="Q58" s="17"/>
    </row>
    <row r="59" spans="2:17" ht="15.6" x14ac:dyDescent="0.3">
      <c r="B59" s="17"/>
      <c r="C59" s="17"/>
      <c r="D59" s="174"/>
      <c r="E59" s="174"/>
      <c r="F59" s="174"/>
      <c r="G59" s="44"/>
      <c r="H59" s="174"/>
      <c r="I59" s="174"/>
      <c r="J59" s="174"/>
      <c r="K59" s="44"/>
      <c r="L59" s="174"/>
      <c r="M59" s="174"/>
      <c r="N59" s="174"/>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66840</v>
      </c>
      <c r="E62" s="54">
        <f t="shared" ref="E62:E73" si="15">IF(D62&lt;&gt;0,F62/D62,0)</f>
        <v>2.7716756433273488</v>
      </c>
      <c r="F62" s="47">
        <f t="shared" ref="F62:F73" si="16">F24+F43</f>
        <v>185258.8</v>
      </c>
      <c r="G62" s="17"/>
      <c r="H62" s="53">
        <f t="shared" ref="H62:H73" si="17">H24+H43</f>
        <v>67347</v>
      </c>
      <c r="I62" s="54">
        <f t="shared" ref="I62:I73" si="18">IF(H62&lt;&gt;0,J62/H62,0)</f>
        <v>0.66220618587316438</v>
      </c>
      <c r="J62" s="47">
        <f t="shared" ref="J62:J73" si="19">J24+J43</f>
        <v>44597.599999999999</v>
      </c>
      <c r="K62" s="17"/>
      <c r="L62" s="53">
        <f t="shared" ref="L62:L73" si="20">L24+L43</f>
        <v>67347</v>
      </c>
      <c r="M62" s="54">
        <f t="shared" ref="M62:M73" si="21">IF(L62&lt;&gt;0,N62/L62,0)</f>
        <v>1.5499639182146199</v>
      </c>
      <c r="N62" s="47">
        <f t="shared" ref="N62:N73" si="22">N24+N43</f>
        <v>104385.42</v>
      </c>
      <c r="O62" s="17"/>
      <c r="P62" s="47">
        <f t="shared" ref="P62:P73" si="23">J62+N62</f>
        <v>148983.01999999999</v>
      </c>
      <c r="Q62" s="17"/>
    </row>
    <row r="63" spans="2:17" ht="15.6" x14ac:dyDescent="0.3">
      <c r="B63" s="48" t="s">
        <v>129</v>
      </c>
      <c r="C63" s="17"/>
      <c r="D63" s="53">
        <f t="shared" si="14"/>
        <v>65713</v>
      </c>
      <c r="E63" s="54">
        <f t="shared" si="15"/>
        <v>2.770906365559326</v>
      </c>
      <c r="F63" s="47">
        <f t="shared" si="16"/>
        <v>182084.56999999998</v>
      </c>
      <c r="G63" s="17"/>
      <c r="H63" s="53">
        <f t="shared" si="17"/>
        <v>66140</v>
      </c>
      <c r="I63" s="54">
        <f t="shared" si="18"/>
        <v>0.66192440278197762</v>
      </c>
      <c r="J63" s="47">
        <f t="shared" si="19"/>
        <v>43779.68</v>
      </c>
      <c r="K63" s="17"/>
      <c r="L63" s="53">
        <f t="shared" si="20"/>
        <v>66140</v>
      </c>
      <c r="M63" s="54">
        <f t="shared" si="21"/>
        <v>1.5493299062594494</v>
      </c>
      <c r="N63" s="47">
        <f t="shared" si="22"/>
        <v>102472.68</v>
      </c>
      <c r="O63" s="17"/>
      <c r="P63" s="47">
        <f t="shared" si="23"/>
        <v>146252.35999999999</v>
      </c>
      <c r="Q63" s="17"/>
    </row>
    <row r="64" spans="2:17" ht="15.6" x14ac:dyDescent="0.3">
      <c r="B64" s="48" t="s">
        <v>130</v>
      </c>
      <c r="C64" s="17"/>
      <c r="D64" s="53">
        <f t="shared" si="14"/>
        <v>68445</v>
      </c>
      <c r="E64" s="54">
        <f t="shared" si="15"/>
        <v>2.8431805098984584</v>
      </c>
      <c r="F64" s="47">
        <f t="shared" si="16"/>
        <v>194601.49</v>
      </c>
      <c r="G64" s="17"/>
      <c r="H64" s="53">
        <f t="shared" si="17"/>
        <v>70981</v>
      </c>
      <c r="I64" s="54">
        <f t="shared" si="18"/>
        <v>0.678112734393711</v>
      </c>
      <c r="J64" s="47">
        <f t="shared" si="19"/>
        <v>48133.120000000003</v>
      </c>
      <c r="K64" s="17"/>
      <c r="L64" s="53">
        <f t="shared" si="20"/>
        <v>70981</v>
      </c>
      <c r="M64" s="54">
        <f t="shared" si="21"/>
        <v>1.5857536523858498</v>
      </c>
      <c r="N64" s="47">
        <f t="shared" si="22"/>
        <v>112558.38</v>
      </c>
      <c r="O64" s="17"/>
      <c r="P64" s="47">
        <f t="shared" si="23"/>
        <v>160691.5</v>
      </c>
      <c r="Q64" s="17"/>
    </row>
    <row r="65" spans="2:17" ht="15.6" x14ac:dyDescent="0.3">
      <c r="B65" s="48" t="s">
        <v>131</v>
      </c>
      <c r="C65" s="17"/>
      <c r="D65" s="53">
        <f t="shared" si="14"/>
        <v>58829</v>
      </c>
      <c r="E65" s="54">
        <f t="shared" si="15"/>
        <v>2.7681335735776571</v>
      </c>
      <c r="F65" s="47">
        <f t="shared" si="16"/>
        <v>162846.53</v>
      </c>
      <c r="G65" s="17"/>
      <c r="H65" s="53">
        <f t="shared" si="17"/>
        <v>59280</v>
      </c>
      <c r="I65" s="54">
        <f t="shared" si="18"/>
        <v>0.66160593792172739</v>
      </c>
      <c r="J65" s="47">
        <f t="shared" si="19"/>
        <v>39220</v>
      </c>
      <c r="K65" s="17"/>
      <c r="L65" s="53">
        <f t="shared" si="20"/>
        <v>59280</v>
      </c>
      <c r="M65" s="54">
        <f t="shared" si="21"/>
        <v>1.5486133603238867</v>
      </c>
      <c r="N65" s="47">
        <f t="shared" si="22"/>
        <v>91801.8</v>
      </c>
      <c r="O65" s="17"/>
      <c r="P65" s="47">
        <f t="shared" si="23"/>
        <v>131021.8</v>
      </c>
      <c r="Q65" s="17"/>
    </row>
    <row r="66" spans="2:17" ht="15.6" x14ac:dyDescent="0.3">
      <c r="B66" s="48" t="s">
        <v>132</v>
      </c>
      <c r="C66" s="17"/>
      <c r="D66" s="53">
        <f t="shared" si="14"/>
        <v>67375</v>
      </c>
      <c r="E66" s="54">
        <f t="shared" si="15"/>
        <v>2.7735087198515771</v>
      </c>
      <c r="F66" s="47">
        <f t="shared" si="16"/>
        <v>186865.15</v>
      </c>
      <c r="G66" s="17"/>
      <c r="H66" s="53">
        <f t="shared" si="17"/>
        <v>67645</v>
      </c>
      <c r="I66" s="54">
        <f t="shared" si="18"/>
        <v>0.66203267055953885</v>
      </c>
      <c r="J66" s="47">
        <f t="shared" si="19"/>
        <v>44783.200000000004</v>
      </c>
      <c r="K66" s="17"/>
      <c r="L66" s="53">
        <f t="shared" si="20"/>
        <v>67645</v>
      </c>
      <c r="M66" s="54">
        <f t="shared" si="21"/>
        <v>1.5495735087589622</v>
      </c>
      <c r="N66" s="47">
        <f t="shared" si="22"/>
        <v>104820.9</v>
      </c>
      <c r="O66" s="17"/>
      <c r="P66" s="47">
        <f t="shared" si="23"/>
        <v>149604.1</v>
      </c>
      <c r="Q66" s="17"/>
    </row>
    <row r="67" spans="2:17" ht="15.6" x14ac:dyDescent="0.3">
      <c r="B67" s="48" t="s">
        <v>133</v>
      </c>
      <c r="C67" s="17"/>
      <c r="D67" s="53">
        <f t="shared" si="14"/>
        <v>86463</v>
      </c>
      <c r="E67" s="54">
        <f t="shared" si="15"/>
        <v>2.7514241930074133</v>
      </c>
      <c r="F67" s="47">
        <f t="shared" si="16"/>
        <v>237896.38999999998</v>
      </c>
      <c r="G67" s="17"/>
      <c r="H67" s="53">
        <f t="shared" si="17"/>
        <v>86463</v>
      </c>
      <c r="I67" s="54">
        <f t="shared" si="18"/>
        <v>0.65763899008824589</v>
      </c>
      <c r="J67" s="47">
        <f t="shared" si="19"/>
        <v>56861.440000000002</v>
      </c>
      <c r="K67" s="17"/>
      <c r="L67" s="53">
        <f t="shared" si="20"/>
        <v>86463</v>
      </c>
      <c r="M67" s="54">
        <f t="shared" si="21"/>
        <v>1.539687727698553</v>
      </c>
      <c r="N67" s="47">
        <f t="shared" si="22"/>
        <v>133126.01999999999</v>
      </c>
      <c r="O67" s="17"/>
      <c r="P67" s="47">
        <f t="shared" si="23"/>
        <v>189987.46</v>
      </c>
      <c r="Q67" s="17"/>
    </row>
    <row r="68" spans="2:17" ht="15.6" x14ac:dyDescent="0.3">
      <c r="B68" s="48" t="s">
        <v>134</v>
      </c>
      <c r="C68" s="17"/>
      <c r="D68" s="53">
        <f t="shared" si="14"/>
        <v>96134</v>
      </c>
      <c r="E68" s="54">
        <f t="shared" si="15"/>
        <v>2.7534992822518571</v>
      </c>
      <c r="F68" s="47">
        <f t="shared" si="16"/>
        <v>264704.90000000002</v>
      </c>
      <c r="G68" s="17"/>
      <c r="H68" s="53">
        <f t="shared" si="17"/>
        <v>96134</v>
      </c>
      <c r="I68" s="54">
        <f t="shared" si="18"/>
        <v>0.65799987517423597</v>
      </c>
      <c r="J68" s="47">
        <f t="shared" si="19"/>
        <v>63256.160000000003</v>
      </c>
      <c r="K68" s="17"/>
      <c r="L68" s="53">
        <f t="shared" si="20"/>
        <v>96134</v>
      </c>
      <c r="M68" s="54">
        <f t="shared" si="21"/>
        <v>1.5404997191420309</v>
      </c>
      <c r="N68" s="47">
        <f t="shared" si="22"/>
        <v>148094.39999999999</v>
      </c>
      <c r="O68" s="17"/>
      <c r="P68" s="47">
        <f t="shared" si="23"/>
        <v>211350.56</v>
      </c>
      <c r="Q68" s="17"/>
    </row>
    <row r="69" spans="2:17" ht="15.6" x14ac:dyDescent="0.3">
      <c r="B69" s="48" t="s">
        <v>135</v>
      </c>
      <c r="C69" s="17"/>
      <c r="D69" s="53">
        <f t="shared" si="14"/>
        <v>83936</v>
      </c>
      <c r="E69" s="54">
        <f t="shared" si="15"/>
        <v>2.7511675562333204</v>
      </c>
      <c r="F69" s="47">
        <f t="shared" si="16"/>
        <v>230922</v>
      </c>
      <c r="G69" s="17"/>
      <c r="H69" s="53">
        <f t="shared" si="17"/>
        <v>84314</v>
      </c>
      <c r="I69" s="54">
        <f t="shared" si="18"/>
        <v>0.65823279645136046</v>
      </c>
      <c r="J69" s="47">
        <f t="shared" si="19"/>
        <v>55498.240000000005</v>
      </c>
      <c r="K69" s="17"/>
      <c r="L69" s="53">
        <f t="shared" si="20"/>
        <v>84314</v>
      </c>
      <c r="M69" s="54">
        <f t="shared" si="21"/>
        <v>1.5410237920155609</v>
      </c>
      <c r="N69" s="47">
        <f t="shared" si="22"/>
        <v>129929.88</v>
      </c>
      <c r="O69" s="17"/>
      <c r="P69" s="47">
        <f t="shared" si="23"/>
        <v>185428.12</v>
      </c>
      <c r="Q69" s="17"/>
    </row>
    <row r="70" spans="2:17" ht="15.6" x14ac:dyDescent="0.3">
      <c r="B70" s="48" t="s">
        <v>136</v>
      </c>
      <c r="C70" s="17"/>
      <c r="D70" s="53">
        <f t="shared" si="14"/>
        <v>81060</v>
      </c>
      <c r="E70" s="54">
        <f t="shared" si="15"/>
        <v>2.759921046138663</v>
      </c>
      <c r="F70" s="47">
        <f t="shared" si="16"/>
        <v>223719.2</v>
      </c>
      <c r="G70" s="17"/>
      <c r="H70" s="53">
        <f t="shared" si="17"/>
        <v>81261</v>
      </c>
      <c r="I70" s="54">
        <f t="shared" si="18"/>
        <v>0.65946518009869437</v>
      </c>
      <c r="J70" s="47">
        <f t="shared" si="19"/>
        <v>53588.800000000003</v>
      </c>
      <c r="K70" s="17"/>
      <c r="L70" s="53">
        <f t="shared" si="20"/>
        <v>81261</v>
      </c>
      <c r="M70" s="54">
        <f t="shared" si="21"/>
        <v>1.5437966552220623</v>
      </c>
      <c r="N70" s="47">
        <f t="shared" si="22"/>
        <v>125450.46</v>
      </c>
      <c r="O70" s="17"/>
      <c r="P70" s="47">
        <f t="shared" si="23"/>
        <v>179039.26</v>
      </c>
      <c r="Q70" s="17"/>
    </row>
    <row r="71" spans="2:17" ht="15.6" x14ac:dyDescent="0.3">
      <c r="B71" s="48" t="s">
        <v>137</v>
      </c>
      <c r="C71" s="17"/>
      <c r="D71" s="53">
        <f t="shared" si="14"/>
        <v>71418</v>
      </c>
      <c r="E71" s="54">
        <f t="shared" si="15"/>
        <v>2.7457769749922982</v>
      </c>
      <c r="F71" s="47">
        <f t="shared" si="16"/>
        <v>196097.89999999997</v>
      </c>
      <c r="G71" s="17"/>
      <c r="H71" s="53">
        <f t="shared" si="17"/>
        <v>71876</v>
      </c>
      <c r="I71" s="54">
        <f t="shared" si="18"/>
        <v>0.65757025989203632</v>
      </c>
      <c r="J71" s="47">
        <f t="shared" si="19"/>
        <v>47263.520000000004</v>
      </c>
      <c r="K71" s="17"/>
      <c r="L71" s="53">
        <f t="shared" si="20"/>
        <v>71876</v>
      </c>
      <c r="M71" s="54">
        <f t="shared" si="21"/>
        <v>1.5395330847570816</v>
      </c>
      <c r="N71" s="47">
        <f t="shared" si="22"/>
        <v>110655.48</v>
      </c>
      <c r="O71" s="17"/>
      <c r="P71" s="47">
        <f t="shared" si="23"/>
        <v>157919</v>
      </c>
      <c r="Q71" s="17"/>
    </row>
    <row r="72" spans="2:17" ht="15.6" x14ac:dyDescent="0.3">
      <c r="B72" s="48" t="s">
        <v>138</v>
      </c>
      <c r="C72" s="17"/>
      <c r="D72" s="53">
        <f t="shared" si="14"/>
        <v>76736</v>
      </c>
      <c r="E72" s="54">
        <f t="shared" si="15"/>
        <v>2.7490184528773978</v>
      </c>
      <c r="F72" s="47">
        <f t="shared" si="16"/>
        <v>210948.68</v>
      </c>
      <c r="G72" s="17"/>
      <c r="H72" s="53">
        <f t="shared" si="17"/>
        <v>77186</v>
      </c>
      <c r="I72" s="54">
        <f t="shared" si="18"/>
        <v>0.65805301479542921</v>
      </c>
      <c r="J72" s="47">
        <f t="shared" si="19"/>
        <v>50792.479999999996</v>
      </c>
      <c r="K72" s="17"/>
      <c r="L72" s="53">
        <f t="shared" si="20"/>
        <v>77186</v>
      </c>
      <c r="M72" s="54">
        <f t="shared" si="21"/>
        <v>1.5406192832897159</v>
      </c>
      <c r="N72" s="47">
        <f t="shared" si="22"/>
        <v>118914.24000000001</v>
      </c>
      <c r="O72" s="17"/>
      <c r="P72" s="47">
        <f t="shared" si="23"/>
        <v>169706.72</v>
      </c>
      <c r="Q72" s="17"/>
    </row>
    <row r="73" spans="2:17" ht="15.6" x14ac:dyDescent="0.3">
      <c r="B73" s="48" t="s">
        <v>139</v>
      </c>
      <c r="C73" s="17"/>
      <c r="D73" s="53">
        <f t="shared" si="14"/>
        <v>79693</v>
      </c>
      <c r="E73" s="54">
        <f t="shared" si="15"/>
        <v>2.7466142572120513</v>
      </c>
      <c r="F73" s="47">
        <f t="shared" si="16"/>
        <v>218885.93</v>
      </c>
      <c r="G73" s="17"/>
      <c r="H73" s="53">
        <f t="shared" si="17"/>
        <v>79814</v>
      </c>
      <c r="I73" s="54">
        <f t="shared" si="18"/>
        <v>0.65701957050141579</v>
      </c>
      <c r="J73" s="47">
        <f t="shared" si="19"/>
        <v>52439.360000000001</v>
      </c>
      <c r="K73" s="17"/>
      <c r="L73" s="53">
        <f t="shared" si="20"/>
        <v>79804</v>
      </c>
      <c r="M73" s="54">
        <f t="shared" si="21"/>
        <v>1.5382537216179641</v>
      </c>
      <c r="N73" s="47">
        <f t="shared" si="22"/>
        <v>122758.8</v>
      </c>
      <c r="O73" s="17"/>
      <c r="P73" s="47">
        <f t="shared" si="23"/>
        <v>175198.16</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902642</v>
      </c>
      <c r="E75" s="51">
        <f>IF(D75&lt;&gt;0,F75/D75,0)</f>
        <v>2.7639213996246572</v>
      </c>
      <c r="F75" s="52">
        <f>SUM(F62:F73)</f>
        <v>2494831.54</v>
      </c>
      <c r="G75" s="17"/>
      <c r="H75" s="50">
        <f>SUM(H62:H73)</f>
        <v>908441</v>
      </c>
      <c r="I75" s="51">
        <f>IF(H75&lt;&gt;0,J75/H75,0)</f>
        <v>0.66070729964851882</v>
      </c>
      <c r="J75" s="52">
        <f>SUM(J62:J73)</f>
        <v>600213.60000000009</v>
      </c>
      <c r="K75" s="17"/>
      <c r="L75" s="50">
        <f>SUM(L62:L73)</f>
        <v>908431</v>
      </c>
      <c r="M75" s="51">
        <f>IF(L75&lt;&gt;0,N75/L75,0)</f>
        <v>1.5465879742104793</v>
      </c>
      <c r="N75" s="52">
        <f>SUM(N62:N73)</f>
        <v>1404968.46</v>
      </c>
      <c r="O75" s="17"/>
      <c r="P75" s="52">
        <f>SUM(P62:P73)</f>
        <v>2005182.0599999998</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L13"/>
    <mergeCell ref="D20:F20"/>
    <mergeCell ref="H20:J20"/>
    <mergeCell ref="L20:N20"/>
    <mergeCell ref="D39:F39"/>
    <mergeCell ref="H39:J39"/>
    <mergeCell ref="L39:N39"/>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50" activePane="bottomLeft" state="frozenSplit"/>
      <selection activeCell="I48" sqref="I48"/>
      <selection pane="bottomLeft" activeCell="B20" sqref="B20:P20"/>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4.44140625" style="19" customWidth="1"/>
    <col min="5" max="5" width="10.109375" style="19" bestFit="1" customWidth="1"/>
    <col min="6" max="6" width="14.44140625" style="19" customWidth="1"/>
    <col min="7" max="7" width="2.88671875" style="19" customWidth="1"/>
    <col min="8" max="8" width="14.44140625" style="19" customWidth="1"/>
    <col min="9" max="9" width="9.6640625" style="19" bestFit="1" customWidth="1"/>
    <col min="10" max="10" width="14.44140625" style="19" customWidth="1"/>
    <col min="11" max="11" width="3.109375" style="19" customWidth="1"/>
    <col min="12" max="12" width="14.44140625" style="19" customWidth="1"/>
    <col min="13" max="13" width="9.6640625" style="19" bestFit="1" customWidth="1"/>
    <col min="14" max="14" width="14.44140625" style="19" customWidth="1"/>
    <col min="15" max="15" width="3.6640625" style="19" customWidth="1"/>
    <col min="16" max="16" width="15.6640625" style="19" customWidth="1"/>
    <col min="17" max="16384" width="9.109375" style="19"/>
  </cols>
  <sheetData>
    <row r="13" spans="2:13" ht="32.25" customHeight="1" x14ac:dyDescent="0.25">
      <c r="B13" s="170" t="s">
        <v>227</v>
      </c>
      <c r="C13" s="170"/>
      <c r="D13" s="170"/>
      <c r="E13" s="170"/>
      <c r="F13" s="170"/>
      <c r="G13" s="170"/>
      <c r="H13" s="170"/>
      <c r="I13" s="170"/>
      <c r="J13" s="170"/>
      <c r="K13" s="170"/>
      <c r="L13" s="170"/>
      <c r="M13" s="170"/>
    </row>
    <row r="19" spans="2:17" ht="15.6" x14ac:dyDescent="0.3">
      <c r="B19" s="17"/>
      <c r="C19" s="17"/>
      <c r="D19" s="18"/>
      <c r="E19" s="21"/>
      <c r="F19" s="17"/>
      <c r="G19" s="21"/>
      <c r="H19" s="17"/>
    </row>
    <row r="20" spans="2:17" ht="15.6" x14ac:dyDescent="0.25">
      <c r="B20" s="142" t="s">
        <v>228</v>
      </c>
      <c r="C20" s="141"/>
      <c r="D20" s="173" t="s">
        <v>229</v>
      </c>
      <c r="E20" s="173"/>
      <c r="F20" s="173"/>
      <c r="G20" s="141"/>
      <c r="H20" s="173" t="s">
        <v>232</v>
      </c>
      <c r="I20" s="173"/>
      <c r="J20" s="173"/>
      <c r="K20" s="141"/>
      <c r="L20" s="173" t="s">
        <v>231</v>
      </c>
      <c r="M20" s="173"/>
      <c r="N20" s="173"/>
      <c r="O20" s="141"/>
      <c r="P20" s="142" t="s">
        <v>230</v>
      </c>
      <c r="Q20" s="17"/>
    </row>
    <row r="21" spans="2:17" ht="15.6" x14ac:dyDescent="0.3">
      <c r="B21" s="17"/>
      <c r="C21" s="17"/>
      <c r="D21" s="174"/>
      <c r="E21" s="174"/>
      <c r="F21" s="174"/>
      <c r="G21" s="44"/>
      <c r="H21" s="174"/>
      <c r="I21" s="174"/>
      <c r="J21" s="174"/>
      <c r="K21" s="44"/>
      <c r="L21" s="174"/>
      <c r="M21" s="174"/>
      <c r="N21" s="174"/>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8840</v>
      </c>
      <c r="E24" s="89">
        <f>'5. UTRs and Sub-Transmission'!I22</f>
        <v>3.63</v>
      </c>
      <c r="F24" s="90">
        <f t="shared" ref="F24:F35" si="0">D24*E24</f>
        <v>32089.200000000001</v>
      </c>
      <c r="G24" s="17"/>
      <c r="H24" s="88">
        <f>'6. Historical Wholesale'!H24</f>
        <v>9347</v>
      </c>
      <c r="I24" s="89">
        <f>'5. UTRs and Sub-Transmission'!I24</f>
        <v>0.75</v>
      </c>
      <c r="J24" s="90">
        <f t="shared" ref="J24:J35" si="1">H24*I24</f>
        <v>7010.25</v>
      </c>
      <c r="K24" s="17"/>
      <c r="L24" s="88">
        <f>'6. Historical Wholesale'!L24</f>
        <v>9347</v>
      </c>
      <c r="M24" s="89">
        <f>'5. UTRs and Sub-Transmission'!I26</f>
        <v>1.85</v>
      </c>
      <c r="N24" s="90">
        <f t="shared" ref="N24:N35" si="2">L24*M24</f>
        <v>17291.95</v>
      </c>
      <c r="O24" s="17"/>
      <c r="P24" s="47">
        <f t="shared" ref="P24:P35" si="3">J24+N24</f>
        <v>24302.2</v>
      </c>
      <c r="Q24" s="17"/>
    </row>
    <row r="25" spans="2:17" ht="15.6" x14ac:dyDescent="0.3">
      <c r="B25" s="48" t="s">
        <v>129</v>
      </c>
      <c r="C25" s="17"/>
      <c r="D25" s="88">
        <f>'6. Historical Wholesale'!D25</f>
        <v>8636</v>
      </c>
      <c r="E25" s="89">
        <f t="shared" ref="E25:E35" si="4">E24</f>
        <v>3.63</v>
      </c>
      <c r="F25" s="90">
        <f t="shared" si="0"/>
        <v>31348.68</v>
      </c>
      <c r="G25" s="17"/>
      <c r="H25" s="88">
        <f>'6. Historical Wholesale'!H25</f>
        <v>9063</v>
      </c>
      <c r="I25" s="89">
        <f t="shared" ref="I25:I35" si="5">I24</f>
        <v>0.75</v>
      </c>
      <c r="J25" s="90">
        <f t="shared" si="1"/>
        <v>6797.25</v>
      </c>
      <c r="K25" s="17"/>
      <c r="L25" s="88">
        <f>'6. Historical Wholesale'!L25</f>
        <v>9063</v>
      </c>
      <c r="M25" s="89">
        <f t="shared" ref="M25:M35" si="6">M24</f>
        <v>1.85</v>
      </c>
      <c r="N25" s="90">
        <f t="shared" si="2"/>
        <v>16766.55</v>
      </c>
      <c r="O25" s="17"/>
      <c r="P25" s="47">
        <f t="shared" si="3"/>
        <v>23563.8</v>
      </c>
      <c r="Q25" s="17"/>
    </row>
    <row r="26" spans="2:17" ht="15.6" x14ac:dyDescent="0.3">
      <c r="B26" s="48" t="s">
        <v>130</v>
      </c>
      <c r="C26" s="17"/>
      <c r="D26" s="88">
        <f>'6. Historical Wholesale'!D26</f>
        <v>14372</v>
      </c>
      <c r="E26" s="89">
        <f t="shared" si="4"/>
        <v>3.63</v>
      </c>
      <c r="F26" s="90">
        <f t="shared" si="0"/>
        <v>52170.36</v>
      </c>
      <c r="G26" s="17"/>
      <c r="H26" s="88">
        <f>'6. Historical Wholesale'!H26</f>
        <v>16908</v>
      </c>
      <c r="I26" s="89">
        <f t="shared" si="5"/>
        <v>0.75</v>
      </c>
      <c r="J26" s="90">
        <f t="shared" si="1"/>
        <v>12681</v>
      </c>
      <c r="K26" s="17"/>
      <c r="L26" s="88">
        <f>'6. Historical Wholesale'!L26</f>
        <v>16908</v>
      </c>
      <c r="M26" s="89">
        <f t="shared" si="6"/>
        <v>1.85</v>
      </c>
      <c r="N26" s="90">
        <f t="shared" si="2"/>
        <v>31279.800000000003</v>
      </c>
      <c r="O26" s="17"/>
      <c r="P26" s="47">
        <f t="shared" si="3"/>
        <v>43960.800000000003</v>
      </c>
      <c r="Q26" s="17"/>
    </row>
    <row r="27" spans="2:17" ht="15.6" x14ac:dyDescent="0.3">
      <c r="B27" s="48" t="s">
        <v>131</v>
      </c>
      <c r="C27" s="17"/>
      <c r="D27" s="88">
        <f>'6. Historical Wholesale'!D27</f>
        <v>7554</v>
      </c>
      <c r="E27" s="89">
        <f t="shared" si="4"/>
        <v>3.63</v>
      </c>
      <c r="F27" s="90">
        <f t="shared" si="0"/>
        <v>27421.02</v>
      </c>
      <c r="G27" s="17"/>
      <c r="H27" s="88">
        <f>'6. Historical Wholesale'!H27</f>
        <v>8005</v>
      </c>
      <c r="I27" s="89">
        <f t="shared" si="5"/>
        <v>0.75</v>
      </c>
      <c r="J27" s="90">
        <f t="shared" si="1"/>
        <v>6003.75</v>
      </c>
      <c r="K27" s="17"/>
      <c r="L27" s="88">
        <f>'6. Historical Wholesale'!L27</f>
        <v>8005</v>
      </c>
      <c r="M27" s="89">
        <f t="shared" si="6"/>
        <v>1.85</v>
      </c>
      <c r="N27" s="90">
        <f t="shared" si="2"/>
        <v>14809.25</v>
      </c>
      <c r="O27" s="17"/>
      <c r="P27" s="47">
        <f t="shared" si="3"/>
        <v>20813</v>
      </c>
      <c r="Q27" s="17"/>
    </row>
    <row r="28" spans="2:17" ht="15.6" x14ac:dyDescent="0.3">
      <c r="B28" s="48" t="s">
        <v>132</v>
      </c>
      <c r="C28" s="17"/>
      <c r="D28" s="88">
        <f>'6. Historical Wholesale'!D28</f>
        <v>9045</v>
      </c>
      <c r="E28" s="89">
        <f t="shared" si="4"/>
        <v>3.63</v>
      </c>
      <c r="F28" s="90">
        <f t="shared" si="0"/>
        <v>32833.35</v>
      </c>
      <c r="G28" s="17"/>
      <c r="H28" s="88">
        <f>'6. Historical Wholesale'!H28</f>
        <v>9315</v>
      </c>
      <c r="I28" s="89">
        <f t="shared" si="5"/>
        <v>0.75</v>
      </c>
      <c r="J28" s="90">
        <f t="shared" si="1"/>
        <v>6986.25</v>
      </c>
      <c r="K28" s="17"/>
      <c r="L28" s="88">
        <f>'6. Historical Wholesale'!L28</f>
        <v>9315</v>
      </c>
      <c r="M28" s="89">
        <f t="shared" si="6"/>
        <v>1.85</v>
      </c>
      <c r="N28" s="90">
        <f t="shared" si="2"/>
        <v>17232.75</v>
      </c>
      <c r="O28" s="17"/>
      <c r="P28" s="47">
        <f t="shared" si="3"/>
        <v>24219</v>
      </c>
      <c r="Q28" s="17"/>
    </row>
    <row r="29" spans="2:17" ht="15.6" x14ac:dyDescent="0.3">
      <c r="B29" s="48" t="s">
        <v>133</v>
      </c>
      <c r="C29" s="17"/>
      <c r="D29" s="88">
        <f>'6. Historical Wholesale'!D29</f>
        <v>9532</v>
      </c>
      <c r="E29" s="89">
        <f t="shared" si="4"/>
        <v>3.63</v>
      </c>
      <c r="F29" s="90">
        <f t="shared" si="0"/>
        <v>34601.159999999996</v>
      </c>
      <c r="G29" s="17"/>
      <c r="H29" s="88">
        <f>'6. Historical Wholesale'!H29</f>
        <v>9532</v>
      </c>
      <c r="I29" s="89">
        <f t="shared" si="5"/>
        <v>0.75</v>
      </c>
      <c r="J29" s="90">
        <f t="shared" si="1"/>
        <v>7149</v>
      </c>
      <c r="K29" s="17"/>
      <c r="L29" s="88">
        <f>'6. Historical Wholesale'!L29</f>
        <v>9532</v>
      </c>
      <c r="M29" s="89">
        <f t="shared" si="6"/>
        <v>1.85</v>
      </c>
      <c r="N29" s="90">
        <f t="shared" si="2"/>
        <v>17634.2</v>
      </c>
      <c r="O29" s="17"/>
      <c r="P29" s="47">
        <f t="shared" si="3"/>
        <v>24783.200000000001</v>
      </c>
      <c r="Q29" s="17"/>
    </row>
    <row r="30" spans="2:17" ht="15.6" x14ac:dyDescent="0.3">
      <c r="B30" s="48" t="s">
        <v>134</v>
      </c>
      <c r="C30" s="17"/>
      <c r="D30" s="88">
        <f>'6. Historical Wholesale'!D30</f>
        <v>10815</v>
      </c>
      <c r="E30" s="89">
        <f t="shared" si="4"/>
        <v>3.63</v>
      </c>
      <c r="F30" s="90">
        <f t="shared" si="0"/>
        <v>39258.449999999997</v>
      </c>
      <c r="G30" s="17"/>
      <c r="H30" s="88">
        <f>'6. Historical Wholesale'!H30</f>
        <v>10815</v>
      </c>
      <c r="I30" s="89">
        <f t="shared" si="5"/>
        <v>0.75</v>
      </c>
      <c r="J30" s="90">
        <f t="shared" si="1"/>
        <v>8111.25</v>
      </c>
      <c r="K30" s="17"/>
      <c r="L30" s="88">
        <f>'6. Historical Wholesale'!L30</f>
        <v>10815</v>
      </c>
      <c r="M30" s="89">
        <f t="shared" si="6"/>
        <v>1.85</v>
      </c>
      <c r="N30" s="90">
        <f t="shared" si="2"/>
        <v>20007.75</v>
      </c>
      <c r="O30" s="17"/>
      <c r="P30" s="47">
        <f t="shared" si="3"/>
        <v>28119</v>
      </c>
      <c r="Q30" s="17"/>
    </row>
    <row r="31" spans="2:17" ht="15.6" x14ac:dyDescent="0.3">
      <c r="B31" s="48" t="s">
        <v>135</v>
      </c>
      <c r="C31" s="17"/>
      <c r="D31" s="88">
        <f>'6. Historical Wholesale'!D31</f>
        <v>9230</v>
      </c>
      <c r="E31" s="89">
        <f t="shared" si="4"/>
        <v>3.63</v>
      </c>
      <c r="F31" s="90">
        <f t="shared" si="0"/>
        <v>33504.9</v>
      </c>
      <c r="G31" s="17"/>
      <c r="H31" s="88">
        <f>'6. Historical Wholesale'!H31</f>
        <v>9608</v>
      </c>
      <c r="I31" s="89">
        <f t="shared" si="5"/>
        <v>0.75</v>
      </c>
      <c r="J31" s="90">
        <f t="shared" si="1"/>
        <v>7206</v>
      </c>
      <c r="K31" s="17"/>
      <c r="L31" s="88">
        <f>'6. Historical Wholesale'!L31</f>
        <v>9608</v>
      </c>
      <c r="M31" s="89">
        <f t="shared" si="6"/>
        <v>1.85</v>
      </c>
      <c r="N31" s="90">
        <f t="shared" si="2"/>
        <v>17774.8</v>
      </c>
      <c r="O31" s="17"/>
      <c r="P31" s="47">
        <f t="shared" si="3"/>
        <v>24980.799999999999</v>
      </c>
      <c r="Q31" s="17"/>
    </row>
    <row r="32" spans="2:17" ht="15.6" x14ac:dyDescent="0.3">
      <c r="B32" s="48" t="s">
        <v>136</v>
      </c>
      <c r="C32" s="17"/>
      <c r="D32" s="88">
        <f>'6. Historical Wholesale'!D32</f>
        <v>9685</v>
      </c>
      <c r="E32" s="89">
        <f t="shared" si="4"/>
        <v>3.63</v>
      </c>
      <c r="F32" s="90">
        <f t="shared" si="0"/>
        <v>35156.549999999996</v>
      </c>
      <c r="G32" s="17"/>
      <c r="H32" s="88">
        <f>'6. Historical Wholesale'!H32</f>
        <v>9886</v>
      </c>
      <c r="I32" s="89">
        <f t="shared" si="5"/>
        <v>0.75</v>
      </c>
      <c r="J32" s="90">
        <f t="shared" si="1"/>
        <v>7414.5</v>
      </c>
      <c r="K32" s="17"/>
      <c r="L32" s="88">
        <f>'6. Historical Wholesale'!L32</f>
        <v>9886</v>
      </c>
      <c r="M32" s="89">
        <f t="shared" si="6"/>
        <v>1.85</v>
      </c>
      <c r="N32" s="90">
        <f t="shared" si="2"/>
        <v>18289.100000000002</v>
      </c>
      <c r="O32" s="17"/>
      <c r="P32" s="47">
        <f t="shared" si="3"/>
        <v>25703.600000000002</v>
      </c>
      <c r="Q32" s="17"/>
    </row>
    <row r="33" spans="2:17" ht="15.6" x14ac:dyDescent="0.3">
      <c r="B33" s="48" t="s">
        <v>137</v>
      </c>
      <c r="C33" s="17"/>
      <c r="D33" s="88">
        <f>'6. Historical Wholesale'!D33</f>
        <v>7435</v>
      </c>
      <c r="E33" s="89">
        <f t="shared" si="4"/>
        <v>3.63</v>
      </c>
      <c r="F33" s="90">
        <f t="shared" si="0"/>
        <v>26989.05</v>
      </c>
      <c r="G33" s="17"/>
      <c r="H33" s="88">
        <f>'6. Historical Wholesale'!H33</f>
        <v>7893</v>
      </c>
      <c r="I33" s="89">
        <f t="shared" si="5"/>
        <v>0.75</v>
      </c>
      <c r="J33" s="90">
        <f t="shared" si="1"/>
        <v>5919.75</v>
      </c>
      <c r="K33" s="17"/>
      <c r="L33" s="88">
        <f>'6. Historical Wholesale'!L33</f>
        <v>7893</v>
      </c>
      <c r="M33" s="89">
        <f t="shared" si="6"/>
        <v>1.85</v>
      </c>
      <c r="N33" s="90">
        <f t="shared" si="2"/>
        <v>14602.050000000001</v>
      </c>
      <c r="O33" s="17"/>
      <c r="P33" s="47">
        <f t="shared" si="3"/>
        <v>20521.800000000003</v>
      </c>
      <c r="Q33" s="17"/>
    </row>
    <row r="34" spans="2:17" ht="15.6" x14ac:dyDescent="0.3">
      <c r="B34" s="48" t="s">
        <v>138</v>
      </c>
      <c r="C34" s="17"/>
      <c r="D34" s="88">
        <f>'6. Historical Wholesale'!D34</f>
        <v>8259</v>
      </c>
      <c r="E34" s="89">
        <f t="shared" si="4"/>
        <v>3.63</v>
      </c>
      <c r="F34" s="90">
        <f t="shared" si="0"/>
        <v>29980.17</v>
      </c>
      <c r="G34" s="17"/>
      <c r="H34" s="88">
        <f>'6. Historical Wholesale'!H34</f>
        <v>8709</v>
      </c>
      <c r="I34" s="89">
        <f t="shared" si="5"/>
        <v>0.75</v>
      </c>
      <c r="J34" s="90">
        <f t="shared" si="1"/>
        <v>6531.75</v>
      </c>
      <c r="K34" s="17"/>
      <c r="L34" s="88">
        <f>'6. Historical Wholesale'!L34</f>
        <v>8709</v>
      </c>
      <c r="M34" s="89">
        <f t="shared" si="6"/>
        <v>1.85</v>
      </c>
      <c r="N34" s="90">
        <f t="shared" si="2"/>
        <v>16111.650000000001</v>
      </c>
      <c r="O34" s="17"/>
      <c r="P34" s="47">
        <f t="shared" si="3"/>
        <v>22643.4</v>
      </c>
      <c r="Q34" s="17"/>
    </row>
    <row r="35" spans="2:17" ht="15.6" x14ac:dyDescent="0.3">
      <c r="B35" s="48" t="s">
        <v>139</v>
      </c>
      <c r="C35" s="17"/>
      <c r="D35" s="88">
        <f>'6. Historical Wholesale'!D35</f>
        <v>8369</v>
      </c>
      <c r="E35" s="89">
        <f t="shared" si="4"/>
        <v>3.63</v>
      </c>
      <c r="F35" s="90">
        <f t="shared" si="0"/>
        <v>30379.469999999998</v>
      </c>
      <c r="G35" s="17"/>
      <c r="H35" s="88">
        <f>'6. Historical Wholesale'!H35</f>
        <v>8490</v>
      </c>
      <c r="I35" s="89">
        <f t="shared" si="5"/>
        <v>0.75</v>
      </c>
      <c r="J35" s="90">
        <f t="shared" si="1"/>
        <v>6367.5</v>
      </c>
      <c r="K35" s="17"/>
      <c r="L35" s="88">
        <f>'6. Historical Wholesale'!L35</f>
        <v>8480</v>
      </c>
      <c r="M35" s="89">
        <f t="shared" si="6"/>
        <v>1.85</v>
      </c>
      <c r="N35" s="90">
        <f t="shared" si="2"/>
        <v>15688</v>
      </c>
      <c r="O35" s="17"/>
      <c r="P35" s="47">
        <f t="shared" si="3"/>
        <v>22055.5</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111772</v>
      </c>
      <c r="E37" s="51">
        <f>IF(D37&lt;&gt;0,F37/D37,0)</f>
        <v>3.63</v>
      </c>
      <c r="F37" s="52">
        <f>SUM(F24:F35)</f>
        <v>405732.36</v>
      </c>
      <c r="G37" s="17"/>
      <c r="H37" s="50">
        <f>SUM(H24:H35)</f>
        <v>117571</v>
      </c>
      <c r="I37" s="51">
        <f>IF(H37&lt;&gt;0,J37/H37,0)</f>
        <v>0.75</v>
      </c>
      <c r="J37" s="52">
        <f>SUM(J24:J35)</f>
        <v>88178.25</v>
      </c>
      <c r="K37" s="17"/>
      <c r="L37" s="50">
        <f>SUM(L24:L35)</f>
        <v>117561</v>
      </c>
      <c r="M37" s="51">
        <f>IF(L37&lt;&gt;0,N37/L37,0)</f>
        <v>1.8499999999999999</v>
      </c>
      <c r="N37" s="52">
        <f>SUM(N24:N35)</f>
        <v>217487.84999999998</v>
      </c>
      <c r="O37" s="17"/>
      <c r="P37" s="52">
        <f>SUM(P24:P35)</f>
        <v>305666.10000000003</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2" t="s">
        <v>233</v>
      </c>
      <c r="C39" s="17"/>
      <c r="D39" s="173" t="s">
        <v>229</v>
      </c>
      <c r="E39" s="173"/>
      <c r="F39" s="173"/>
      <c r="G39" s="141"/>
      <c r="H39" s="173" t="s">
        <v>232</v>
      </c>
      <c r="I39" s="173"/>
      <c r="J39" s="173"/>
      <c r="K39" s="141"/>
      <c r="L39" s="173" t="s">
        <v>231</v>
      </c>
      <c r="M39" s="173"/>
      <c r="N39" s="173"/>
      <c r="O39" s="141"/>
      <c r="P39" s="142"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58000</v>
      </c>
      <c r="E43" s="89">
        <f>'5. UTRs and Sub-Transmission'!I35+'5. UTRs and Sub-Transmission'!I49</f>
        <v>2.65</v>
      </c>
      <c r="F43" s="90">
        <f t="shared" ref="F43:F54" si="7">D43*E43</f>
        <v>153700</v>
      </c>
      <c r="G43" s="17"/>
      <c r="H43" s="88">
        <f>'6. Historical Wholesale'!H43</f>
        <v>58000</v>
      </c>
      <c r="I43" s="89">
        <f>'5. UTRs and Sub-Transmission'!I37+'5. UTRs and Sub-Transmission'!I51</f>
        <v>0.64</v>
      </c>
      <c r="J43" s="90">
        <f t="shared" ref="J43:J54" si="8">H43*I43</f>
        <v>37120</v>
      </c>
      <c r="K43" s="17"/>
      <c r="L43" s="88">
        <f>'6. Historical Wholesale'!L43</f>
        <v>58000</v>
      </c>
      <c r="M43" s="89">
        <f>'5. UTRs and Sub-Transmission'!I39</f>
        <v>1.5</v>
      </c>
      <c r="N43" s="90">
        <f t="shared" ref="N43:N54" si="9">L43*M43</f>
        <v>87000</v>
      </c>
      <c r="O43" s="17"/>
      <c r="P43" s="47">
        <f t="shared" ref="P43:P54" si="10">J43+N43</f>
        <v>124120</v>
      </c>
      <c r="Q43" s="17"/>
    </row>
    <row r="44" spans="2:17" ht="15.6" x14ac:dyDescent="0.3">
      <c r="B44" s="48" t="s">
        <v>129</v>
      </c>
      <c r="C44" s="17"/>
      <c r="D44" s="88">
        <f>'6. Historical Wholesale'!D44</f>
        <v>57077</v>
      </c>
      <c r="E44" s="89">
        <f t="shared" ref="E44:E54" si="11">E43</f>
        <v>2.65</v>
      </c>
      <c r="F44" s="90">
        <f t="shared" si="7"/>
        <v>151254.04999999999</v>
      </c>
      <c r="G44" s="17"/>
      <c r="H44" s="88">
        <f>'6. Historical Wholesale'!H44</f>
        <v>57077</v>
      </c>
      <c r="I44" s="89">
        <f t="shared" ref="I44:I54" si="12">I43</f>
        <v>0.64</v>
      </c>
      <c r="J44" s="90">
        <f t="shared" si="8"/>
        <v>36529.279999999999</v>
      </c>
      <c r="K44" s="17"/>
      <c r="L44" s="88">
        <f>'6. Historical Wholesale'!L44</f>
        <v>57077</v>
      </c>
      <c r="M44" s="89">
        <f t="shared" ref="M44:M54" si="13">M43</f>
        <v>1.5</v>
      </c>
      <c r="N44" s="90">
        <f t="shared" si="9"/>
        <v>85615.5</v>
      </c>
      <c r="O44" s="17"/>
      <c r="P44" s="47">
        <f t="shared" si="10"/>
        <v>122144.78</v>
      </c>
      <c r="Q44" s="17"/>
    </row>
    <row r="45" spans="2:17" ht="15.6" x14ac:dyDescent="0.3">
      <c r="B45" s="48" t="s">
        <v>130</v>
      </c>
      <c r="C45" s="17"/>
      <c r="D45" s="88">
        <f>'6. Historical Wholesale'!D45</f>
        <v>54073</v>
      </c>
      <c r="E45" s="89">
        <f t="shared" si="11"/>
        <v>2.65</v>
      </c>
      <c r="F45" s="90">
        <f t="shared" si="7"/>
        <v>143293.44999999998</v>
      </c>
      <c r="G45" s="17"/>
      <c r="H45" s="88">
        <f>'6. Historical Wholesale'!H45</f>
        <v>54073</v>
      </c>
      <c r="I45" s="89">
        <f t="shared" si="12"/>
        <v>0.64</v>
      </c>
      <c r="J45" s="90">
        <f t="shared" si="8"/>
        <v>34606.720000000001</v>
      </c>
      <c r="K45" s="17"/>
      <c r="L45" s="88">
        <f>'6. Historical Wholesale'!L45</f>
        <v>54073</v>
      </c>
      <c r="M45" s="89">
        <f t="shared" si="13"/>
        <v>1.5</v>
      </c>
      <c r="N45" s="90">
        <f t="shared" si="9"/>
        <v>81109.5</v>
      </c>
      <c r="O45" s="17"/>
      <c r="P45" s="47">
        <f t="shared" si="10"/>
        <v>115716.22</v>
      </c>
      <c r="Q45" s="17"/>
    </row>
    <row r="46" spans="2:17" ht="15.6" x14ac:dyDescent="0.3">
      <c r="B46" s="48" t="s">
        <v>131</v>
      </c>
      <c r="C46" s="17"/>
      <c r="D46" s="88">
        <f>'6. Historical Wholesale'!D46</f>
        <v>51275</v>
      </c>
      <c r="E46" s="89">
        <f t="shared" si="11"/>
        <v>2.65</v>
      </c>
      <c r="F46" s="90">
        <f t="shared" si="7"/>
        <v>135878.75</v>
      </c>
      <c r="G46" s="17"/>
      <c r="H46" s="88">
        <f>'6. Historical Wholesale'!H46</f>
        <v>51275</v>
      </c>
      <c r="I46" s="89">
        <f t="shared" si="12"/>
        <v>0.64</v>
      </c>
      <c r="J46" s="90">
        <f t="shared" si="8"/>
        <v>32816</v>
      </c>
      <c r="K46" s="17"/>
      <c r="L46" s="88">
        <f>'6. Historical Wholesale'!L46</f>
        <v>51275</v>
      </c>
      <c r="M46" s="89">
        <f t="shared" si="13"/>
        <v>1.5</v>
      </c>
      <c r="N46" s="90">
        <f t="shared" si="9"/>
        <v>76912.5</v>
      </c>
      <c r="O46" s="17"/>
      <c r="P46" s="47">
        <f t="shared" si="10"/>
        <v>109728.5</v>
      </c>
      <c r="Q46" s="17"/>
    </row>
    <row r="47" spans="2:17" ht="15.6" x14ac:dyDescent="0.3">
      <c r="B47" s="48" t="s">
        <v>132</v>
      </c>
      <c r="C47" s="17"/>
      <c r="D47" s="88">
        <f>'6. Historical Wholesale'!D47</f>
        <v>58330</v>
      </c>
      <c r="E47" s="89">
        <f t="shared" si="11"/>
        <v>2.65</v>
      </c>
      <c r="F47" s="90">
        <f t="shared" si="7"/>
        <v>154574.5</v>
      </c>
      <c r="G47" s="17"/>
      <c r="H47" s="88">
        <f>'6. Historical Wholesale'!H47</f>
        <v>58330</v>
      </c>
      <c r="I47" s="89">
        <f t="shared" si="12"/>
        <v>0.64</v>
      </c>
      <c r="J47" s="90">
        <f t="shared" si="8"/>
        <v>37331.200000000004</v>
      </c>
      <c r="K47" s="17"/>
      <c r="L47" s="88">
        <f>'6. Historical Wholesale'!L47</f>
        <v>58330</v>
      </c>
      <c r="M47" s="89">
        <f t="shared" si="13"/>
        <v>1.5</v>
      </c>
      <c r="N47" s="90">
        <f t="shared" si="9"/>
        <v>87495</v>
      </c>
      <c r="O47" s="17"/>
      <c r="P47" s="47">
        <f t="shared" si="10"/>
        <v>124826.20000000001</v>
      </c>
      <c r="Q47" s="17"/>
    </row>
    <row r="48" spans="2:17" ht="15.6" x14ac:dyDescent="0.3">
      <c r="B48" s="48" t="s">
        <v>133</v>
      </c>
      <c r="C48" s="17"/>
      <c r="D48" s="88">
        <f>'6. Historical Wholesale'!D48</f>
        <v>76931</v>
      </c>
      <c r="E48" s="89">
        <f t="shared" si="11"/>
        <v>2.65</v>
      </c>
      <c r="F48" s="90">
        <f t="shared" si="7"/>
        <v>203867.15</v>
      </c>
      <c r="G48" s="17"/>
      <c r="H48" s="88">
        <f>'6. Historical Wholesale'!H48</f>
        <v>76931</v>
      </c>
      <c r="I48" s="89">
        <f t="shared" si="12"/>
        <v>0.64</v>
      </c>
      <c r="J48" s="90">
        <f t="shared" si="8"/>
        <v>49235.840000000004</v>
      </c>
      <c r="K48" s="17"/>
      <c r="L48" s="88">
        <f>'6. Historical Wholesale'!L48</f>
        <v>76931</v>
      </c>
      <c r="M48" s="89">
        <f t="shared" si="13"/>
        <v>1.5</v>
      </c>
      <c r="N48" s="90">
        <f t="shared" si="9"/>
        <v>115396.5</v>
      </c>
      <c r="O48" s="17"/>
      <c r="P48" s="47">
        <f t="shared" si="10"/>
        <v>164632.34</v>
      </c>
      <c r="Q48" s="17"/>
    </row>
    <row r="49" spans="2:17" ht="15.6" x14ac:dyDescent="0.3">
      <c r="B49" s="48" t="s">
        <v>134</v>
      </c>
      <c r="C49" s="17"/>
      <c r="D49" s="88">
        <f>'6. Historical Wholesale'!D49</f>
        <v>85319</v>
      </c>
      <c r="E49" s="89">
        <f t="shared" si="11"/>
        <v>2.65</v>
      </c>
      <c r="F49" s="90">
        <f t="shared" si="7"/>
        <v>226095.35</v>
      </c>
      <c r="G49" s="17"/>
      <c r="H49" s="88">
        <f>'6. Historical Wholesale'!H49</f>
        <v>85319</v>
      </c>
      <c r="I49" s="89">
        <f t="shared" si="12"/>
        <v>0.64</v>
      </c>
      <c r="J49" s="90">
        <f t="shared" si="8"/>
        <v>54604.160000000003</v>
      </c>
      <c r="K49" s="17"/>
      <c r="L49" s="88">
        <f>'6. Historical Wholesale'!L49</f>
        <v>85319</v>
      </c>
      <c r="M49" s="89">
        <f t="shared" si="13"/>
        <v>1.5</v>
      </c>
      <c r="N49" s="90">
        <f t="shared" si="9"/>
        <v>127978.5</v>
      </c>
      <c r="O49" s="17"/>
      <c r="P49" s="47">
        <f t="shared" si="10"/>
        <v>182582.66</v>
      </c>
      <c r="Q49" s="17"/>
    </row>
    <row r="50" spans="2:17" ht="15.6" x14ac:dyDescent="0.3">
      <c r="B50" s="48" t="s">
        <v>135</v>
      </c>
      <c r="C50" s="17"/>
      <c r="D50" s="88">
        <f>'6. Historical Wholesale'!D50</f>
        <v>74706</v>
      </c>
      <c r="E50" s="89">
        <f t="shared" si="11"/>
        <v>2.65</v>
      </c>
      <c r="F50" s="90">
        <f t="shared" si="7"/>
        <v>197970.9</v>
      </c>
      <c r="G50" s="17"/>
      <c r="H50" s="88">
        <f>'6. Historical Wholesale'!H50</f>
        <v>74706</v>
      </c>
      <c r="I50" s="89">
        <f t="shared" si="12"/>
        <v>0.64</v>
      </c>
      <c r="J50" s="90">
        <f t="shared" si="8"/>
        <v>47811.840000000004</v>
      </c>
      <c r="K50" s="17"/>
      <c r="L50" s="88">
        <f>'6. Historical Wholesale'!L50</f>
        <v>74706</v>
      </c>
      <c r="M50" s="89">
        <f t="shared" si="13"/>
        <v>1.5</v>
      </c>
      <c r="N50" s="90">
        <f t="shared" si="9"/>
        <v>112059</v>
      </c>
      <c r="O50" s="17"/>
      <c r="P50" s="47">
        <f t="shared" si="10"/>
        <v>159870.84</v>
      </c>
      <c r="Q50" s="17"/>
    </row>
    <row r="51" spans="2:17" ht="15.6" x14ac:dyDescent="0.3">
      <c r="B51" s="48" t="s">
        <v>136</v>
      </c>
      <c r="C51" s="17"/>
      <c r="D51" s="88">
        <f>'6. Historical Wholesale'!D51</f>
        <v>71375</v>
      </c>
      <c r="E51" s="89">
        <f t="shared" si="11"/>
        <v>2.65</v>
      </c>
      <c r="F51" s="90">
        <f t="shared" si="7"/>
        <v>189143.75</v>
      </c>
      <c r="G51" s="17"/>
      <c r="H51" s="88">
        <f>'6. Historical Wholesale'!H51</f>
        <v>71375</v>
      </c>
      <c r="I51" s="89">
        <f t="shared" si="12"/>
        <v>0.64</v>
      </c>
      <c r="J51" s="90">
        <f t="shared" si="8"/>
        <v>45680</v>
      </c>
      <c r="K51" s="17"/>
      <c r="L51" s="88">
        <f>'6. Historical Wholesale'!L51</f>
        <v>71375</v>
      </c>
      <c r="M51" s="89">
        <f t="shared" si="13"/>
        <v>1.5</v>
      </c>
      <c r="N51" s="90">
        <f t="shared" si="9"/>
        <v>107062.5</v>
      </c>
      <c r="O51" s="17"/>
      <c r="P51" s="47">
        <f t="shared" si="10"/>
        <v>152742.5</v>
      </c>
      <c r="Q51" s="17"/>
    </row>
    <row r="52" spans="2:17" ht="15.6" x14ac:dyDescent="0.3">
      <c r="B52" s="48" t="s">
        <v>137</v>
      </c>
      <c r="C52" s="17"/>
      <c r="D52" s="88">
        <f>'6. Historical Wholesale'!D52</f>
        <v>63983</v>
      </c>
      <c r="E52" s="89">
        <f t="shared" si="11"/>
        <v>2.65</v>
      </c>
      <c r="F52" s="90">
        <f t="shared" si="7"/>
        <v>169554.94999999998</v>
      </c>
      <c r="G52" s="17"/>
      <c r="H52" s="88">
        <f>'6. Historical Wholesale'!H52</f>
        <v>63983</v>
      </c>
      <c r="I52" s="89">
        <f t="shared" si="12"/>
        <v>0.64</v>
      </c>
      <c r="J52" s="90">
        <f t="shared" si="8"/>
        <v>40949.120000000003</v>
      </c>
      <c r="K52" s="17"/>
      <c r="L52" s="88">
        <f>'6. Historical Wholesale'!L52</f>
        <v>63983</v>
      </c>
      <c r="M52" s="89">
        <f t="shared" si="13"/>
        <v>1.5</v>
      </c>
      <c r="N52" s="90">
        <f t="shared" si="9"/>
        <v>95974.5</v>
      </c>
      <c r="O52" s="17"/>
      <c r="P52" s="47">
        <f t="shared" si="10"/>
        <v>136923.62</v>
      </c>
      <c r="Q52" s="17"/>
    </row>
    <row r="53" spans="2:17" ht="15.6" x14ac:dyDescent="0.3">
      <c r="B53" s="48" t="s">
        <v>138</v>
      </c>
      <c r="C53" s="17"/>
      <c r="D53" s="88">
        <f>'6. Historical Wholesale'!D53</f>
        <v>68477</v>
      </c>
      <c r="E53" s="89">
        <f t="shared" si="11"/>
        <v>2.65</v>
      </c>
      <c r="F53" s="90">
        <f t="shared" si="7"/>
        <v>181464.05</v>
      </c>
      <c r="G53" s="17"/>
      <c r="H53" s="88">
        <f>'6. Historical Wholesale'!H53</f>
        <v>68477</v>
      </c>
      <c r="I53" s="89">
        <f t="shared" si="12"/>
        <v>0.64</v>
      </c>
      <c r="J53" s="90">
        <f t="shared" si="8"/>
        <v>43825.279999999999</v>
      </c>
      <c r="K53" s="17"/>
      <c r="L53" s="88">
        <f>'6. Historical Wholesale'!L53</f>
        <v>68477</v>
      </c>
      <c r="M53" s="89">
        <f t="shared" si="13"/>
        <v>1.5</v>
      </c>
      <c r="N53" s="90">
        <f t="shared" si="9"/>
        <v>102715.5</v>
      </c>
      <c r="O53" s="17"/>
      <c r="P53" s="47">
        <f t="shared" si="10"/>
        <v>146540.78</v>
      </c>
      <c r="Q53" s="17"/>
    </row>
    <row r="54" spans="2:17" ht="15.6" x14ac:dyDescent="0.3">
      <c r="B54" s="48" t="s">
        <v>139</v>
      </c>
      <c r="C54" s="17"/>
      <c r="D54" s="88">
        <f>'6. Historical Wholesale'!D54</f>
        <v>71324</v>
      </c>
      <c r="E54" s="89">
        <f t="shared" si="11"/>
        <v>2.65</v>
      </c>
      <c r="F54" s="90">
        <f t="shared" si="7"/>
        <v>189008.6</v>
      </c>
      <c r="G54" s="17"/>
      <c r="H54" s="88">
        <f>'6. Historical Wholesale'!H54</f>
        <v>71324</v>
      </c>
      <c r="I54" s="89">
        <f t="shared" si="12"/>
        <v>0.64</v>
      </c>
      <c r="J54" s="90">
        <f t="shared" si="8"/>
        <v>45647.360000000001</v>
      </c>
      <c r="K54" s="17"/>
      <c r="L54" s="88">
        <f>'6. Historical Wholesale'!L54</f>
        <v>71324</v>
      </c>
      <c r="M54" s="89">
        <f t="shared" si="13"/>
        <v>1.5</v>
      </c>
      <c r="N54" s="90">
        <f t="shared" si="9"/>
        <v>106986</v>
      </c>
      <c r="O54" s="17"/>
      <c r="P54" s="47">
        <f t="shared" si="10"/>
        <v>152633.35999999999</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790870</v>
      </c>
      <c r="E56" s="51">
        <f>IF(D56&lt;&gt;0,F56/D56,0)</f>
        <v>2.65</v>
      </c>
      <c r="F56" s="52">
        <f>SUM(F43:F54)</f>
        <v>2095805.5</v>
      </c>
      <c r="G56" s="17"/>
      <c r="H56" s="50">
        <f>SUM(H43:H54)</f>
        <v>790870</v>
      </c>
      <c r="I56" s="51">
        <f>IF(H56&lt;&gt;0,J56/H56,0)</f>
        <v>0.64</v>
      </c>
      <c r="J56" s="52">
        <f>SUM(J43:J54)</f>
        <v>506156.80000000005</v>
      </c>
      <c r="K56" s="17"/>
      <c r="L56" s="50">
        <f>SUM(L43:L54)</f>
        <v>790870</v>
      </c>
      <c r="M56" s="51">
        <f>IF(L56&lt;&gt;0,N56/L56,0)</f>
        <v>1.5</v>
      </c>
      <c r="N56" s="52">
        <f>SUM(N43:N54)</f>
        <v>1186305</v>
      </c>
      <c r="O56" s="17"/>
      <c r="P56" s="52">
        <f>SUM(P43:P54)</f>
        <v>1692461.8000000003</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2" t="s">
        <v>140</v>
      </c>
      <c r="C58" s="17"/>
      <c r="D58" s="173" t="s">
        <v>229</v>
      </c>
      <c r="E58" s="173"/>
      <c r="F58" s="173"/>
      <c r="G58" s="141"/>
      <c r="H58" s="173" t="s">
        <v>232</v>
      </c>
      <c r="I58" s="173"/>
      <c r="J58" s="173"/>
      <c r="K58" s="141"/>
      <c r="L58" s="173" t="s">
        <v>231</v>
      </c>
      <c r="M58" s="173"/>
      <c r="N58" s="173"/>
      <c r="O58" s="141"/>
      <c r="P58" s="142" t="s">
        <v>230</v>
      </c>
      <c r="Q58" s="17"/>
    </row>
    <row r="59" spans="2:17" ht="15.6" x14ac:dyDescent="0.3">
      <c r="B59" s="17"/>
      <c r="C59" s="17"/>
      <c r="D59" s="174"/>
      <c r="E59" s="174"/>
      <c r="F59" s="174"/>
      <c r="G59" s="44"/>
      <c r="H59" s="174"/>
      <c r="I59" s="174"/>
      <c r="J59" s="174"/>
      <c r="K59" s="44"/>
      <c r="L59" s="174"/>
      <c r="M59" s="174"/>
      <c r="N59" s="174"/>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66840</v>
      </c>
      <c r="E62" s="54">
        <f t="shared" ref="E62:E73" si="15">IF(D62&lt;&gt;0,F62/D62,0)</f>
        <v>2.7796110113704371</v>
      </c>
      <c r="F62" s="47">
        <f t="shared" ref="F62:F73" si="16">F24+F43</f>
        <v>185789.2</v>
      </c>
      <c r="G62" s="17"/>
      <c r="H62" s="53">
        <f t="shared" ref="H62:H73" si="17">H24+H43</f>
        <v>67347</v>
      </c>
      <c r="I62" s="54">
        <f t="shared" ref="I62:I73" si="18">IF(H62&lt;&gt;0,J62/H62,0)</f>
        <v>0.65526675278780044</v>
      </c>
      <c r="J62" s="47">
        <f t="shared" ref="J62:J73" si="19">J24+J43</f>
        <v>44130.25</v>
      </c>
      <c r="K62" s="17"/>
      <c r="L62" s="53">
        <f t="shared" ref="L62:L73" si="20">L24+L43</f>
        <v>67347</v>
      </c>
      <c r="M62" s="54">
        <f t="shared" ref="M62:M73" si="21">IF(L62&lt;&gt;0,N62/L62,0)</f>
        <v>1.548576031597547</v>
      </c>
      <c r="N62" s="47">
        <f t="shared" ref="N62:N73" si="22">N24+N43</f>
        <v>104291.95</v>
      </c>
      <c r="O62" s="17"/>
      <c r="P62" s="47">
        <f t="shared" ref="P62:P73" si="23">J62+N62</f>
        <v>148422.20000000001</v>
      </c>
      <c r="Q62" s="17"/>
    </row>
    <row r="63" spans="2:17" ht="15.6" x14ac:dyDescent="0.3">
      <c r="B63" s="48" t="s">
        <v>129</v>
      </c>
      <c r="C63" s="17"/>
      <c r="D63" s="53">
        <f t="shared" si="14"/>
        <v>65713</v>
      </c>
      <c r="E63" s="54">
        <f t="shared" si="15"/>
        <v>2.7787915633131948</v>
      </c>
      <c r="F63" s="47">
        <f t="shared" si="16"/>
        <v>182602.72999999998</v>
      </c>
      <c r="G63" s="17"/>
      <c r="H63" s="53">
        <f t="shared" si="17"/>
        <v>66140</v>
      </c>
      <c r="I63" s="54">
        <f t="shared" si="18"/>
        <v>0.6550730269126096</v>
      </c>
      <c r="J63" s="47">
        <f t="shared" si="19"/>
        <v>43326.53</v>
      </c>
      <c r="K63" s="17"/>
      <c r="L63" s="53">
        <f t="shared" si="20"/>
        <v>66140</v>
      </c>
      <c r="M63" s="54">
        <f t="shared" si="21"/>
        <v>1.5479596310855761</v>
      </c>
      <c r="N63" s="47">
        <f t="shared" si="22"/>
        <v>102382.05</v>
      </c>
      <c r="O63" s="17"/>
      <c r="P63" s="47">
        <f t="shared" si="23"/>
        <v>145708.58000000002</v>
      </c>
      <c r="Q63" s="17"/>
    </row>
    <row r="64" spans="2:17" ht="15.6" x14ac:dyDescent="0.3">
      <c r="B64" s="48" t="s">
        <v>130</v>
      </c>
      <c r="C64" s="17"/>
      <c r="D64" s="53">
        <f t="shared" si="14"/>
        <v>68445</v>
      </c>
      <c r="E64" s="54">
        <f t="shared" si="15"/>
        <v>2.8557792388048799</v>
      </c>
      <c r="F64" s="47">
        <f t="shared" si="16"/>
        <v>195463.81</v>
      </c>
      <c r="G64" s="17"/>
      <c r="H64" s="53">
        <f t="shared" si="17"/>
        <v>70981</v>
      </c>
      <c r="I64" s="54">
        <f t="shared" si="18"/>
        <v>0.66620250489567634</v>
      </c>
      <c r="J64" s="47">
        <f t="shared" si="19"/>
        <v>47287.72</v>
      </c>
      <c r="K64" s="17"/>
      <c r="L64" s="53">
        <f t="shared" si="20"/>
        <v>70981</v>
      </c>
      <c r="M64" s="54">
        <f t="shared" si="21"/>
        <v>1.5833716064862429</v>
      </c>
      <c r="N64" s="47">
        <f t="shared" si="22"/>
        <v>112389.3</v>
      </c>
      <c r="O64" s="17"/>
      <c r="P64" s="47">
        <f t="shared" si="23"/>
        <v>159677.02000000002</v>
      </c>
      <c r="Q64" s="17"/>
    </row>
    <row r="65" spans="2:17" ht="15.6" x14ac:dyDescent="0.3">
      <c r="B65" s="48" t="s">
        <v>131</v>
      </c>
      <c r="C65" s="17"/>
      <c r="D65" s="53">
        <f t="shared" si="14"/>
        <v>58829</v>
      </c>
      <c r="E65" s="54">
        <f t="shared" si="15"/>
        <v>2.7758379370718522</v>
      </c>
      <c r="F65" s="47">
        <f t="shared" si="16"/>
        <v>163299.76999999999</v>
      </c>
      <c r="G65" s="17"/>
      <c r="H65" s="53">
        <f t="shared" si="17"/>
        <v>59280</v>
      </c>
      <c r="I65" s="54">
        <f t="shared" si="18"/>
        <v>0.65485408232118758</v>
      </c>
      <c r="J65" s="47">
        <f t="shared" si="19"/>
        <v>38819.75</v>
      </c>
      <c r="K65" s="17"/>
      <c r="L65" s="53">
        <f t="shared" si="20"/>
        <v>59280</v>
      </c>
      <c r="M65" s="54">
        <f t="shared" si="21"/>
        <v>1.5472629892037786</v>
      </c>
      <c r="N65" s="47">
        <f t="shared" si="22"/>
        <v>91721.75</v>
      </c>
      <c r="O65" s="17"/>
      <c r="P65" s="47">
        <f t="shared" si="23"/>
        <v>130541.5</v>
      </c>
      <c r="Q65" s="17"/>
    </row>
    <row r="66" spans="2:17" ht="15.6" x14ac:dyDescent="0.3">
      <c r="B66" s="48" t="s">
        <v>132</v>
      </c>
      <c r="C66" s="17"/>
      <c r="D66" s="53">
        <f t="shared" si="14"/>
        <v>67375</v>
      </c>
      <c r="E66" s="54">
        <f t="shared" si="15"/>
        <v>2.7815636363636362</v>
      </c>
      <c r="F66" s="47">
        <f t="shared" si="16"/>
        <v>187407.85</v>
      </c>
      <c r="G66" s="17"/>
      <c r="H66" s="53">
        <f t="shared" si="17"/>
        <v>67645</v>
      </c>
      <c r="I66" s="54">
        <f t="shared" si="18"/>
        <v>0.65514746100968302</v>
      </c>
      <c r="J66" s="47">
        <f t="shared" si="19"/>
        <v>44317.450000000004</v>
      </c>
      <c r="K66" s="17"/>
      <c r="L66" s="53">
        <f t="shared" si="20"/>
        <v>67645</v>
      </c>
      <c r="M66" s="54">
        <f t="shared" si="21"/>
        <v>1.5481964668489911</v>
      </c>
      <c r="N66" s="47">
        <f t="shared" si="22"/>
        <v>104727.75</v>
      </c>
      <c r="O66" s="17"/>
      <c r="P66" s="47">
        <f t="shared" si="23"/>
        <v>149045.20000000001</v>
      </c>
      <c r="Q66" s="17"/>
    </row>
    <row r="67" spans="2:17" ht="15.6" x14ac:dyDescent="0.3">
      <c r="B67" s="48" t="s">
        <v>133</v>
      </c>
      <c r="C67" s="17"/>
      <c r="D67" s="53">
        <f t="shared" si="14"/>
        <v>86463</v>
      </c>
      <c r="E67" s="54">
        <f t="shared" si="15"/>
        <v>2.7580388142905057</v>
      </c>
      <c r="F67" s="47">
        <f t="shared" si="16"/>
        <v>238468.31</v>
      </c>
      <c r="G67" s="17"/>
      <c r="H67" s="53">
        <f t="shared" si="17"/>
        <v>86463</v>
      </c>
      <c r="I67" s="54">
        <f t="shared" si="18"/>
        <v>0.65212680568566905</v>
      </c>
      <c r="J67" s="47">
        <f t="shared" si="19"/>
        <v>56384.840000000004</v>
      </c>
      <c r="K67" s="17"/>
      <c r="L67" s="53">
        <f t="shared" si="20"/>
        <v>86463</v>
      </c>
      <c r="M67" s="54">
        <f t="shared" si="21"/>
        <v>1.538585290818038</v>
      </c>
      <c r="N67" s="47">
        <f t="shared" si="22"/>
        <v>133030.70000000001</v>
      </c>
      <c r="O67" s="17"/>
      <c r="P67" s="47">
        <f t="shared" si="23"/>
        <v>189415.54</v>
      </c>
      <c r="Q67" s="17"/>
    </row>
    <row r="68" spans="2:17" ht="15.6" x14ac:dyDescent="0.3">
      <c r="B68" s="48" t="s">
        <v>134</v>
      </c>
      <c r="C68" s="17"/>
      <c r="D68" s="53">
        <f t="shared" si="14"/>
        <v>96134</v>
      </c>
      <c r="E68" s="54">
        <f t="shared" si="15"/>
        <v>2.760249235442195</v>
      </c>
      <c r="F68" s="47">
        <f t="shared" si="16"/>
        <v>265353.8</v>
      </c>
      <c r="G68" s="17"/>
      <c r="H68" s="53">
        <f t="shared" si="17"/>
        <v>96134</v>
      </c>
      <c r="I68" s="54">
        <f t="shared" si="18"/>
        <v>0.65237491418228721</v>
      </c>
      <c r="J68" s="47">
        <f t="shared" si="19"/>
        <v>62715.41</v>
      </c>
      <c r="K68" s="17"/>
      <c r="L68" s="53">
        <f t="shared" si="20"/>
        <v>96134</v>
      </c>
      <c r="M68" s="54">
        <f t="shared" si="21"/>
        <v>1.5393747269436411</v>
      </c>
      <c r="N68" s="47">
        <f t="shared" si="22"/>
        <v>147986.25</v>
      </c>
      <c r="O68" s="17"/>
      <c r="P68" s="47">
        <f t="shared" si="23"/>
        <v>210701.66</v>
      </c>
      <c r="Q68" s="17"/>
    </row>
    <row r="69" spans="2:17" ht="15.6" x14ac:dyDescent="0.3">
      <c r="B69" s="48" t="s">
        <v>135</v>
      </c>
      <c r="C69" s="17"/>
      <c r="D69" s="53">
        <f t="shared" si="14"/>
        <v>83936</v>
      </c>
      <c r="E69" s="54">
        <f t="shared" si="15"/>
        <v>2.7577654403354934</v>
      </c>
      <c r="F69" s="47">
        <f t="shared" si="16"/>
        <v>231475.8</v>
      </c>
      <c r="G69" s="17"/>
      <c r="H69" s="53">
        <f t="shared" si="17"/>
        <v>84314</v>
      </c>
      <c r="I69" s="54">
        <f t="shared" si="18"/>
        <v>0.65253504756031033</v>
      </c>
      <c r="J69" s="47">
        <f t="shared" si="19"/>
        <v>55017.840000000004</v>
      </c>
      <c r="K69" s="17"/>
      <c r="L69" s="53">
        <f t="shared" si="20"/>
        <v>84314</v>
      </c>
      <c r="M69" s="54">
        <f t="shared" si="21"/>
        <v>1.5398842422373509</v>
      </c>
      <c r="N69" s="47">
        <f t="shared" si="22"/>
        <v>129833.8</v>
      </c>
      <c r="O69" s="17"/>
      <c r="P69" s="47">
        <f t="shared" si="23"/>
        <v>184851.64</v>
      </c>
      <c r="Q69" s="17"/>
    </row>
    <row r="70" spans="2:17" ht="15.6" x14ac:dyDescent="0.3">
      <c r="B70" s="48" t="s">
        <v>136</v>
      </c>
      <c r="C70" s="17"/>
      <c r="D70" s="53">
        <f t="shared" si="14"/>
        <v>81060</v>
      </c>
      <c r="E70" s="54">
        <f t="shared" si="15"/>
        <v>2.7670898100172709</v>
      </c>
      <c r="F70" s="47">
        <f t="shared" si="16"/>
        <v>224300.3</v>
      </c>
      <c r="G70" s="17"/>
      <c r="H70" s="53">
        <f t="shared" si="17"/>
        <v>81261</v>
      </c>
      <c r="I70" s="54">
        <f t="shared" si="18"/>
        <v>0.6533823113178524</v>
      </c>
      <c r="J70" s="47">
        <f t="shared" si="19"/>
        <v>53094.5</v>
      </c>
      <c r="K70" s="17"/>
      <c r="L70" s="53">
        <f t="shared" si="20"/>
        <v>81261</v>
      </c>
      <c r="M70" s="54">
        <f t="shared" si="21"/>
        <v>1.5425800814658939</v>
      </c>
      <c r="N70" s="47">
        <f t="shared" si="22"/>
        <v>125351.6</v>
      </c>
      <c r="O70" s="17"/>
      <c r="P70" s="47">
        <f t="shared" si="23"/>
        <v>178446.1</v>
      </c>
      <c r="Q70" s="17"/>
    </row>
    <row r="71" spans="2:17" ht="15.6" x14ac:dyDescent="0.3">
      <c r="B71" s="48" t="s">
        <v>137</v>
      </c>
      <c r="C71" s="17"/>
      <c r="D71" s="53">
        <f t="shared" si="14"/>
        <v>71418</v>
      </c>
      <c r="E71" s="54">
        <f t="shared" si="15"/>
        <v>2.752023299448318</v>
      </c>
      <c r="F71" s="47">
        <f t="shared" si="16"/>
        <v>196543.99999999997</v>
      </c>
      <c r="G71" s="17"/>
      <c r="H71" s="53">
        <f t="shared" si="17"/>
        <v>71876</v>
      </c>
      <c r="I71" s="54">
        <f t="shared" si="18"/>
        <v>0.65207955367577497</v>
      </c>
      <c r="J71" s="47">
        <f t="shared" si="19"/>
        <v>46868.87</v>
      </c>
      <c r="K71" s="17"/>
      <c r="L71" s="53">
        <f t="shared" si="20"/>
        <v>71876</v>
      </c>
      <c r="M71" s="54">
        <f t="shared" si="21"/>
        <v>1.5384349435138294</v>
      </c>
      <c r="N71" s="47">
        <f t="shared" si="22"/>
        <v>110576.55</v>
      </c>
      <c r="O71" s="17"/>
      <c r="P71" s="47">
        <f t="shared" si="23"/>
        <v>157445.42000000001</v>
      </c>
      <c r="Q71" s="17"/>
    </row>
    <row r="72" spans="2:17" ht="15.6" x14ac:dyDescent="0.3">
      <c r="B72" s="48" t="s">
        <v>138</v>
      </c>
      <c r="C72" s="17"/>
      <c r="D72" s="53">
        <f t="shared" si="14"/>
        <v>76736</v>
      </c>
      <c r="E72" s="54">
        <f t="shared" si="15"/>
        <v>2.7554761780650536</v>
      </c>
      <c r="F72" s="47">
        <f t="shared" si="16"/>
        <v>211444.21999999997</v>
      </c>
      <c r="G72" s="17"/>
      <c r="H72" s="53">
        <f t="shared" si="17"/>
        <v>77186</v>
      </c>
      <c r="I72" s="54">
        <f t="shared" si="18"/>
        <v>0.65241144767185755</v>
      </c>
      <c r="J72" s="47">
        <f t="shared" si="19"/>
        <v>50357.03</v>
      </c>
      <c r="K72" s="17"/>
      <c r="L72" s="53">
        <f t="shared" si="20"/>
        <v>77186</v>
      </c>
      <c r="M72" s="54">
        <f t="shared" si="21"/>
        <v>1.5394909698650014</v>
      </c>
      <c r="N72" s="47">
        <f t="shared" si="22"/>
        <v>118827.15</v>
      </c>
      <c r="O72" s="17"/>
      <c r="P72" s="47">
        <f t="shared" si="23"/>
        <v>169184.18</v>
      </c>
      <c r="Q72" s="17"/>
    </row>
    <row r="73" spans="2:17" ht="15.6" x14ac:dyDescent="0.3">
      <c r="B73" s="48" t="s">
        <v>139</v>
      </c>
      <c r="C73" s="17"/>
      <c r="D73" s="53">
        <f t="shared" si="14"/>
        <v>79693</v>
      </c>
      <c r="E73" s="54">
        <f t="shared" si="15"/>
        <v>2.7529151870302284</v>
      </c>
      <c r="F73" s="47">
        <f t="shared" si="16"/>
        <v>219388.07</v>
      </c>
      <c r="G73" s="17"/>
      <c r="H73" s="53">
        <f t="shared" si="17"/>
        <v>79814</v>
      </c>
      <c r="I73" s="54">
        <f t="shared" si="18"/>
        <v>0.65170095471972334</v>
      </c>
      <c r="J73" s="47">
        <f t="shared" si="19"/>
        <v>52014.86</v>
      </c>
      <c r="K73" s="17"/>
      <c r="L73" s="53">
        <f t="shared" si="20"/>
        <v>79804</v>
      </c>
      <c r="M73" s="54">
        <f t="shared" si="21"/>
        <v>1.5371911182396871</v>
      </c>
      <c r="N73" s="47">
        <f t="shared" si="22"/>
        <v>122674</v>
      </c>
      <c r="O73" s="17"/>
      <c r="P73" s="47">
        <f t="shared" si="23"/>
        <v>174688.86</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902642</v>
      </c>
      <c r="E75" s="51">
        <f>IF(D75&lt;&gt;0,F75/D75,0)</f>
        <v>2.7713510561219175</v>
      </c>
      <c r="F75" s="52">
        <f>SUM(F62:F73)</f>
        <v>2501537.86</v>
      </c>
      <c r="G75" s="17"/>
      <c r="H75" s="50">
        <f>SUM(H62:H73)</f>
        <v>908441</v>
      </c>
      <c r="I75" s="51">
        <f>IF(H75&lt;&gt;0,J75/H75,0)</f>
        <v>0.6542362685083567</v>
      </c>
      <c r="J75" s="52">
        <f>SUM(J62:J73)</f>
        <v>594335.05000000005</v>
      </c>
      <c r="K75" s="17"/>
      <c r="L75" s="50">
        <f>SUM(L62:L73)</f>
        <v>908431</v>
      </c>
      <c r="M75" s="51">
        <f>IF(L75&lt;&gt;0,N75/L75,0)</f>
        <v>1.5452938638157439</v>
      </c>
      <c r="N75" s="52">
        <f>SUM(N62:N73)</f>
        <v>1403792.85</v>
      </c>
      <c r="O75" s="17"/>
      <c r="P75" s="52">
        <f>SUM(P62:P73)</f>
        <v>1998127.9</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M13"/>
    <mergeCell ref="D20:F20"/>
    <mergeCell ref="H20:J20"/>
    <mergeCell ref="L20:N20"/>
    <mergeCell ref="D39:F39"/>
    <mergeCell ref="H39:J39"/>
    <mergeCell ref="L39:N39"/>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B1" workbookViewId="0">
      <pane ySplit="23" topLeftCell="A24" activePane="bottomLeft" state="frozenSplit"/>
      <selection pane="bottomLeft" activeCell="H62" sqref="H62"/>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4.44140625" customWidth="1"/>
  </cols>
  <sheetData>
    <row r="13" spans="2:18" ht="15.6" x14ac:dyDescent="0.3">
      <c r="B13" s="140" t="s">
        <v>225</v>
      </c>
    </row>
    <row r="15" spans="2:18" ht="3" customHeight="1" x14ac:dyDescent="0.25"/>
    <row r="16" spans="2:18" ht="3" customHeight="1" x14ac:dyDescent="0.25">
      <c r="B16" s="131"/>
      <c r="C16" s="139"/>
      <c r="D16" s="139"/>
      <c r="E16" s="136"/>
      <c r="F16" s="139"/>
      <c r="G16" s="132"/>
      <c r="H16" s="139"/>
      <c r="I16" s="136"/>
      <c r="J16" s="139"/>
      <c r="K16" s="132"/>
      <c r="L16" s="139"/>
      <c r="M16" s="139"/>
      <c r="N16" s="139"/>
      <c r="O16" s="139"/>
      <c r="P16" s="139"/>
      <c r="Q16" s="139"/>
      <c r="R16" s="139"/>
    </row>
    <row r="17" spans="2:18" ht="3" customHeight="1" x14ac:dyDescent="0.25"/>
    <row r="18" spans="2:18" ht="3" customHeight="1" x14ac:dyDescent="0.25"/>
    <row r="19" spans="2:18" ht="3" customHeight="1" x14ac:dyDescent="0.25"/>
    <row r="20" spans="2:18" ht="3" customHeight="1" x14ac:dyDescent="0.25"/>
    <row r="21" spans="2:18" ht="15.6" x14ac:dyDescent="0.3">
      <c r="B21" s="9"/>
      <c r="D21" s="11"/>
      <c r="E21" s="5"/>
      <c r="F21" s="12"/>
      <c r="G21" s="12"/>
      <c r="H21" s="5"/>
      <c r="I21" s="5"/>
      <c r="J21" s="5"/>
      <c r="K21" s="11"/>
    </row>
    <row r="22" spans="2:18" ht="46.8" x14ac:dyDescent="0.25">
      <c r="B22" s="131" t="s">
        <v>209</v>
      </c>
      <c r="C22" s="139"/>
      <c r="D22" s="139" t="s">
        <v>210</v>
      </c>
      <c r="E22" s="136"/>
      <c r="F22" s="139" t="s">
        <v>226</v>
      </c>
      <c r="G22" s="132"/>
      <c r="H22" s="139" t="s">
        <v>215</v>
      </c>
      <c r="I22" s="136"/>
      <c r="J22" s="139" t="s">
        <v>216</v>
      </c>
      <c r="K22" s="132"/>
      <c r="L22" s="139" t="s">
        <v>217</v>
      </c>
      <c r="M22" s="139"/>
      <c r="N22" s="139" t="s">
        <v>218</v>
      </c>
      <c r="O22" s="139"/>
      <c r="P22" s="139" t="s">
        <v>223</v>
      </c>
      <c r="Q22" s="139"/>
      <c r="R22" s="139" t="s">
        <v>211</v>
      </c>
    </row>
    <row r="25" spans="2:18" ht="25.5" customHeight="1" thickBot="1" x14ac:dyDescent="0.3">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5.8999999999999999E-3</v>
      </c>
      <c r="G25" s="64"/>
      <c r="H25" s="64">
        <f>VLOOKUP('9. Adj Network to Current WS'!$B25, '4. RRR Data'!$B$27:$M$49,11,0)</f>
        <v>147654537.5187</v>
      </c>
      <c r="I25" s="72"/>
      <c r="J25" s="64">
        <f>VLOOKUP('9. Adj Network to Current WS'!$B25, '4. RRR Data'!$B$27:$M$49,12,0)</f>
        <v>0</v>
      </c>
      <c r="K25" s="58"/>
      <c r="L25" s="60">
        <f>IF(F25="", "", IF(D25="kWh", F25*H25, F25*J25))</f>
        <v>871161.77136033005</v>
      </c>
      <c r="M25" s="55"/>
      <c r="N25" s="61">
        <f>IF(ISERROR(L25/$L$49), "", L25/$L$49)</f>
        <v>0.32162833778049571</v>
      </c>
      <c r="O25" s="13"/>
      <c r="P25" s="62">
        <f>IF(ISERROR('7. Current Wholesale'!$F$75*N25), "", '7. Current Wholesale'!$F$75*N25)</f>
        <v>802408.52125255426</v>
      </c>
      <c r="R25" s="63">
        <f>IF(D25="","",IF(D25="kWh",IF(H25&lt;&gt;0,P25/H25,),IF(J25&lt;&gt;0,P25/J25,0)))</f>
        <v>5.434364122747881E-3</v>
      </c>
    </row>
    <row r="26" spans="2:18" ht="25.5" customHeight="1" thickBot="1" x14ac:dyDescent="0.3">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5.4000000000000003E-3</v>
      </c>
      <c r="G26" s="64"/>
      <c r="H26" s="64">
        <f>VLOOKUP('9. Adj Network to Current WS'!$B26, '4. RRR Data'!$B$27:$M$49,11,0)</f>
        <v>51030462.6765</v>
      </c>
      <c r="I26" s="72"/>
      <c r="J26" s="64">
        <f>VLOOKUP('9. Adj Network to Current WS'!$B26, '4. RRR Data'!$B$27:$M$49,12,0)</f>
        <v>0</v>
      </c>
      <c r="K26" s="59"/>
      <c r="L26" s="60">
        <f t="shared" ref="L26:L46" si="0">IF(F26="", "", IF(D26="kWh", F26*H26, F26*J26))</f>
        <v>275564.49845310004</v>
      </c>
      <c r="M26" s="55"/>
      <c r="N26" s="61">
        <f t="shared" ref="N26:N46" si="1">IF(ISERROR(L26/$L$49), "", L26/$L$49)</f>
        <v>0.10173696149498238</v>
      </c>
      <c r="P26" s="62">
        <f>IF(ISERROR('7. Current Wholesale'!$F$75*N26), "", '7. Current Wholesale'!$F$75*N26)</f>
        <v>253816.58032144757</v>
      </c>
      <c r="R26" s="63">
        <f t="shared" ref="R26:R46" si="2">IF(D26="","",IF(D26="kWh",IF(H26&lt;&gt;0,P26/H26,),IF(J26&lt;&gt;0,P26/J26,0)))</f>
        <v>4.9738247903116199E-3</v>
      </c>
    </row>
    <row r="27" spans="2:18" ht="25.5" customHeight="1" thickBot="1" x14ac:dyDescent="0.3">
      <c r="B27" s="15" t="str">
        <f>IF('3. Rate Classes'!Q26=1,'3. Rate Classes'!C26, 0)</f>
        <v>General Service 50 to 999 kW</v>
      </c>
      <c r="C27" s="8"/>
      <c r="D27" s="16" t="str">
        <f>IF(ISERROR(VLOOKUP($B27, '3. Rate Classes'!$C$24:$H$45,6,0)), "", VLOOKUP($B27, '3. Rate Classes'!$C$24:$H$45,6,0))</f>
        <v>kW</v>
      </c>
      <c r="F27" s="70">
        <f>IF(ISERROR(VLOOKUP($B27,'3. Rate Classes'!$C$24:$N$45, 8,0)), "", VLOOKUP($B27,'3. Rate Classes'!$C$24:$N$45, 8,0))</f>
        <v>2.4575</v>
      </c>
      <c r="G27" s="64"/>
      <c r="H27" s="64">
        <f>VLOOKUP('9. Adj Network to Current WS'!$B27, '4. RRR Data'!$B$27:$M$49,11,0)</f>
        <v>76414560</v>
      </c>
      <c r="I27" s="72"/>
      <c r="J27" s="64">
        <f>VLOOKUP('9. Adj Network to Current WS'!$B27, '4. RRR Data'!$B$27:$M$49,12,0)</f>
        <v>223584</v>
      </c>
      <c r="K27" s="59"/>
      <c r="L27" s="60">
        <f t="shared" si="0"/>
        <v>549457.68000000005</v>
      </c>
      <c r="M27" s="55"/>
      <c r="N27" s="61">
        <f t="shared" si="1"/>
        <v>0.20285688159063181</v>
      </c>
      <c r="P27" s="62">
        <f>IF(ISERROR('7. Current Wholesale'!$F$75*N27), "", '7. Current Wholesale'!$F$75*N27)</f>
        <v>506093.7462983536</v>
      </c>
      <c r="R27" s="63">
        <f t="shared" si="2"/>
        <v>2.2635508189242235</v>
      </c>
    </row>
    <row r="28" spans="2:18" ht="25.5" customHeight="1" thickBot="1" x14ac:dyDescent="0.3">
      <c r="B28" s="15" t="str">
        <f>IF('3. Rate Classes'!Q27=1,'3. Rate Classes'!C27, 0)</f>
        <v>General Service 1,000 to 4,999 kW</v>
      </c>
      <c r="C28" s="8"/>
      <c r="D28" s="16" t="str">
        <f>IF(ISERROR(VLOOKUP($B28, '3. Rate Classes'!$C$24:$H$45,6,0)), "", VLOOKUP($B28, '3. Rate Classes'!$C$24:$H$45,6,0))</f>
        <v>kW</v>
      </c>
      <c r="F28" s="70">
        <f>IF(ISERROR(VLOOKUP($B28,'3. Rate Classes'!$C$24:$N$45, 8,0)), "", VLOOKUP($B28,'3. Rate Classes'!$C$24:$N$45, 8,0))</f>
        <v>2.6692</v>
      </c>
      <c r="G28" s="64"/>
      <c r="H28" s="64">
        <f>VLOOKUP('9. Adj Network to Current WS'!$B28, '4. RRR Data'!$B$27:$M$49,11,0)</f>
        <v>99303972</v>
      </c>
      <c r="I28" s="72"/>
      <c r="J28" s="64">
        <f>VLOOKUP('9. Adj Network to Current WS'!$B28, '4. RRR Data'!$B$27:$M$49,12,0)</f>
        <v>168548</v>
      </c>
      <c r="K28" s="59"/>
      <c r="L28" s="60">
        <f t="shared" si="0"/>
        <v>449888.32160000002</v>
      </c>
      <c r="M28" s="55"/>
      <c r="N28" s="61">
        <f t="shared" si="1"/>
        <v>0.16609639887792502</v>
      </c>
      <c r="P28" s="62">
        <f>IF(ISERROR('7. Current Wholesale'!$F$75*N28), "", '7. Current Wholesale'!$F$75*N28)</f>
        <v>414382.53460106795</v>
      </c>
      <c r="R28" s="63">
        <f t="shared" si="2"/>
        <v>2.4585431722777367</v>
      </c>
    </row>
    <row r="29" spans="2:18" ht="25.5" customHeight="1" thickBot="1" x14ac:dyDescent="0.3">
      <c r="B29" s="15" t="str">
        <f>IF('3. Rate Classes'!Q28=1,'3. Rate Classes'!C28, 0)</f>
        <v>Large Use</v>
      </c>
      <c r="C29" s="8"/>
      <c r="D29" s="16" t="str">
        <f>IF(ISERROR(VLOOKUP($B29, '3. Rate Classes'!$C$24:$H$45,6,0)), "", VLOOKUP($B29, '3. Rate Classes'!$C$24:$H$45,6,0))</f>
        <v>kW</v>
      </c>
      <c r="F29" s="70">
        <f>IF(ISERROR(VLOOKUP($B29,'3. Rate Classes'!$C$24:$N$45, 8,0)), "", VLOOKUP($B29,'3. Rate Classes'!$C$24:$N$45, 8,0))</f>
        <v>2.9590999999999998</v>
      </c>
      <c r="G29" s="64"/>
      <c r="H29" s="64">
        <f>VLOOKUP('9. Adj Network to Current WS'!$B29, '4. RRR Data'!$B$27:$M$49,11,0)</f>
        <v>95335410</v>
      </c>
      <c r="I29" s="72"/>
      <c r="J29" s="64">
        <f>VLOOKUP('9. Adj Network to Current WS'!$B29, '4. RRR Data'!$B$27:$M$49,12,0)</f>
        <v>159576</v>
      </c>
      <c r="K29" s="59"/>
      <c r="L29" s="60">
        <f t="shared" si="0"/>
        <v>472201.34159999999</v>
      </c>
      <c r="M29" s="55"/>
      <c r="N29" s="61">
        <f t="shared" si="1"/>
        <v>0.17433424834445607</v>
      </c>
      <c r="P29" s="62">
        <f>IF(ISERROR('7. Current Wholesale'!$F$75*N29), "", '7. Current Wholesale'!$F$75*N29)</f>
        <v>434934.58127194177</v>
      </c>
      <c r="R29" s="63">
        <f t="shared" si="2"/>
        <v>2.7255638772242805</v>
      </c>
    </row>
    <row r="30" spans="2:18" ht="25.5" customHeight="1" thickBot="1" x14ac:dyDescent="0.3">
      <c r="B30" s="15" t="str">
        <f>IF('3. Rate Classes'!Q29=1,'3. Rate Classes'!C29, 0)</f>
        <v>Unmetered Scattered Load</v>
      </c>
      <c r="C30" s="8"/>
      <c r="D30" s="16" t="str">
        <f>IF(ISERROR(VLOOKUP($B30, '3. Rate Classes'!$C$24:$H$45,6,0)), "", VLOOKUP($B30, '3. Rate Classes'!$C$24:$H$45,6,0))</f>
        <v>kWh</v>
      </c>
      <c r="F30" s="70">
        <f>IF(ISERROR(VLOOKUP($B30,'3. Rate Classes'!$C$24:$N$45, 8,0)), "", VLOOKUP($B30,'3. Rate Classes'!$C$24:$N$45, 8,0))</f>
        <v>5.4000000000000003E-3</v>
      </c>
      <c r="G30" s="64"/>
      <c r="H30" s="64">
        <f>VLOOKUP('9. Adj Network to Current WS'!$B30, '4. RRR Data'!$B$27:$M$49,11,0)</f>
        <v>634129.47470000002</v>
      </c>
      <c r="I30" s="72"/>
      <c r="J30" s="64">
        <f>VLOOKUP('9. Adj Network to Current WS'!$B30, '4. RRR Data'!$B$27:$M$49,12,0)</f>
        <v>0</v>
      </c>
      <c r="K30" s="59"/>
      <c r="L30" s="60">
        <f t="shared" si="0"/>
        <v>3424.2991633800002</v>
      </c>
      <c r="M30" s="55"/>
      <c r="N30" s="61">
        <f t="shared" si="1"/>
        <v>1.2642332161353648E-3</v>
      </c>
      <c r="P30" s="62">
        <f>IF(ISERROR('7. Current Wholesale'!$F$75*N30), "", '7. Current Wholesale'!$F$75*N30)</f>
        <v>3154.048901530145</v>
      </c>
      <c r="R30" s="63">
        <f t="shared" si="2"/>
        <v>4.9738247903116199E-3</v>
      </c>
    </row>
    <row r="31" spans="2:18" ht="25.5" customHeight="1" thickBot="1" x14ac:dyDescent="0.3">
      <c r="B31" s="15" t="str">
        <f>IF('3. Rate Classes'!Q30=1,'3. Rate Classes'!C30, 0)</f>
        <v>Sentinel Lighting</v>
      </c>
      <c r="C31" s="8"/>
      <c r="D31" s="16" t="str">
        <f>IF(ISERROR(VLOOKUP($B31, '3. Rate Classes'!$C$24:$H$45,6,0)), "", VLOOKUP($B31, '3. Rate Classes'!$C$24:$H$45,6,0))</f>
        <v>kW</v>
      </c>
      <c r="F31" s="70">
        <f>IF(ISERROR(VLOOKUP($B31,'3. Rate Classes'!$C$24:$N$45, 8,0)), "", VLOOKUP($B31,'3. Rate Classes'!$C$24:$N$45, 8,0))</f>
        <v>1.8978999999999999</v>
      </c>
      <c r="G31" s="64"/>
      <c r="H31" s="64">
        <f>VLOOKUP('9. Adj Network to Current WS'!$B31, '4. RRR Data'!$B$27:$M$49,11,0)</f>
        <v>54410</v>
      </c>
      <c r="I31" s="72"/>
      <c r="J31" s="64">
        <f>VLOOKUP('9. Adj Network to Current WS'!$B31, '4. RRR Data'!$B$27:$M$49,12,0)</f>
        <v>18</v>
      </c>
      <c r="K31" s="59"/>
      <c r="L31" s="60">
        <f t="shared" si="0"/>
        <v>34.162199999999999</v>
      </c>
      <c r="M31" s="55"/>
      <c r="N31" s="61">
        <f t="shared" si="1"/>
        <v>1.2612504315665369E-5</v>
      </c>
      <c r="P31" s="62">
        <f>IF(ISERROR('7. Current Wholesale'!$F$75*N31), "", '7. Current Wholesale'!$F$75*N31)</f>
        <v>31.466073565108079</v>
      </c>
      <c r="R31" s="63">
        <f t="shared" si="2"/>
        <v>1.7481151980615599</v>
      </c>
    </row>
    <row r="32" spans="2:18" ht="25.5" customHeight="1" thickBot="1" x14ac:dyDescent="0.3">
      <c r="B32" s="15" t="str">
        <f>IF('3. Rate Classes'!Q31=1,'3. Rate Classes'!C31, 0)</f>
        <v>Street Lighting</v>
      </c>
      <c r="C32" s="8"/>
      <c r="D32" s="16" t="str">
        <f>IF(ISERROR(VLOOKUP($B32, '3. Rate Classes'!$C$24:$H$45,6,0)), "", VLOOKUP($B32, '3. Rate Classes'!$C$24:$H$45,6,0))</f>
        <v>kW</v>
      </c>
      <c r="F32" s="70">
        <f>IF(ISERROR(VLOOKUP($B32,'3. Rate Classes'!$C$24:$N$45, 8,0)), "", VLOOKUP($B32,'3. Rate Classes'!$C$24:$N$45, 8,0))</f>
        <v>1.8978999999999999</v>
      </c>
      <c r="G32" s="64"/>
      <c r="H32" s="64">
        <f>VLOOKUP('9. Adj Network to Current WS'!$B32, '4. RRR Data'!$B$27:$M$49,11,0)</f>
        <v>4189868</v>
      </c>
      <c r="I32" s="72"/>
      <c r="J32" s="64">
        <f>VLOOKUP('9. Adj Network to Current WS'!$B32, '4. RRR Data'!$B$27:$M$49,12,0)</f>
        <v>920</v>
      </c>
      <c r="K32" s="59"/>
      <c r="L32" s="60">
        <f t="shared" si="0"/>
        <v>1746.068</v>
      </c>
      <c r="M32" s="55"/>
      <c r="N32" s="61">
        <f t="shared" si="1"/>
        <v>6.4463910946734103E-4</v>
      </c>
      <c r="P32" s="62">
        <f>IF(ISERROR('7. Current Wholesale'!$F$75*N32), "", '7. Current Wholesale'!$F$75*N32)</f>
        <v>1608.2659822166349</v>
      </c>
      <c r="R32" s="63">
        <f t="shared" si="2"/>
        <v>1.7481151980615597</v>
      </c>
    </row>
    <row r="33" spans="2:18" ht="25.5" customHeight="1" thickBot="1" x14ac:dyDescent="0.3">
      <c r="B33" s="15" t="str">
        <f>IF('3. Rate Classes'!Q32=1,'3. Rate Classes'!C32, 0)</f>
        <v>Embedded Distributor</v>
      </c>
      <c r="C33" s="8"/>
      <c r="D33" s="16" t="str">
        <f>IF(ISERROR(VLOOKUP($B33, '3. Rate Classes'!$C$24:$H$45,6,0)), "", VLOOKUP($B33, '3. Rate Classes'!$C$24:$H$45,6,0))</f>
        <v>kW</v>
      </c>
      <c r="F33" s="70">
        <f>IF(ISERROR(VLOOKUP($B33,'3. Rate Classes'!$C$24:$N$45, 8,0)), "", VLOOKUP($B33,'3. Rate Classes'!$C$24:$N$45, 8,0))</f>
        <v>3.5709</v>
      </c>
      <c r="G33" s="64"/>
      <c r="H33" s="64">
        <f>VLOOKUP('9. Adj Network to Current WS'!$B33, '4. RRR Data'!$B$27:$M$49,11,0)</f>
        <v>17400000</v>
      </c>
      <c r="I33" s="72"/>
      <c r="J33" s="64">
        <f>VLOOKUP('9. Adj Network to Current WS'!$B33, '4. RRR Data'!$B$27:$M$49,12,0)</f>
        <v>23837</v>
      </c>
      <c r="K33" s="59"/>
      <c r="L33" s="60">
        <f t="shared" si="0"/>
        <v>85119.543300000005</v>
      </c>
      <c r="M33" s="55"/>
      <c r="N33" s="61">
        <f t="shared" si="1"/>
        <v>3.1425687081590624E-2</v>
      </c>
      <c r="P33" s="62">
        <f>IF(ISERROR('7. Current Wholesale'!$F$75*N33), "", '7. Current Wholesale'!$F$75*N33)</f>
        <v>78401.795297322838</v>
      </c>
      <c r="R33" s="63">
        <f t="shared" si="2"/>
        <v>3.2890798043932894</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8" hidden="1" thickBot="1" x14ac:dyDescent="0.3">
      <c r="F47" s="70"/>
      <c r="G47" s="74"/>
      <c r="H47" s="74"/>
      <c r="I47" s="74"/>
      <c r="J47" s="74"/>
      <c r="R47" s="63"/>
    </row>
    <row r="48" spans="2:18" ht="13.8" thickBot="1" x14ac:dyDescent="0.3">
      <c r="F48" s="70"/>
      <c r="G48" s="74"/>
      <c r="H48" s="74"/>
      <c r="I48" s="74"/>
      <c r="J48" s="74"/>
    </row>
    <row r="49" spans="6:12" ht="13.8" thickBot="1" x14ac:dyDescent="0.3">
      <c r="F49" s="70"/>
      <c r="G49" s="74"/>
      <c r="H49" s="74"/>
      <c r="I49" s="74"/>
      <c r="J49" s="74"/>
      <c r="L49" s="71">
        <f>SUM(L25:L46)</f>
        <v>2708597.6856768103</v>
      </c>
    </row>
    <row r="50" spans="6:12" ht="13.8" thickBot="1" x14ac:dyDescent="0.3">
      <c r="F50" s="70"/>
      <c r="G50" s="74"/>
      <c r="H50" s="74"/>
      <c r="I50" s="74"/>
      <c r="J50" s="74"/>
    </row>
    <row r="51" spans="6:12" ht="13.8" thickBot="1" x14ac:dyDescent="0.3">
      <c r="F51" s="70"/>
      <c r="G51" s="74"/>
      <c r="H51" s="74"/>
      <c r="I51" s="74"/>
      <c r="J51" s="74"/>
    </row>
    <row r="52" spans="6:12" ht="13.8" thickBot="1" x14ac:dyDescent="0.3">
      <c r="F52" s="64"/>
      <c r="G52" s="74"/>
      <c r="H52" s="74"/>
      <c r="I52" s="74"/>
      <c r="J52" s="74"/>
    </row>
    <row r="53" spans="6:12" ht="13.8" thickBot="1" x14ac:dyDescent="0.3">
      <c r="F53" s="64"/>
      <c r="G53" s="74"/>
      <c r="H53" s="74"/>
      <c r="I53" s="74"/>
      <c r="J53" s="74"/>
    </row>
    <row r="54" spans="6:12" ht="13.8" thickBot="1" x14ac:dyDescent="0.3">
      <c r="F54" s="64"/>
      <c r="G54" s="74"/>
      <c r="H54" s="74"/>
      <c r="I54" s="74"/>
      <c r="J54" s="74"/>
    </row>
    <row r="55" spans="6:12" ht="13.8" thickBot="1" x14ac:dyDescent="0.3">
      <c r="F55" s="64"/>
      <c r="G55" s="74"/>
      <c r="H55" s="74"/>
      <c r="I55" s="74"/>
      <c r="J55" s="74"/>
    </row>
    <row r="56" spans="6:12" ht="13.8" thickBot="1" x14ac:dyDescent="0.3">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Graig Pettit</cp:lastModifiedBy>
  <cp:lastPrinted>2011-06-17T14:34:21Z</cp:lastPrinted>
  <dcterms:created xsi:type="dcterms:W3CDTF">2011-05-30T20:18:50Z</dcterms:created>
  <dcterms:modified xsi:type="dcterms:W3CDTF">2013-03-12T14:54:22Z</dcterms:modified>
</cp:coreProperties>
</file>