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19320" windowHeight="10485" tabRatio="720" activeTab="2"/>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iterateCount="1"/>
</workbook>
</file>

<file path=xl/calcChain.xml><?xml version="1.0" encoding="utf-8"?>
<calcChain xmlns="http://schemas.openxmlformats.org/spreadsheetml/2006/main">
  <c r="O15" i="5" l="1"/>
  <c r="M15" i="5"/>
  <c r="M7" i="5"/>
  <c r="K15" i="5" l="1"/>
  <c r="I15" i="5"/>
  <c r="O10" i="5"/>
  <c r="O7" i="5"/>
  <c r="M10" i="5"/>
  <c r="K10" i="5"/>
  <c r="K9" i="5"/>
  <c r="K7" i="5"/>
  <c r="I10" i="5"/>
  <c r="I7" i="5"/>
  <c r="O5" i="5"/>
  <c r="M5" i="5"/>
  <c r="K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<sst xmlns="http://schemas.openxmlformats.org/spreadsheetml/2006/main" count="1155" uniqueCount="190">
  <si>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</si>
  <si>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</si>
  <si>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</si>
  <si>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</si>
  <si>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</si>
  <si>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</si>
  <si>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</si>
  <si>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</si>
  <si>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</si>
  <si>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</si>
  <si>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</si>
  <si>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</si>
  <si>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</si>
  <si>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</si>
  <si>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</si>
  <si>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</si>
  <si>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</si>
  <si>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</si>
  <si>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</si>
  <si>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</si>
  <si>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</si>
  <si>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</si>
  <si>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</si>
  <si>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</si>
  <si>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</si>
  <si>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</si>
  <si>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</si>
  <si>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</si>
  <si>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</si>
  <si>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</si>
  <si>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</si>
  <si>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</si>
  <si>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</si>
  <si>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</si>
  <si>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</si>
  <si>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</si>
  <si>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</si>
  <si>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</si>
  <si>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</si>
  <si>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</si>
  <si>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</si>
  <si>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</si>
  <si>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</si>
  <si>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</si>
  <si>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</si>
  <si>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</si>
  <si>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</si>
  <si>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</si>
  <si>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</si>
  <si>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</si>
  <si>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</si>
  <si>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</si>
  <si>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</si>
  <si>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</si>
  <si>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</si>
  <si>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</si>
  <si>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</si>
  <si>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</si>
  <si>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</si>
  <si>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</si>
  <si>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</si>
  <si>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</si>
  <si>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</si>
  <si>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</si>
  <si>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</si>
  <si>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</si>
  <si>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</si>
  <si>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</si>
  <si>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</si>
  <si>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</si>
  <si>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</si>
  <si>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</si>
  <si>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</si>
  <si>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</si>
  <si>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</si>
  <si>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</si>
  <si>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</si>
  <si>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</si>
  <si>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</si>
  <si>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</si>
  <si>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</si>
  <si>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</si>
  <si>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</si>
  <si>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</si>
  <si>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</si>
  <si>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</si>
  <si>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</si>
  <si>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</si>
  <si>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</si>
  <si>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</si>
  <si>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</si>
  <si>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</si>
  <si>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</si>
  <si>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</si>
  <si>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</si>
  <si>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</si>
  <si>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</si>
  <si>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</si>
  <si>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</si>
  <si>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</si>
  <si>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</si>
  <si>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</si>
  <si>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</si>
  <si>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</si>
  <si>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</si>
  <si>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</si>
  <si>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</si>
  <si>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</si>
  <si>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</si>
  <si>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</si>
  <si>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</si>
  <si>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</si>
  <si>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</si>
  <si>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</si>
  <si>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</si>
  <si>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</si>
  <si>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</si>
  <si>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</si>
  <si>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</si>
  <si>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</si>
  <si>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</si>
  <si>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</si>
  <si>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</si>
  <si>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</si>
  <si>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</si>
  <si>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</si>
  <si>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</si>
  <si>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</si>
  <si>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</si>
  <si>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</si>
  <si>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</si>
  <si>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</si>
  <si>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</si>
  <si>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</si>
  <si>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</si>
  <si>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</si>
  <si>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</si>
  <si>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</si>
  <si>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</si>
  <si>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</si>
  <si>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</si>
  <si>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</si>
  <si>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</si>
  <si>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</si>
  <si>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</si>
  <si>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</si>
  <si>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</si>
  <si>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</si>
  <si>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</si>
  <si>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</si>
  <si>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</si>
  <si>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</si>
  <si>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</si>
  <si>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</si>
  <si>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</si>
  <si>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</si>
  <si>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</si>
  <si>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</si>
  <si>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</si>
  <si>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</si>
  <si>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</si>
  <si>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</si>
  <si>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</si>
  <si>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</si>
  <si>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</si>
  <si>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</si>
  <si>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</si>
  <si>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</si>
  <si>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</si>
  <si>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</si>
  <si>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</si>
  <si>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</si>
  <si>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</si>
  <si>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</si>
  <si>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</si>
  <si>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</si>
  <si>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</si>
  <si>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</si>
  <si>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</si>
  <si>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</si>
  <si>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</si>
  <si>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</si>
  <si>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</si>
  <si>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</si>
  <si>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Grant Brooker, Manager, Regulatory Affairs</t>
  </si>
  <si>
    <t>519.621.8405 ext 2340</t>
  </si>
  <si>
    <t>gbrooker@camhydro.com</t>
  </si>
  <si>
    <t>The Final Rate Order is Dated August 23, 2012</t>
  </si>
  <si>
    <t xml:space="preserve">The application is EB-2012-0086.  </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</si>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</sst>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15" fontId="0" fillId="4" borderId="9" xfId="0" applyNumberFormat="1"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4"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16</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K5" activePane="bottomRight" state="frozen"/>
      <selection pane="topRight" activeCell="D1" sqref="D1"/>
      <selection pane="bottomLeft" activeCell="A4" sqref="A4"/>
      <selection pane="bottomRight" activeCell="Q16" sqref="Q1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Cambridge and North Dumfries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f>7205+285</f>
        <v>7490</v>
      </c>
      <c r="L5" s="90">
        <f>J5+K5</f>
        <v>7490</v>
      </c>
      <c r="M5" s="103">
        <f>4053+38304</f>
        <v>42357</v>
      </c>
      <c r="N5" s="90">
        <f>L5+M5</f>
        <v>49847</v>
      </c>
      <c r="O5" s="103">
        <f>558+304</f>
        <v>862</v>
      </c>
      <c r="P5" s="90">
        <f>N5+O5</f>
        <v>50709</v>
      </c>
      <c r="Q5" s="103">
        <v>0</v>
      </c>
      <c r="R5" s="91">
        <f>P5+Q5</f>
        <v>50709</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f>110220+38445</f>
        <v>148665</v>
      </c>
      <c r="J7" s="92">
        <f t="shared" ref="J7:J12" si="2">H7+I7</f>
        <v>148665</v>
      </c>
      <c r="K7" s="104">
        <f>1125457+392559</f>
        <v>1518016</v>
      </c>
      <c r="L7" s="92">
        <f t="shared" ref="L7:L12" si="3">J7+K7</f>
        <v>1666681</v>
      </c>
      <c r="M7" s="104">
        <f>4206744+1467457+986</f>
        <v>5675187</v>
      </c>
      <c r="N7" s="92">
        <f t="shared" ref="N7:N12" si="4">L7+M7</f>
        <v>7341868</v>
      </c>
      <c r="O7" s="104">
        <f>298758+104207</f>
        <v>402965</v>
      </c>
      <c r="P7" s="92">
        <f t="shared" ref="P7:P12" si="5">N7+O7</f>
        <v>7744833</v>
      </c>
      <c r="Q7" s="104">
        <v>0</v>
      </c>
      <c r="R7" s="93">
        <f t="shared" ref="R7:R12" si="6">P7+Q7</f>
        <v>7744833</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f>181448+63289</f>
        <v>244737</v>
      </c>
      <c r="L9" s="92">
        <f t="shared" si="3"/>
        <v>244737</v>
      </c>
      <c r="M9" s="104">
        <v>0</v>
      </c>
      <c r="N9" s="92">
        <f t="shared" si="4"/>
        <v>244737</v>
      </c>
      <c r="O9" s="104">
        <v>0</v>
      </c>
      <c r="P9" s="92">
        <f t="shared" si="5"/>
        <v>244737</v>
      </c>
      <c r="Q9" s="104">
        <v>0</v>
      </c>
      <c r="R9" s="93">
        <f t="shared" si="6"/>
        <v>244737</v>
      </c>
    </row>
    <row r="10" spans="2:19" x14ac:dyDescent="0.25">
      <c r="B10" s="29" t="s">
        <v>128</v>
      </c>
      <c r="C10" s="57">
        <v>1925</v>
      </c>
      <c r="D10" s="104">
        <v>0</v>
      </c>
      <c r="E10" s="104">
        <v>0</v>
      </c>
      <c r="F10" s="92">
        <f t="shared" si="0"/>
        <v>0</v>
      </c>
      <c r="G10" s="104">
        <v>0</v>
      </c>
      <c r="H10" s="92">
        <f t="shared" si="1"/>
        <v>0</v>
      </c>
      <c r="I10" s="104">
        <f>17940+6257</f>
        <v>24197</v>
      </c>
      <c r="J10" s="92">
        <f t="shared" si="2"/>
        <v>24197</v>
      </c>
      <c r="K10" s="104">
        <f>43832+15288</f>
        <v>59120</v>
      </c>
      <c r="L10" s="92">
        <f t="shared" si="3"/>
        <v>83317</v>
      </c>
      <c r="M10" s="104">
        <f>39049+13620</f>
        <v>52669</v>
      </c>
      <c r="N10" s="92">
        <f t="shared" si="4"/>
        <v>135986</v>
      </c>
      <c r="O10" s="104">
        <f>38879+13561</f>
        <v>52440</v>
      </c>
      <c r="P10" s="92">
        <f t="shared" si="5"/>
        <v>188426</v>
      </c>
      <c r="Q10" s="104">
        <v>0</v>
      </c>
      <c r="R10" s="93">
        <f t="shared" si="6"/>
        <v>188426</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172862</v>
      </c>
      <c r="J13" s="96">
        <f t="shared" si="7"/>
        <v>172862</v>
      </c>
      <c r="K13" s="106">
        <f t="shared" si="7"/>
        <v>1821873</v>
      </c>
      <c r="L13" s="96">
        <f t="shared" si="7"/>
        <v>1994735</v>
      </c>
      <c r="M13" s="106">
        <f t="shared" si="7"/>
        <v>5727856</v>
      </c>
      <c r="N13" s="96">
        <f t="shared" si="7"/>
        <v>7722591</v>
      </c>
      <c r="O13" s="106">
        <f t="shared" si="7"/>
        <v>455405</v>
      </c>
      <c r="P13" s="96">
        <f t="shared" si="7"/>
        <v>8177996</v>
      </c>
      <c r="Q13" s="106">
        <f t="shared" si="7"/>
        <v>0</v>
      </c>
      <c r="R13" s="97">
        <f t="shared" si="7"/>
        <v>8177996</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f>-3674-2990-1282-1043</f>
        <v>-8989</v>
      </c>
      <c r="J15" s="92">
        <f>H15+I15</f>
        <v>-8989</v>
      </c>
      <c r="K15" s="104">
        <f>-44863-18145-13285-15648-6329-4634</f>
        <v>-102904</v>
      </c>
      <c r="L15" s="92">
        <f>J15+K15</f>
        <v>-111893</v>
      </c>
      <c r="M15" s="104">
        <f>-222603-36290-27099-77649-12658-9452-32</f>
        <v>-385783</v>
      </c>
      <c r="N15" s="92">
        <f>L15+M15</f>
        <v>-497676</v>
      </c>
      <c r="O15" s="104">
        <f>-372787-36290-40087-130038-12658-13982-64</f>
        <v>-605906</v>
      </c>
      <c r="P15" s="92">
        <f>N15+O15</f>
        <v>-1103582</v>
      </c>
      <c r="Q15" s="104">
        <v>0</v>
      </c>
      <c r="R15" s="93">
        <f>P15+Q15</f>
        <v>-1103582</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-8989</v>
      </c>
      <c r="J19" s="96">
        <f t="shared" si="8"/>
        <v>-8989</v>
      </c>
      <c r="K19" s="106">
        <f t="shared" si="8"/>
        <v>-102904</v>
      </c>
      <c r="L19" s="96">
        <f t="shared" si="8"/>
        <v>-111893</v>
      </c>
      <c r="M19" s="106">
        <f t="shared" si="8"/>
        <v>-385783</v>
      </c>
      <c r="N19" s="96">
        <f t="shared" si="8"/>
        <v>-497676</v>
      </c>
      <c r="O19" s="106">
        <f t="shared" si="8"/>
        <v>-605906</v>
      </c>
      <c r="P19" s="96">
        <f t="shared" si="8"/>
        <v>-1103582</v>
      </c>
      <c r="Q19" s="106">
        <f t="shared" si="8"/>
        <v>0</v>
      </c>
      <c r="R19" s="97">
        <f t="shared" si="8"/>
        <v>-1103582</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163873</v>
      </c>
      <c r="J21" s="98">
        <f t="shared" si="9"/>
        <v>163873</v>
      </c>
      <c r="K21" s="107">
        <f t="shared" si="9"/>
        <v>1718969</v>
      </c>
      <c r="L21" s="98">
        <f t="shared" si="9"/>
        <v>1882842</v>
      </c>
      <c r="M21" s="107">
        <f t="shared" si="9"/>
        <v>5342073</v>
      </c>
      <c r="N21" s="98">
        <f t="shared" si="9"/>
        <v>7224915</v>
      </c>
      <c r="O21" s="107">
        <f t="shared" si="9"/>
        <v>-150501</v>
      </c>
      <c r="P21" s="98">
        <f t="shared" si="9"/>
        <v>7074414</v>
      </c>
      <c r="Q21" s="107">
        <f t="shared" si="9"/>
        <v>0</v>
      </c>
      <c r="R21" s="99">
        <f t="shared" si="9"/>
        <v>7074414</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tabSelected="1" zoomScaleNormal="100" zoomScaleSheetLayoutView="130" workbookViewId="0">
      <pane xSplit="3" ySplit="4" topLeftCell="L5" activePane="bottomRight" state="frozen"/>
      <selection pane="topRight" activeCell="D1" sqref="D1"/>
      <selection pane="bottomLeft" activeCell="A5" sqref="A5"/>
      <selection pane="bottomRight" activeCell="M6" sqref="M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Cambridge and North Dumfries Hydro Inc.</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9280027</v>
      </c>
      <c r="E5" s="126">
        <f>IF(ISERR(DGET(BALANCES_IN_1815_TABLE,TS_Primary_Above_50,BALANCE2003)),0,DGET(BALANCES_IN_1815_TABLE,TS_Primary_Above_50,BALANCE2003))</f>
        <v>9290178</v>
      </c>
      <c r="F5" s="126">
        <f>IF(ISERR(DGET(BALANCES_IN_1815_TABLE,TS_Primary_Above_50,BALANCE2004)),0,DGET(BALANCES_IN_1815_TABLE,TS_Primary_Above_50,BALANCE2004))</f>
        <v>9290178</v>
      </c>
      <c r="G5" s="126">
        <f>IF(ISERR(DGET(BALANCES_IN_1815_TABLE,TS_Primary_Above_50,BALANCE2005)),0,DGET(BALANCES_IN_1815_TABLE,TS_Primary_Above_50,BALANCE2005))</f>
        <v>9290178</v>
      </c>
      <c r="H5" s="126">
        <f>IF(ISERR(DGET(BALANCES_IN_1815_TABLE,TS_Primary_Above_50,BALANCE2006)),0,DGET(BALANCES_IN_1815_TABLE,TS_Primary_Above_50,BALANCE2006))</f>
        <v>9468921</v>
      </c>
      <c r="I5" s="126">
        <f>IF(ISERR(DGET(BALANCES_IN_1815_TABLE,TS_Primary_Above_50,BALANCE2007)),0,DGET(BALANCES_IN_1815_TABLE,TS_Primary_Above_50,BALANCE2007))</f>
        <v>9766115</v>
      </c>
      <c r="J5" s="126">
        <f>IF(ISERR(DGET(BALANCES_IN_1815_TABLE,TS_Primary_Above_50,BALANCE2008)),0,DGET(BALANCES_IN_1815_TABLE,TS_Primary_Above_50,BALANCE2008))</f>
        <v>9771354</v>
      </c>
      <c r="K5" s="126">
        <f>IF(ISERR(DGET(BALANCES_IN_1815_TABLE,TS_Primary_Above_50,BALANCE2009)),0,DGET(BALANCES_IN_1815_TABLE,TS_Primary_Above_50,BALANCE2009))</f>
        <v>9771354</v>
      </c>
      <c r="L5" s="126">
        <f>IF(ISERR(DGET(BALANCES_IN_1815_TABLE,TS_Primary_Above_50,BALANCE2010)),0,DGET(BALANCES_IN_1815_TABLE,TS_Primary_Above_50,BALANCE2010))</f>
        <v>9771354</v>
      </c>
      <c r="M5" s="139">
        <f>IF(ISERR(DGET(BALANCES_IN_1815_TABLE,TS_Primary_Above_50,BALANCE2011)),0,DGET(BALANCES_IN_1815_TABLE,TS_Primary_Above_50,BALANCE2011))</f>
        <v>9777743</v>
      </c>
    </row>
    <row r="6" spans="1:13" s="44" customFormat="1" ht="45" x14ac:dyDescent="0.25">
      <c r="A6" s="36"/>
      <c r="B6" s="115" t="s">
        <v>182</v>
      </c>
      <c r="C6" s="116"/>
      <c r="D6" s="117" t="s">
        <v>189</v>
      </c>
      <c r="E6" s="117" t="s">
        <v>189</v>
      </c>
      <c r="F6" s="117" t="s">
        <v>189</v>
      </c>
      <c r="G6" s="117" t="s">
        <v>189</v>
      </c>
      <c r="H6" s="117" t="s">
        <v>189</v>
      </c>
      <c r="I6" s="117" t="s">
        <v>189</v>
      </c>
      <c r="J6" s="117" t="s">
        <v>189</v>
      </c>
      <c r="K6" s="117" t="s">
        <v>189</v>
      </c>
      <c r="L6" s="117" t="s">
        <v>189</v>
      </c>
      <c r="M6" s="118" t="s">
        <v>189</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M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Cambridge and North Dumfries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v>
      </c>
      <c r="C6" s="73" t="str">
        <f>IF(LEN($B$6)=0,"","Distribution Charge Amounts (for LV Services)")</f>
        <v>Distribution Charge Amounts (for LV Services)</v>
      </c>
      <c r="D6" s="122">
        <v>0</v>
      </c>
      <c r="E6" s="122">
        <v>0</v>
      </c>
      <c r="F6" s="122">
        <v>0</v>
      </c>
      <c r="G6" s="122">
        <v>0</v>
      </c>
      <c r="H6" s="122">
        <v>1076.67</v>
      </c>
      <c r="I6" s="122">
        <v>2008.25</v>
      </c>
      <c r="J6" s="122">
        <v>17467.84</v>
      </c>
      <c r="K6" s="122">
        <v>14952.85</v>
      </c>
      <c r="L6" s="122">
        <v>20678.810000000001</v>
      </c>
      <c r="M6" s="122">
        <v>25609.75</v>
      </c>
      <c r="N6" s="123">
        <v>26159.8</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Waterloo North</v>
      </c>
      <c r="C8" s="73" t="str">
        <f>IF(LEN($B$8)&gt;0,C6,"")</f>
        <v>Distribution Charge Amounts (for LV Services)</v>
      </c>
      <c r="D8" s="122">
        <v>0</v>
      </c>
      <c r="E8" s="122">
        <v>0</v>
      </c>
      <c r="F8" s="122">
        <v>0</v>
      </c>
      <c r="G8" s="122">
        <v>0</v>
      </c>
      <c r="H8" s="122">
        <v>9549.6200000000008</v>
      </c>
      <c r="I8" s="122">
        <v>17218.07</v>
      </c>
      <c r="J8" s="122">
        <v>25652.84</v>
      </c>
      <c r="K8" s="122">
        <v>31241.77</v>
      </c>
      <c r="L8" s="122">
        <v>55660.08</v>
      </c>
      <c r="M8" s="122">
        <v>77685.679999999993</v>
      </c>
      <c r="N8" s="123">
        <v>77711.789999999994</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=Cambridge and North Dumfries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=Cambridge and North Dumfries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=Cambridge and North Dumfries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=Cambridge and North Dumfries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=Cambridge and North Dumfries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=Cambridge and North Dumfries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=Cambridge and North Dumfries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=Cambridge and North Dumfries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=Cambridge and North Dumfries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=Cambridge and North Dumfries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=Cambridge and North Dumfries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Grant Brooker</cp:lastModifiedBy>
  <cp:lastPrinted>2013-03-12T18:59:47Z</cp:lastPrinted>
  <dcterms:created xsi:type="dcterms:W3CDTF">2013-02-20T13:45:42Z</dcterms:created>
  <dcterms:modified xsi:type="dcterms:W3CDTF">2013-03-13T20:43:43Z</dcterms:modified>
</cp:coreProperties>
</file>