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5190" yWindow="4890" windowWidth="10005" windowHeight="3885" firstSheet="1" activeTab="1"/>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 name="Sheet1" sheetId="16" r:id="rId7"/>
  </sheets>
  <externalReferences>
    <externalReference r:id="rId8"/>
    <externalReference r:id="rId9"/>
    <externalReference r:id="rId10"/>
    <externalReference r:id="rId11"/>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A'!$B$1:$F$66</definedName>
    <definedName name="_xlnm.Print_Area" localSheetId="4">'5. Allocation of Balances'!$A$1:$L$53</definedName>
    <definedName name="_xlnm.Print_Area" localSheetId="5">'6. Rate Rider Calculations'!$A$1:$J$68</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F27" i="12" l="1"/>
  <c r="E27" i="12"/>
  <c r="L12" i="13" l="1"/>
  <c r="K12" i="13"/>
  <c r="J12" i="13"/>
  <c r="I12" i="13"/>
  <c r="H12" i="13"/>
  <c r="G12" i="13"/>
  <c r="F12" i="13"/>
  <c r="L15" i="13"/>
  <c r="K15" i="13"/>
  <c r="J15" i="13"/>
  <c r="I15" i="13"/>
  <c r="H15" i="13"/>
  <c r="G15" i="13"/>
  <c r="F15" i="13"/>
  <c r="L14" i="13"/>
  <c r="K14" i="13"/>
  <c r="J14" i="13"/>
  <c r="I14" i="13"/>
  <c r="H14" i="13"/>
  <c r="G14" i="13"/>
  <c r="F14" i="13"/>
  <c r="BU31" i="2" l="1"/>
  <c r="BU32" i="2"/>
  <c r="BV66" i="2" l="1"/>
  <c r="BN66" i="2"/>
  <c r="BI66" i="2"/>
  <c r="BD66" i="2"/>
  <c r="T64" i="2" l="1"/>
  <c r="S64" i="2"/>
  <c r="D48" i="13" l="1"/>
  <c r="CH87" i="2" l="1"/>
  <c r="CD87" i="2"/>
  <c r="CE87" i="2"/>
  <c r="CB87" i="2"/>
  <c r="CC87" i="2"/>
  <c r="BY87" i="2"/>
  <c r="BT87" i="2"/>
  <c r="BU87" i="2"/>
  <c r="BV28" i="2" l="1"/>
  <c r="CE85" i="2" l="1"/>
  <c r="CE86" i="2"/>
  <c r="CE84" i="2"/>
  <c r="CD85" i="2"/>
  <c r="CD86" i="2"/>
  <c r="CD84" i="2"/>
  <c r="CE65" i="2"/>
  <c r="CD65" i="2"/>
  <c r="F23" i="12" l="1"/>
  <c r="AY48" i="2" l="1"/>
  <c r="AY40" i="2"/>
  <c r="AY41" i="2"/>
  <c r="P59" i="2" l="1"/>
  <c r="P55" i="2"/>
  <c r="F55" i="2"/>
  <c r="P47" i="2"/>
  <c r="F47" i="2"/>
  <c r="G49" i="14" l="1"/>
  <c r="G50" i="14"/>
  <c r="G51" i="14"/>
  <c r="G52" i="14"/>
  <c r="G53" i="14"/>
  <c r="G54" i="14"/>
  <c r="G21" i="14"/>
  <c r="G48" i="14"/>
  <c r="D49" i="14"/>
  <c r="D52" i="14"/>
  <c r="D53" i="14"/>
  <c r="D48" i="14"/>
  <c r="D21" i="14"/>
  <c r="C67" i="14"/>
  <c r="G67" i="14" s="1"/>
  <c r="C66" i="14"/>
  <c r="D66" i="14" s="1"/>
  <c r="C65" i="14"/>
  <c r="G65" i="14" s="1"/>
  <c r="C64" i="14"/>
  <c r="D64" i="14" s="1"/>
  <c r="C63" i="14"/>
  <c r="G63" i="14" s="1"/>
  <c r="C62" i="14"/>
  <c r="D62" i="14" s="1"/>
  <c r="C61" i="14"/>
  <c r="G61" i="14" s="1"/>
  <c r="C60" i="14"/>
  <c r="D60" i="14" s="1"/>
  <c r="C59" i="14"/>
  <c r="G59" i="14" s="1"/>
  <c r="C58" i="14"/>
  <c r="D58" i="14" s="1"/>
  <c r="C57" i="14"/>
  <c r="G57" i="14" s="1"/>
  <c r="C56" i="14"/>
  <c r="D56" i="14" s="1"/>
  <c r="C55" i="14"/>
  <c r="G55" i="14" s="1"/>
  <c r="D65" i="14" l="1"/>
  <c r="D63" i="14"/>
  <c r="D61" i="14"/>
  <c r="D59" i="14"/>
  <c r="D57" i="14"/>
  <c r="D55" i="14"/>
  <c r="G66" i="14"/>
  <c r="G64" i="14"/>
  <c r="G62" i="14"/>
  <c r="G60" i="14"/>
  <c r="G58" i="14"/>
  <c r="G56" i="14"/>
  <c r="D67" i="14"/>
  <c r="C22" i="14" l="1"/>
  <c r="C23" i="14"/>
  <c r="C24" i="14"/>
  <c r="C25" i="14"/>
  <c r="C26" i="14"/>
  <c r="C27" i="14"/>
  <c r="C28" i="14"/>
  <c r="C29" i="14"/>
  <c r="C30" i="14"/>
  <c r="C31" i="14"/>
  <c r="C32" i="14"/>
  <c r="C33" i="14"/>
  <c r="C34" i="14"/>
  <c r="C35" i="14"/>
  <c r="C36" i="14"/>
  <c r="C37" i="14"/>
  <c r="C38" i="14"/>
  <c r="C39" i="14"/>
  <c r="C40" i="14"/>
  <c r="B22" i="14"/>
  <c r="B49" i="14" s="1"/>
  <c r="B23" i="14"/>
  <c r="B50" i="14" s="1"/>
  <c r="B24" i="14"/>
  <c r="B51" i="14" s="1"/>
  <c r="B25" i="14"/>
  <c r="B52" i="14" s="1"/>
  <c r="B26" i="14"/>
  <c r="B53" i="14" s="1"/>
  <c r="B27" i="14"/>
  <c r="B54" i="14" s="1"/>
  <c r="B28" i="14"/>
  <c r="B55" i="14" s="1"/>
  <c r="B29" i="14"/>
  <c r="B56" i="14" s="1"/>
  <c r="B30" i="14"/>
  <c r="B57" i="14" s="1"/>
  <c r="B31" i="14"/>
  <c r="B58" i="14" s="1"/>
  <c r="B32" i="14"/>
  <c r="B59" i="14" s="1"/>
  <c r="B33" i="14"/>
  <c r="B60" i="14" s="1"/>
  <c r="B34" i="14"/>
  <c r="B61" i="14" s="1"/>
  <c r="B35" i="14"/>
  <c r="B62" i="14" s="1"/>
  <c r="B36" i="14"/>
  <c r="B63" i="14" s="1"/>
  <c r="B37" i="14"/>
  <c r="B64" i="14" s="1"/>
  <c r="B38" i="14"/>
  <c r="B65" i="14" s="1"/>
  <c r="B39" i="14"/>
  <c r="B66" i="14" s="1"/>
  <c r="B40" i="14"/>
  <c r="B67" i="14" s="1"/>
  <c r="B21" i="14"/>
  <c r="B48" i="14" s="1"/>
  <c r="G39" i="14" l="1"/>
  <c r="D39" i="14"/>
  <c r="G37" i="14"/>
  <c r="D37" i="14"/>
  <c r="G35" i="14"/>
  <c r="D35" i="14"/>
  <c r="G33" i="14"/>
  <c r="D33" i="14"/>
  <c r="G31" i="14"/>
  <c r="D31" i="14"/>
  <c r="G29" i="14"/>
  <c r="D29" i="14"/>
  <c r="G27" i="14"/>
  <c r="D27" i="14"/>
  <c r="G25" i="14"/>
  <c r="D25" i="14"/>
  <c r="G23" i="14"/>
  <c r="D23" i="14"/>
  <c r="D40" i="14"/>
  <c r="G40" i="14"/>
  <c r="D38" i="14"/>
  <c r="G38" i="14"/>
  <c r="D36" i="14"/>
  <c r="G36" i="14"/>
  <c r="D34" i="14"/>
  <c r="G34" i="14"/>
  <c r="D32" i="14"/>
  <c r="G32" i="14"/>
  <c r="D30" i="14"/>
  <c r="G30" i="14"/>
  <c r="D28" i="14"/>
  <c r="G28" i="14"/>
  <c r="D26" i="14"/>
  <c r="G26" i="14"/>
  <c r="D24" i="14"/>
  <c r="G24" i="14"/>
  <c r="D22" i="14"/>
  <c r="G22" i="14"/>
  <c r="D41" i="12"/>
  <c r="Y5" i="13"/>
  <c r="X5" i="13"/>
  <c r="W5" i="13"/>
  <c r="V5" i="13"/>
  <c r="U5" i="13"/>
  <c r="T5" i="13"/>
  <c r="S5" i="13"/>
  <c r="R5" i="13"/>
  <c r="Q5" i="13"/>
  <c r="P5" i="13"/>
  <c r="O5" i="13"/>
  <c r="N5" i="13"/>
  <c r="M5" i="13"/>
  <c r="L5" i="13"/>
  <c r="K5" i="13"/>
  <c r="J5" i="13"/>
  <c r="I5" i="13"/>
  <c r="H5" i="13"/>
  <c r="G5" i="13"/>
  <c r="F5" i="13"/>
  <c r="F41" i="12"/>
  <c r="G41" i="12"/>
  <c r="I41" i="12"/>
  <c r="J41" i="12"/>
  <c r="K41" i="12"/>
  <c r="L41" i="12"/>
  <c r="M41" i="12"/>
  <c r="E41" i="12"/>
  <c r="H22" i="12"/>
  <c r="H23" i="12"/>
  <c r="D50" i="14" s="1"/>
  <c r="H24" i="12"/>
  <c r="D51" i="14" s="1"/>
  <c r="H25" i="12"/>
  <c r="H26" i="12"/>
  <c r="H27" i="12"/>
  <c r="D54" i="14" s="1"/>
  <c r="H28" i="12"/>
  <c r="H29" i="12"/>
  <c r="H30" i="12"/>
  <c r="H31" i="12"/>
  <c r="H32" i="12"/>
  <c r="H33" i="12"/>
  <c r="H34" i="12"/>
  <c r="H35" i="12"/>
  <c r="H36" i="12"/>
  <c r="H37" i="12"/>
  <c r="H38" i="12"/>
  <c r="H39" i="12"/>
  <c r="H40" i="12"/>
  <c r="H21" i="12"/>
  <c r="BL73" i="2"/>
  <c r="BU73" i="2" s="1"/>
  <c r="BY73" i="2" s="1"/>
  <c r="CC73" i="2" s="1"/>
  <c r="BG73" i="2"/>
  <c r="BM73" i="2" s="1"/>
  <c r="BT73" i="2" s="1"/>
  <c r="S38" i="13" l="1"/>
  <c r="S34" i="13"/>
  <c r="S30" i="13"/>
  <c r="S26" i="13"/>
  <c r="S22" i="13"/>
  <c r="S18" i="13"/>
  <c r="S43" i="13"/>
  <c r="S37" i="13"/>
  <c r="S33" i="13"/>
  <c r="S29" i="13"/>
  <c r="S25" i="13"/>
  <c r="S21" i="13"/>
  <c r="S15" i="13"/>
  <c r="S41" i="13"/>
  <c r="S35" i="13"/>
  <c r="S27" i="13"/>
  <c r="S19" i="13"/>
  <c r="S11" i="13"/>
  <c r="S52" i="13" s="1"/>
  <c r="S7" i="13"/>
  <c r="S23" i="13"/>
  <c r="S9" i="13"/>
  <c r="S42" i="13"/>
  <c r="S36" i="13"/>
  <c r="S28" i="13"/>
  <c r="S20" i="13"/>
  <c r="S10" i="13"/>
  <c r="S6" i="13"/>
  <c r="S31" i="13"/>
  <c r="S13" i="13"/>
  <c r="S14" i="13"/>
  <c r="S46" i="13"/>
  <c r="S8" i="13"/>
  <c r="S32" i="13"/>
  <c r="S12" i="13"/>
  <c r="S24" i="13"/>
  <c r="M42" i="13"/>
  <c r="M36" i="13"/>
  <c r="M32" i="13"/>
  <c r="M28" i="13"/>
  <c r="M24" i="13"/>
  <c r="M20" i="13"/>
  <c r="M41" i="13"/>
  <c r="M35" i="13"/>
  <c r="M31" i="13"/>
  <c r="M27" i="13"/>
  <c r="M23" i="13"/>
  <c r="M19" i="13"/>
  <c r="M43" i="13"/>
  <c r="M46" i="13"/>
  <c r="M33" i="13"/>
  <c r="M25" i="13"/>
  <c r="M15" i="13"/>
  <c r="M13" i="13"/>
  <c r="M9" i="13"/>
  <c r="M11" i="13"/>
  <c r="M52" i="13" s="1"/>
  <c r="M34" i="13"/>
  <c r="M26" i="13"/>
  <c r="M18" i="13"/>
  <c r="M12" i="13"/>
  <c r="M8" i="13"/>
  <c r="M37" i="13"/>
  <c r="M29" i="13"/>
  <c r="M21" i="13"/>
  <c r="M30" i="13"/>
  <c r="M7" i="13"/>
  <c r="M22" i="13"/>
  <c r="M38" i="13"/>
  <c r="M14" i="13"/>
  <c r="M6" i="13"/>
  <c r="M10" i="13"/>
  <c r="Q42" i="13"/>
  <c r="Q36" i="13"/>
  <c r="Q32" i="13"/>
  <c r="Q28" i="13"/>
  <c r="Q24" i="13"/>
  <c r="Q20" i="13"/>
  <c r="Q14" i="13"/>
  <c r="Q41" i="13"/>
  <c r="Q35" i="13"/>
  <c r="Q31" i="13"/>
  <c r="Q27" i="13"/>
  <c r="Q23" i="13"/>
  <c r="Q19" i="13"/>
  <c r="Q43" i="13"/>
  <c r="Q37" i="13"/>
  <c r="Q29" i="13"/>
  <c r="Q21" i="13"/>
  <c r="Q13" i="13"/>
  <c r="Q9" i="13"/>
  <c r="Q46" i="13"/>
  <c r="Q38" i="13"/>
  <c r="Q30" i="13"/>
  <c r="Q22" i="13"/>
  <c r="Q12" i="13"/>
  <c r="Q8" i="13"/>
  <c r="Q33" i="13"/>
  <c r="Q25" i="13"/>
  <c r="Q15" i="13"/>
  <c r="Q11" i="13"/>
  <c r="Q52" i="13" s="1"/>
  <c r="Q26" i="13"/>
  <c r="Q18" i="13"/>
  <c r="Q10" i="13"/>
  <c r="Q34" i="13"/>
  <c r="Q6" i="13"/>
  <c r="Q7" i="13"/>
  <c r="U42" i="13"/>
  <c r="U36" i="13"/>
  <c r="U32" i="13"/>
  <c r="U28" i="13"/>
  <c r="U24" i="13"/>
  <c r="U20" i="13"/>
  <c r="U14" i="13"/>
  <c r="U41" i="13"/>
  <c r="U35" i="13"/>
  <c r="U31" i="13"/>
  <c r="U27" i="13"/>
  <c r="U23" i="13"/>
  <c r="U19" i="13"/>
  <c r="U43" i="13"/>
  <c r="U33" i="13"/>
  <c r="U25" i="13"/>
  <c r="U15" i="13"/>
  <c r="U13" i="13"/>
  <c r="U9" i="13"/>
  <c r="U46" i="13"/>
  <c r="U34" i="13"/>
  <c r="U26" i="13"/>
  <c r="U18" i="13"/>
  <c r="U12" i="13"/>
  <c r="U8" i="13"/>
  <c r="U37" i="13"/>
  <c r="U29" i="13"/>
  <c r="U21" i="13"/>
  <c r="U11" i="13"/>
  <c r="U52" i="13" s="1"/>
  <c r="U22" i="13"/>
  <c r="U30" i="13"/>
  <c r="U6" i="13"/>
  <c r="U7" i="13"/>
  <c r="U38" i="13"/>
  <c r="U10" i="13"/>
  <c r="Y42" i="13"/>
  <c r="Y36" i="13"/>
  <c r="Y32" i="13"/>
  <c r="Y28" i="13"/>
  <c r="Y24" i="13"/>
  <c r="Y20" i="13"/>
  <c r="Y14" i="13"/>
  <c r="Y41" i="13"/>
  <c r="Y35" i="13"/>
  <c r="Y31" i="13"/>
  <c r="Y27" i="13"/>
  <c r="Y23" i="13"/>
  <c r="Y19" i="13"/>
  <c r="Y43" i="13"/>
  <c r="Y37" i="13"/>
  <c r="Y29" i="13"/>
  <c r="Y21" i="13"/>
  <c r="Y13" i="13"/>
  <c r="Y9" i="13"/>
  <c r="Y46" i="13"/>
  <c r="Y15" i="13"/>
  <c r="Y11" i="13"/>
  <c r="Y52" i="13" s="1"/>
  <c r="Y30" i="13"/>
  <c r="Y22" i="13"/>
  <c r="Y12" i="13"/>
  <c r="Y8" i="13"/>
  <c r="Y38" i="13"/>
  <c r="Y33" i="13"/>
  <c r="Y25" i="13"/>
  <c r="Y34" i="13"/>
  <c r="Y26" i="13"/>
  <c r="Y6" i="13"/>
  <c r="Y7" i="13"/>
  <c r="Y10" i="13"/>
  <c r="Y18" i="13"/>
  <c r="W38" i="13"/>
  <c r="W34" i="13"/>
  <c r="W30" i="13"/>
  <c r="W26" i="13"/>
  <c r="W22" i="13"/>
  <c r="W18" i="13"/>
  <c r="W43" i="13"/>
  <c r="W37" i="13"/>
  <c r="W33" i="13"/>
  <c r="W29" i="13"/>
  <c r="W25" i="13"/>
  <c r="W21" i="13"/>
  <c r="W15" i="13"/>
  <c r="W41" i="13"/>
  <c r="W42" i="13"/>
  <c r="W31" i="13"/>
  <c r="W23" i="13"/>
  <c r="W11" i="13"/>
  <c r="W52" i="13" s="1"/>
  <c r="W7" i="13"/>
  <c r="W13" i="13"/>
  <c r="W32" i="13"/>
  <c r="W24" i="13"/>
  <c r="W14" i="13"/>
  <c r="W10" i="13"/>
  <c r="W6" i="13"/>
  <c r="W35" i="13"/>
  <c r="W27" i="13"/>
  <c r="W19" i="13"/>
  <c r="W9" i="13"/>
  <c r="W36" i="13"/>
  <c r="W20" i="13"/>
  <c r="W12" i="13"/>
  <c r="W46" i="13"/>
  <c r="W8" i="13"/>
  <c r="W28" i="13"/>
  <c r="N41" i="13"/>
  <c r="N35" i="13"/>
  <c r="N31" i="13"/>
  <c r="N27" i="13"/>
  <c r="N23" i="13"/>
  <c r="N19" i="13"/>
  <c r="N46" i="13"/>
  <c r="N38" i="13"/>
  <c r="N34" i="13"/>
  <c r="N30" i="13"/>
  <c r="N26" i="13"/>
  <c r="N22" i="13"/>
  <c r="N18" i="13"/>
  <c r="N42" i="13"/>
  <c r="N36" i="13"/>
  <c r="N28" i="13"/>
  <c r="N20" i="13"/>
  <c r="N12" i="13"/>
  <c r="N8" i="13"/>
  <c r="N10" i="13"/>
  <c r="N37" i="13"/>
  <c r="N29" i="13"/>
  <c r="N21" i="13"/>
  <c r="N11" i="13"/>
  <c r="N52" i="13" s="1"/>
  <c r="N7" i="13"/>
  <c r="N32" i="13"/>
  <c r="N24" i="13"/>
  <c r="N14" i="13"/>
  <c r="N43" i="13"/>
  <c r="N15" i="13"/>
  <c r="N33" i="13"/>
  <c r="N9" i="13"/>
  <c r="N25" i="13"/>
  <c r="N13" i="13"/>
  <c r="N6" i="13"/>
  <c r="R41" i="13"/>
  <c r="R35" i="13"/>
  <c r="R31" i="13"/>
  <c r="R27" i="13"/>
  <c r="R23" i="13"/>
  <c r="R19" i="13"/>
  <c r="R38" i="13"/>
  <c r="R34" i="13"/>
  <c r="R30" i="13"/>
  <c r="R26" i="13"/>
  <c r="R22" i="13"/>
  <c r="R18" i="13"/>
  <c r="R42" i="13"/>
  <c r="R32" i="13"/>
  <c r="R24" i="13"/>
  <c r="R14" i="13"/>
  <c r="R12" i="13"/>
  <c r="R8" i="13"/>
  <c r="R20" i="13"/>
  <c r="R10" i="13"/>
  <c r="R33" i="13"/>
  <c r="R25" i="13"/>
  <c r="R15" i="13"/>
  <c r="R11" i="13"/>
  <c r="R52" i="13" s="1"/>
  <c r="R7" i="13"/>
  <c r="R43" i="13"/>
  <c r="R36" i="13"/>
  <c r="R28" i="13"/>
  <c r="R21" i="13"/>
  <c r="R9" i="13"/>
  <c r="R46" i="13"/>
  <c r="R37" i="13"/>
  <c r="R6" i="13"/>
  <c r="R29" i="13"/>
  <c r="R13" i="13"/>
  <c r="V41" i="13"/>
  <c r="V35" i="13"/>
  <c r="V31" i="13"/>
  <c r="V27" i="13"/>
  <c r="V23" i="13"/>
  <c r="V19" i="13"/>
  <c r="V38" i="13"/>
  <c r="V34" i="13"/>
  <c r="V30" i="13"/>
  <c r="V26" i="13"/>
  <c r="V22" i="13"/>
  <c r="V18" i="13"/>
  <c r="V42" i="13"/>
  <c r="V36" i="13"/>
  <c r="V28" i="13"/>
  <c r="V20" i="13"/>
  <c r="V12" i="13"/>
  <c r="V8" i="13"/>
  <c r="V24" i="13"/>
  <c r="V14" i="13"/>
  <c r="V43" i="13"/>
  <c r="V37" i="13"/>
  <c r="V29" i="13"/>
  <c r="V21" i="13"/>
  <c r="V11" i="13"/>
  <c r="V52" i="13" s="1"/>
  <c r="V7" i="13"/>
  <c r="V32" i="13"/>
  <c r="V10" i="13"/>
  <c r="V13" i="13"/>
  <c r="V9" i="13"/>
  <c r="V46" i="13"/>
  <c r="V6" i="13"/>
  <c r="V25" i="13"/>
  <c r="V15" i="13"/>
  <c r="V33" i="13"/>
  <c r="O46" i="13"/>
  <c r="O38" i="13"/>
  <c r="O34" i="13"/>
  <c r="O30" i="13"/>
  <c r="O26" i="13"/>
  <c r="O22" i="13"/>
  <c r="O18" i="13"/>
  <c r="O43" i="13"/>
  <c r="O37" i="13"/>
  <c r="O33" i="13"/>
  <c r="O29" i="13"/>
  <c r="O25" i="13"/>
  <c r="O21" i="13"/>
  <c r="O15" i="13"/>
  <c r="O41" i="13"/>
  <c r="O31" i="13"/>
  <c r="O23" i="13"/>
  <c r="O11" i="13"/>
  <c r="O52" i="13" s="1"/>
  <c r="O7" i="13"/>
  <c r="O27" i="13"/>
  <c r="O19" i="13"/>
  <c r="O13" i="13"/>
  <c r="O32" i="13"/>
  <c r="O24" i="13"/>
  <c r="O14" i="13"/>
  <c r="O10" i="13"/>
  <c r="O6" i="13"/>
  <c r="O42" i="13"/>
  <c r="O35" i="13"/>
  <c r="O9" i="13"/>
  <c r="O12" i="13"/>
  <c r="O8" i="13"/>
  <c r="O36" i="13"/>
  <c r="O28" i="13"/>
  <c r="O20" i="13"/>
  <c r="P43" i="13"/>
  <c r="P37" i="13"/>
  <c r="P33" i="13"/>
  <c r="P29" i="13"/>
  <c r="P25" i="13"/>
  <c r="P21" i="13"/>
  <c r="P15" i="13"/>
  <c r="P42" i="13"/>
  <c r="P36" i="13"/>
  <c r="P32" i="13"/>
  <c r="P28" i="13"/>
  <c r="P24" i="13"/>
  <c r="P20" i="13"/>
  <c r="P14" i="13"/>
  <c r="P34" i="13"/>
  <c r="P26" i="13"/>
  <c r="P18" i="13"/>
  <c r="P10" i="13"/>
  <c r="P6" i="13"/>
  <c r="P22" i="13"/>
  <c r="P41" i="13"/>
  <c r="P35" i="13"/>
  <c r="P27" i="13"/>
  <c r="P19" i="13"/>
  <c r="P13" i="13"/>
  <c r="P9" i="13"/>
  <c r="P46" i="13"/>
  <c r="P38" i="13"/>
  <c r="P30" i="13"/>
  <c r="P12" i="13"/>
  <c r="P31" i="13"/>
  <c r="P23" i="13"/>
  <c r="P7" i="13"/>
  <c r="P11" i="13"/>
  <c r="P52" i="13" s="1"/>
  <c r="P8" i="13"/>
  <c r="T43" i="13"/>
  <c r="T37" i="13"/>
  <c r="T33" i="13"/>
  <c r="T29" i="13"/>
  <c r="T25" i="13"/>
  <c r="T21" i="13"/>
  <c r="T15" i="13"/>
  <c r="T42" i="13"/>
  <c r="T36" i="13"/>
  <c r="T32" i="13"/>
  <c r="T28" i="13"/>
  <c r="T24" i="13"/>
  <c r="T20" i="13"/>
  <c r="T14" i="13"/>
  <c r="T41" i="13"/>
  <c r="T38" i="13"/>
  <c r="T30" i="13"/>
  <c r="T22" i="13"/>
  <c r="T10" i="13"/>
  <c r="T6" i="13"/>
  <c r="T12" i="13"/>
  <c r="T31" i="13"/>
  <c r="T23" i="13"/>
  <c r="T13" i="13"/>
  <c r="T9" i="13"/>
  <c r="T46" i="13"/>
  <c r="T34" i="13"/>
  <c r="T26" i="13"/>
  <c r="T18" i="13"/>
  <c r="T35" i="13"/>
  <c r="T11" i="13"/>
  <c r="T52" i="13" s="1"/>
  <c r="T27" i="13"/>
  <c r="T19" i="13"/>
  <c r="T7" i="13"/>
  <c r="T8" i="13"/>
  <c r="X43" i="13"/>
  <c r="X37" i="13"/>
  <c r="X33" i="13"/>
  <c r="X29" i="13"/>
  <c r="X25" i="13"/>
  <c r="X21" i="13"/>
  <c r="X15" i="13"/>
  <c r="X42" i="13"/>
  <c r="X36" i="13"/>
  <c r="X32" i="13"/>
  <c r="X28" i="13"/>
  <c r="X24" i="13"/>
  <c r="X20" i="13"/>
  <c r="X14" i="13"/>
  <c r="X38" i="13"/>
  <c r="X34" i="13"/>
  <c r="X26" i="13"/>
  <c r="X18" i="13"/>
  <c r="X10" i="13"/>
  <c r="X6" i="13"/>
  <c r="X35" i="13"/>
  <c r="X27" i="13"/>
  <c r="X19" i="13"/>
  <c r="X13" i="13"/>
  <c r="X9" i="13"/>
  <c r="X46" i="13"/>
  <c r="X30" i="13"/>
  <c r="X22" i="13"/>
  <c r="X12" i="13"/>
  <c r="X8" i="13"/>
  <c r="X31" i="13"/>
  <c r="X11" i="13"/>
  <c r="X52" i="13" s="1"/>
  <c r="X7" i="13"/>
  <c r="X41" i="13"/>
  <c r="X23" i="13"/>
  <c r="H41" i="12"/>
  <c r="CH73" i="2"/>
  <c r="CB73" i="2"/>
  <c r="CE73" i="2" l="1"/>
  <c r="CD73" i="2"/>
  <c r="CF73" i="2" s="1"/>
  <c r="W16" i="13"/>
  <c r="U16" i="13"/>
  <c r="S16" i="13"/>
  <c r="Q16" i="13"/>
  <c r="O16" i="13"/>
  <c r="M16" i="13"/>
  <c r="X16" i="13"/>
  <c r="T16" i="13"/>
  <c r="P16" i="13"/>
  <c r="N44" i="13"/>
  <c r="Y16" i="13"/>
  <c r="V16" i="13"/>
  <c r="R16" i="13"/>
  <c r="N16"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D47" i="13" l="1"/>
  <c r="D49" i="13" s="1"/>
  <c r="N42" i="12"/>
  <c r="R51" i="13"/>
  <c r="R53" i="13" s="1"/>
  <c r="Y51" i="13"/>
  <c r="Y53" i="13" s="1"/>
  <c r="P51" i="13"/>
  <c r="P53" i="13" s="1"/>
  <c r="X51" i="13"/>
  <c r="X53" i="13" s="1"/>
  <c r="M51" i="13"/>
  <c r="Q51" i="13"/>
  <c r="Q53" i="13" s="1"/>
  <c r="U51" i="13"/>
  <c r="U53" i="13" s="1"/>
  <c r="N51" i="13"/>
  <c r="N53" i="13" s="1"/>
  <c r="V51" i="13"/>
  <c r="V53" i="13" s="1"/>
  <c r="T51" i="13"/>
  <c r="T53" i="13" s="1"/>
  <c r="O51" i="13"/>
  <c r="O53" i="13" s="1"/>
  <c r="S51" i="13"/>
  <c r="S53" i="13" s="1"/>
  <c r="W51" i="13"/>
  <c r="W53" i="13" s="1"/>
  <c r="BB56" i="2"/>
  <c r="BH56" i="2" s="1"/>
  <c r="BL56" i="2" s="1"/>
  <c r="BU56" i="2" s="1"/>
  <c r="BY56" i="2" s="1"/>
  <c r="AS43" i="2"/>
  <c r="AW43" i="2"/>
  <c r="BC43" i="2" s="1"/>
  <c r="BG43" i="2" s="1"/>
  <c r="BM43" i="2" s="1"/>
  <c r="BT43" i="2" s="1"/>
  <c r="CB43" i="2" s="1"/>
  <c r="AW44" i="2"/>
  <c r="BC44" i="2" s="1"/>
  <c r="BG44" i="2" s="1"/>
  <c r="BM44" i="2" s="1"/>
  <c r="BT44" i="2" s="1"/>
  <c r="CB44" i="2" s="1"/>
  <c r="AW45" i="2"/>
  <c r="BC45" i="2" s="1"/>
  <c r="BG45" i="2" s="1"/>
  <c r="BM45" i="2" s="1"/>
  <c r="BT45" i="2" s="1"/>
  <c r="CB45" i="2" s="1"/>
  <c r="I30" i="2"/>
  <c r="O30" i="2" s="1"/>
  <c r="S30" i="2" s="1"/>
  <c r="Y30" i="2" s="1"/>
  <c r="AC30" i="2" s="1"/>
  <c r="AI30" i="2" s="1"/>
  <c r="AM30" i="2" s="1"/>
  <c r="AS30" i="2" s="1"/>
  <c r="AW30" i="2" s="1"/>
  <c r="BC30" i="2" s="1"/>
  <c r="BG30" i="2" s="1"/>
  <c r="BM30" i="2" s="1"/>
  <c r="BT30" i="2" s="1"/>
  <c r="CA62" i="2"/>
  <c r="BZ62" i="2"/>
  <c r="BX62" i="2"/>
  <c r="BW62" i="2"/>
  <c r="BO62" i="2"/>
  <c r="BN62" i="2"/>
  <c r="BK62" i="2"/>
  <c r="BJ62" i="2"/>
  <c r="BD62" i="2"/>
  <c r="AT62" i="2"/>
  <c r="AM49" i="2"/>
  <c r="AM50" i="2"/>
  <c r="AM51" i="2"/>
  <c r="AM52" i="2"/>
  <c r="AM53" i="2"/>
  <c r="AM54" i="2"/>
  <c r="AJ62" i="2"/>
  <c r="AJ68" i="2" s="1"/>
  <c r="AJ76" i="2" s="1"/>
  <c r="AC49" i="2"/>
  <c r="AC50" i="2"/>
  <c r="AC51" i="2"/>
  <c r="AC52" i="2"/>
  <c r="AC53" i="2"/>
  <c r="AC54" i="2"/>
  <c r="Z62" i="2"/>
  <c r="S49" i="2"/>
  <c r="S50" i="2"/>
  <c r="S51" i="2"/>
  <c r="S52" i="2"/>
  <c r="S53" i="2"/>
  <c r="S54" i="2"/>
  <c r="P62" i="2"/>
  <c r="H35" i="2"/>
  <c r="CG35" i="2"/>
  <c r="CA35" i="2"/>
  <c r="BZ35" i="2"/>
  <c r="BZ68" i="2" s="1"/>
  <c r="BZ76" i="2" s="1"/>
  <c r="BX35" i="2"/>
  <c r="BW35" i="2"/>
  <c r="BV35" i="2"/>
  <c r="BS35" i="2"/>
  <c r="BR35" i="2"/>
  <c r="BQ35" i="2"/>
  <c r="BP35" i="2"/>
  <c r="BO35" i="2"/>
  <c r="BO68" i="2" s="1"/>
  <c r="BO76" i="2" s="1"/>
  <c r="BN35" i="2"/>
  <c r="BK35" i="2"/>
  <c r="BJ35" i="2"/>
  <c r="BI35" i="2"/>
  <c r="BF35" i="2"/>
  <c r="BE35" i="2"/>
  <c r="BD35" i="2"/>
  <c r="BA35" i="2"/>
  <c r="AZ35" i="2"/>
  <c r="AY35" i="2"/>
  <c r="AV35" i="2"/>
  <c r="AU35" i="2"/>
  <c r="AT35" i="2"/>
  <c r="AQ35" i="2"/>
  <c r="AP35" i="2"/>
  <c r="AO35" i="2"/>
  <c r="AL35" i="2"/>
  <c r="AK35" i="2"/>
  <c r="AJ35" i="2"/>
  <c r="AG35" i="2"/>
  <c r="AF35" i="2"/>
  <c r="AE35" i="2"/>
  <c r="AB35" i="2"/>
  <c r="AA35" i="2"/>
  <c r="Z35" i="2"/>
  <c r="W35" i="2"/>
  <c r="V35" i="2"/>
  <c r="U35" i="2"/>
  <c r="R35" i="2"/>
  <c r="Q35" i="2"/>
  <c r="P35" i="2"/>
  <c r="M35" i="2"/>
  <c r="L35" i="2"/>
  <c r="K35" i="2"/>
  <c r="J35" i="2"/>
  <c r="G35" i="2"/>
  <c r="F35" i="2"/>
  <c r="E35" i="2"/>
  <c r="N85" i="2"/>
  <c r="T85" i="2" s="1"/>
  <c r="X85" i="2" s="1"/>
  <c r="AD85" i="2" s="1"/>
  <c r="AH85" i="2" s="1"/>
  <c r="AN85" i="2" s="1"/>
  <c r="AR85" i="2" s="1"/>
  <c r="AX85" i="2" s="1"/>
  <c r="BB85" i="2" s="1"/>
  <c r="BH85" i="2" s="1"/>
  <c r="BL85" i="2" s="1"/>
  <c r="I85" i="2"/>
  <c r="O85" i="2" s="1"/>
  <c r="S85" i="2" s="1"/>
  <c r="Y85" i="2" s="1"/>
  <c r="AC85" i="2" s="1"/>
  <c r="AI85" i="2" s="1"/>
  <c r="AM85" i="2" s="1"/>
  <c r="AS85" i="2" s="1"/>
  <c r="AW85" i="2" s="1"/>
  <c r="BC85" i="2" s="1"/>
  <c r="BG85" i="2" s="1"/>
  <c r="BM85" i="2" s="1"/>
  <c r="BT85" i="2" s="1"/>
  <c r="CB85" i="2" s="1"/>
  <c r="AX45" i="2"/>
  <c r="BB45" i="2" s="1"/>
  <c r="BH45" i="2" s="1"/>
  <c r="BL45" i="2" s="1"/>
  <c r="BU45" i="2" s="1"/>
  <c r="BY45" i="2" s="1"/>
  <c r="CH45" i="2" s="1"/>
  <c r="E40" i="11" s="1"/>
  <c r="AX44" i="2"/>
  <c r="BB44" i="2" s="1"/>
  <c r="BH44" i="2" s="1"/>
  <c r="BL44" i="2" s="1"/>
  <c r="N33" i="2"/>
  <c r="T33" i="2" s="1"/>
  <c r="X33" i="2" s="1"/>
  <c r="AD33" i="2" s="1"/>
  <c r="AH33" i="2" s="1"/>
  <c r="AN33" i="2" s="1"/>
  <c r="AR33" i="2" s="1"/>
  <c r="AX33" i="2" s="1"/>
  <c r="BB33" i="2" s="1"/>
  <c r="BH33" i="2" s="1"/>
  <c r="BL33" i="2" s="1"/>
  <c r="BU33" i="2" s="1"/>
  <c r="BY33" i="2" s="1"/>
  <c r="CC33" i="2" s="1"/>
  <c r="I33" i="2"/>
  <c r="O33" i="2" s="1"/>
  <c r="S33" i="2" s="1"/>
  <c r="Y33" i="2" s="1"/>
  <c r="AC33" i="2" s="1"/>
  <c r="AI33" i="2" s="1"/>
  <c r="AM33" i="2" s="1"/>
  <c r="AS33" i="2" s="1"/>
  <c r="AW33" i="2" s="1"/>
  <c r="BC33" i="2" s="1"/>
  <c r="BG33" i="2" s="1"/>
  <c r="BM33" i="2" s="1"/>
  <c r="BT33" i="2" s="1"/>
  <c r="CH67" i="2"/>
  <c r="CH72" i="2"/>
  <c r="BV62" i="2"/>
  <c r="BV68" i="2" s="1"/>
  <c r="BV76" i="2" s="1"/>
  <c r="BS62" i="2"/>
  <c r="BR62" i="2"/>
  <c r="BQ62" i="2"/>
  <c r="BQ68" i="2" s="1"/>
  <c r="BQ76" i="2" s="1"/>
  <c r="BP62" i="2"/>
  <c r="BP68" i="2" s="1"/>
  <c r="BP76" i="2" s="1"/>
  <c r="BX37" i="2"/>
  <c r="BW37" i="2"/>
  <c r="BV37" i="2"/>
  <c r="BS37" i="2"/>
  <c r="BR37" i="2"/>
  <c r="BQ37" i="2"/>
  <c r="BP37" i="2"/>
  <c r="BO37" i="2"/>
  <c r="BN37" i="2"/>
  <c r="N65" i="2"/>
  <c r="T65" i="2" s="1"/>
  <c r="X65" i="2" s="1"/>
  <c r="AD65" i="2" s="1"/>
  <c r="AH65" i="2" s="1"/>
  <c r="AN65" i="2" s="1"/>
  <c r="AR65" i="2" s="1"/>
  <c r="AX65" i="2" s="1"/>
  <c r="BB65" i="2" s="1"/>
  <c r="BH65" i="2" s="1"/>
  <c r="BG71" i="2"/>
  <c r="I24" i="2"/>
  <c r="O24" i="2" s="1"/>
  <c r="I27" i="2"/>
  <c r="O27" i="2" s="1"/>
  <c r="S27" i="2" s="1"/>
  <c r="Y27" i="2" s="1"/>
  <c r="AC27" i="2" s="1"/>
  <c r="AI27" i="2" s="1"/>
  <c r="AM27" i="2" s="1"/>
  <c r="AS27" i="2" s="1"/>
  <c r="AW27" i="2" s="1"/>
  <c r="BC27" i="2" s="1"/>
  <c r="BG27" i="2" s="1"/>
  <c r="BM27" i="2" s="1"/>
  <c r="BT27" i="2" s="1"/>
  <c r="I25" i="2"/>
  <c r="O25" i="2" s="1"/>
  <c r="S25" i="2" s="1"/>
  <c r="Y25" i="2" s="1"/>
  <c r="AC25" i="2" s="1"/>
  <c r="AI25" i="2" s="1"/>
  <c r="AM25" i="2" s="1"/>
  <c r="AS25" i="2" s="1"/>
  <c r="AW25" i="2" s="1"/>
  <c r="BC25" i="2" s="1"/>
  <c r="BG25" i="2" s="1"/>
  <c r="BM25" i="2" s="1"/>
  <c r="BT25" i="2" s="1"/>
  <c r="I26" i="2"/>
  <c r="O26" i="2" s="1"/>
  <c r="S26" i="2" s="1"/>
  <c r="Y26" i="2" s="1"/>
  <c r="AC26" i="2" s="1"/>
  <c r="AI26" i="2" s="1"/>
  <c r="AM26" i="2" s="1"/>
  <c r="AS26" i="2" s="1"/>
  <c r="AW26" i="2" s="1"/>
  <c r="BC26" i="2" s="1"/>
  <c r="BG26" i="2" s="1"/>
  <c r="BM26" i="2" s="1"/>
  <c r="BT26" i="2" s="1"/>
  <c r="I28" i="2"/>
  <c r="O28" i="2" s="1"/>
  <c r="S28" i="2" s="1"/>
  <c r="Y28" i="2" s="1"/>
  <c r="AC28" i="2" s="1"/>
  <c r="AI28" i="2" s="1"/>
  <c r="AM28" i="2" s="1"/>
  <c r="AS28" i="2" s="1"/>
  <c r="AW28" i="2" s="1"/>
  <c r="BC28" i="2" s="1"/>
  <c r="BG28" i="2" s="1"/>
  <c r="BM28" i="2" s="1"/>
  <c r="BT28" i="2" s="1"/>
  <c r="I29" i="2"/>
  <c r="O29" i="2" s="1"/>
  <c r="I31" i="2"/>
  <c r="O31" i="2" s="1"/>
  <c r="S31" i="2" s="1"/>
  <c r="Y31" i="2" s="1"/>
  <c r="AC31" i="2" s="1"/>
  <c r="AI31" i="2" s="1"/>
  <c r="AM31" i="2" s="1"/>
  <c r="AS31" i="2" s="1"/>
  <c r="AW31" i="2" s="1"/>
  <c r="BC31" i="2" s="1"/>
  <c r="BG31" i="2" s="1"/>
  <c r="BM31" i="2" s="1"/>
  <c r="BT31" i="2" s="1"/>
  <c r="I32" i="2"/>
  <c r="O32" i="2" s="1"/>
  <c r="S32" i="2" s="1"/>
  <c r="Y32" i="2" s="1"/>
  <c r="AC32" i="2" s="1"/>
  <c r="AI32" i="2" s="1"/>
  <c r="AM32" i="2" s="1"/>
  <c r="AS32" i="2" s="1"/>
  <c r="AW32" i="2" s="1"/>
  <c r="BC32" i="2" s="1"/>
  <c r="BG32" i="2" s="1"/>
  <c r="BM32" i="2" s="1"/>
  <c r="BT32" i="2" s="1"/>
  <c r="CB32" i="2" s="1"/>
  <c r="I40" i="2"/>
  <c r="O40" i="2" s="1"/>
  <c r="I41" i="2"/>
  <c r="O41" i="2" s="1"/>
  <c r="S41" i="2" s="1"/>
  <c r="Y41" i="2" s="1"/>
  <c r="AC41" i="2" s="1"/>
  <c r="AI41" i="2" s="1"/>
  <c r="AM41" i="2" s="1"/>
  <c r="AS41" i="2" s="1"/>
  <c r="AW41" i="2" s="1"/>
  <c r="BC41" i="2" s="1"/>
  <c r="BG41" i="2" s="1"/>
  <c r="BM41" i="2" s="1"/>
  <c r="BT41" i="2" s="1"/>
  <c r="I42" i="2"/>
  <c r="O42" i="2" s="1"/>
  <c r="S42" i="2" s="1"/>
  <c r="Y42" i="2" s="1"/>
  <c r="AC42" i="2" s="1"/>
  <c r="AI42" i="2" s="1"/>
  <c r="AM42" i="2" s="1"/>
  <c r="AS42" i="2" s="1"/>
  <c r="AW42" i="2" s="1"/>
  <c r="BC42" i="2" s="1"/>
  <c r="BG42" i="2" s="1"/>
  <c r="BM42" i="2" s="1"/>
  <c r="BT42" i="2" s="1"/>
  <c r="CB42" i="2" s="1"/>
  <c r="I46" i="2"/>
  <c r="O46" i="2" s="1"/>
  <c r="S46" i="2" s="1"/>
  <c r="Y46" i="2" s="1"/>
  <c r="AC46" i="2" s="1"/>
  <c r="AI46" i="2" s="1"/>
  <c r="AM46" i="2" s="1"/>
  <c r="AS46" i="2" s="1"/>
  <c r="AW46" i="2" s="1"/>
  <c r="BC46" i="2" s="1"/>
  <c r="BG46" i="2" s="1"/>
  <c r="BM46" i="2" s="1"/>
  <c r="BT46" i="2" s="1"/>
  <c r="I47" i="2"/>
  <c r="O47" i="2" s="1"/>
  <c r="S47" i="2" s="1"/>
  <c r="Y47" i="2" s="1"/>
  <c r="AC47" i="2" s="1"/>
  <c r="AI47" i="2" s="1"/>
  <c r="AM47" i="2" s="1"/>
  <c r="AS47" i="2" s="1"/>
  <c r="AW47" i="2" s="1"/>
  <c r="BC47" i="2" s="1"/>
  <c r="BG47" i="2" s="1"/>
  <c r="BM47" i="2" s="1"/>
  <c r="BT47" i="2" s="1"/>
  <c r="CB47" i="2" s="1"/>
  <c r="I48" i="2"/>
  <c r="O48" i="2" s="1"/>
  <c r="S48" i="2" s="1"/>
  <c r="Y48" i="2" s="1"/>
  <c r="AC48" i="2" s="1"/>
  <c r="AI48" i="2" s="1"/>
  <c r="AM48" i="2" s="1"/>
  <c r="AS48" i="2" s="1"/>
  <c r="AW48" i="2" s="1"/>
  <c r="BC48" i="2" s="1"/>
  <c r="BG48" i="2" s="1"/>
  <c r="BM48" i="2" s="1"/>
  <c r="BT48" i="2" s="1"/>
  <c r="CB48" i="2" s="1"/>
  <c r="I55" i="2"/>
  <c r="O55" i="2" s="1"/>
  <c r="S55" i="2" s="1"/>
  <c r="Y55" i="2" s="1"/>
  <c r="AC55" i="2" s="1"/>
  <c r="AI55" i="2" s="1"/>
  <c r="AM55" i="2" s="1"/>
  <c r="AS55" i="2" s="1"/>
  <c r="AW55" i="2" s="1"/>
  <c r="BC55" i="2" s="1"/>
  <c r="BG55" i="2" s="1"/>
  <c r="BM55" i="2" s="1"/>
  <c r="BT55" i="2" s="1"/>
  <c r="CB55" i="2" s="1"/>
  <c r="I78" i="2"/>
  <c r="O78" i="2" s="1"/>
  <c r="S78" i="2" s="1"/>
  <c r="Y78" i="2" s="1"/>
  <c r="AC78" i="2" s="1"/>
  <c r="AI78" i="2" s="1"/>
  <c r="AM78" i="2" s="1"/>
  <c r="AS78" i="2" s="1"/>
  <c r="AW78" i="2" s="1"/>
  <c r="BC78" i="2" s="1"/>
  <c r="BG78" i="2" s="1"/>
  <c r="BM78" i="2" s="1"/>
  <c r="BT78" i="2" s="1"/>
  <c r="I79" i="2"/>
  <c r="O79" i="2" s="1"/>
  <c r="S79" i="2" s="1"/>
  <c r="Y79" i="2" s="1"/>
  <c r="AC79" i="2" s="1"/>
  <c r="AI79" i="2" s="1"/>
  <c r="AM79" i="2" s="1"/>
  <c r="AS79" i="2" s="1"/>
  <c r="AW79" i="2" s="1"/>
  <c r="BC79" i="2" s="1"/>
  <c r="BG79" i="2" s="1"/>
  <c r="BM79" i="2" s="1"/>
  <c r="BT79" i="2" s="1"/>
  <c r="I80" i="2"/>
  <c r="O80" i="2" s="1"/>
  <c r="S80" i="2" s="1"/>
  <c r="Y80" i="2" s="1"/>
  <c r="AC80" i="2" s="1"/>
  <c r="AI80" i="2" s="1"/>
  <c r="AM80" i="2" s="1"/>
  <c r="AS80" i="2" s="1"/>
  <c r="AW80" i="2" s="1"/>
  <c r="BC80" i="2" s="1"/>
  <c r="BG80" i="2" s="1"/>
  <c r="BM80" i="2" s="1"/>
  <c r="BT80" i="2" s="1"/>
  <c r="I81" i="2"/>
  <c r="O81" i="2" s="1"/>
  <c r="S81" i="2" s="1"/>
  <c r="Y81" i="2" s="1"/>
  <c r="AC81" i="2" s="1"/>
  <c r="AI81" i="2" s="1"/>
  <c r="AM81" i="2" s="1"/>
  <c r="AS81" i="2" s="1"/>
  <c r="AW81" i="2" s="1"/>
  <c r="BC81" i="2" s="1"/>
  <c r="BG81" i="2" s="1"/>
  <c r="BM81" i="2" s="1"/>
  <c r="BT81" i="2" s="1"/>
  <c r="I57" i="2"/>
  <c r="O57" i="2" s="1"/>
  <c r="S57" i="2" s="1"/>
  <c r="Y57" i="2" s="1"/>
  <c r="AC57" i="2" s="1"/>
  <c r="AI57" i="2" s="1"/>
  <c r="AM57" i="2" s="1"/>
  <c r="AS57" i="2" s="1"/>
  <c r="AW57" i="2" s="1"/>
  <c r="BC57" i="2" s="1"/>
  <c r="BG57" i="2" s="1"/>
  <c r="BM57" i="2" s="1"/>
  <c r="BT57" i="2" s="1"/>
  <c r="I58" i="2"/>
  <c r="O58" i="2" s="1"/>
  <c r="S58" i="2" s="1"/>
  <c r="Y58" i="2" s="1"/>
  <c r="AC58" i="2" s="1"/>
  <c r="AI58" i="2" s="1"/>
  <c r="AM58" i="2" s="1"/>
  <c r="AS58" i="2" s="1"/>
  <c r="AW58" i="2" s="1"/>
  <c r="BC58" i="2" s="1"/>
  <c r="BG58" i="2" s="1"/>
  <c r="BM58" i="2" s="1"/>
  <c r="BT58" i="2" s="1"/>
  <c r="I59" i="2"/>
  <c r="O59" i="2" s="1"/>
  <c r="S59" i="2" s="1"/>
  <c r="Y59" i="2" s="1"/>
  <c r="AC59" i="2" s="1"/>
  <c r="AI59" i="2" s="1"/>
  <c r="AM59" i="2" s="1"/>
  <c r="AS59" i="2" s="1"/>
  <c r="AW59" i="2" s="1"/>
  <c r="BC59" i="2" s="1"/>
  <c r="BG59" i="2" s="1"/>
  <c r="BM59" i="2" s="1"/>
  <c r="BT59" i="2" s="1"/>
  <c r="I60" i="2"/>
  <c r="O60" i="2" s="1"/>
  <c r="S60" i="2" s="1"/>
  <c r="Y60" i="2" s="1"/>
  <c r="AC60" i="2" s="1"/>
  <c r="AI60" i="2" s="1"/>
  <c r="AM60" i="2" s="1"/>
  <c r="AS60" i="2" s="1"/>
  <c r="AW60" i="2" s="1"/>
  <c r="BC60" i="2" s="1"/>
  <c r="BG60" i="2" s="1"/>
  <c r="BM60" i="2" s="1"/>
  <c r="BT60" i="2" s="1"/>
  <c r="CB60" i="2" s="1"/>
  <c r="N27" i="2"/>
  <c r="T27" i="2" s="1"/>
  <c r="X27" i="2" s="1"/>
  <c r="AD27" i="2" s="1"/>
  <c r="AH27" i="2" s="1"/>
  <c r="AN27" i="2" s="1"/>
  <c r="AR27" i="2" s="1"/>
  <c r="AX27" i="2" s="1"/>
  <c r="BB27" i="2" s="1"/>
  <c r="BH27" i="2" s="1"/>
  <c r="BL27" i="2" s="1"/>
  <c r="BU27" i="2" s="1"/>
  <c r="BY27" i="2" s="1"/>
  <c r="CC27" i="2" s="1"/>
  <c r="N24" i="2"/>
  <c r="N25" i="2"/>
  <c r="T25" i="2" s="1"/>
  <c r="X25" i="2" s="1"/>
  <c r="AD25" i="2" s="1"/>
  <c r="AH25" i="2" s="1"/>
  <c r="AN25" i="2" s="1"/>
  <c r="AR25" i="2" s="1"/>
  <c r="AX25" i="2" s="1"/>
  <c r="BB25" i="2" s="1"/>
  <c r="BH25" i="2" s="1"/>
  <c r="BL25" i="2" s="1"/>
  <c r="BU25" i="2" s="1"/>
  <c r="BY25" i="2" s="1"/>
  <c r="CC25" i="2" s="1"/>
  <c r="N26" i="2"/>
  <c r="T26" i="2" s="1"/>
  <c r="X26" i="2" s="1"/>
  <c r="AD26" i="2" s="1"/>
  <c r="AH26" i="2" s="1"/>
  <c r="AN26" i="2" s="1"/>
  <c r="AR26" i="2" s="1"/>
  <c r="AX26" i="2" s="1"/>
  <c r="BB26" i="2" s="1"/>
  <c r="BH26" i="2" s="1"/>
  <c r="BL26" i="2" s="1"/>
  <c r="BU26" i="2" s="1"/>
  <c r="BY26" i="2" s="1"/>
  <c r="CC26" i="2" s="1"/>
  <c r="N28" i="2"/>
  <c r="T28" i="2" s="1"/>
  <c r="X28" i="2" s="1"/>
  <c r="AD28" i="2" s="1"/>
  <c r="AH28" i="2" s="1"/>
  <c r="AN28" i="2" s="1"/>
  <c r="AR28" i="2" s="1"/>
  <c r="AX28" i="2" s="1"/>
  <c r="BB28" i="2" s="1"/>
  <c r="BH28" i="2" s="1"/>
  <c r="BL28" i="2" s="1"/>
  <c r="N29" i="2"/>
  <c r="T29" i="2" s="1"/>
  <c r="N30" i="2"/>
  <c r="T30" i="2" s="1"/>
  <c r="X30" i="2" s="1"/>
  <c r="AD30" i="2" s="1"/>
  <c r="AH30" i="2" s="1"/>
  <c r="AN30" i="2" s="1"/>
  <c r="AR30" i="2" s="1"/>
  <c r="AX30" i="2" s="1"/>
  <c r="BB30" i="2" s="1"/>
  <c r="BH30" i="2" s="1"/>
  <c r="BL30" i="2" s="1"/>
  <c r="BU30" i="2" s="1"/>
  <c r="BY30" i="2" s="1"/>
  <c r="CC30" i="2" s="1"/>
  <c r="N31" i="2"/>
  <c r="T31" i="2" s="1"/>
  <c r="X31" i="2" s="1"/>
  <c r="AD31" i="2" s="1"/>
  <c r="AH31" i="2" s="1"/>
  <c r="AN31" i="2" s="1"/>
  <c r="AR31" i="2" s="1"/>
  <c r="AX31" i="2" s="1"/>
  <c r="BB31" i="2" s="1"/>
  <c r="BH31" i="2" s="1"/>
  <c r="BL31" i="2" s="1"/>
  <c r="BY31" i="2" s="1"/>
  <c r="CC31" i="2" s="1"/>
  <c r="N32" i="2"/>
  <c r="T32" i="2" s="1"/>
  <c r="X32" i="2" s="1"/>
  <c r="AD32" i="2" s="1"/>
  <c r="AH32" i="2" s="1"/>
  <c r="AN32" i="2" s="1"/>
  <c r="AR32" i="2" s="1"/>
  <c r="AX32" i="2" s="1"/>
  <c r="BB32" i="2" s="1"/>
  <c r="BH32" i="2" s="1"/>
  <c r="BL32" i="2" s="1"/>
  <c r="BY32" i="2" s="1"/>
  <c r="N40" i="2"/>
  <c r="T40" i="2" s="1"/>
  <c r="X40" i="2" s="1"/>
  <c r="AD40" i="2" s="1"/>
  <c r="N41" i="2"/>
  <c r="T41" i="2" s="1"/>
  <c r="X41" i="2" s="1"/>
  <c r="AD41" i="2" s="1"/>
  <c r="AH41" i="2" s="1"/>
  <c r="AN41" i="2" s="1"/>
  <c r="AR41" i="2" s="1"/>
  <c r="AX41" i="2" s="1"/>
  <c r="BB41" i="2" s="1"/>
  <c r="BH41" i="2" s="1"/>
  <c r="BL41" i="2" s="1"/>
  <c r="BU41" i="2" s="1"/>
  <c r="BY41" i="2" s="1"/>
  <c r="CC41" i="2" s="1"/>
  <c r="N42" i="2"/>
  <c r="T42" i="2" s="1"/>
  <c r="X42" i="2" s="1"/>
  <c r="AD42" i="2" s="1"/>
  <c r="AH42" i="2" s="1"/>
  <c r="AN42" i="2" s="1"/>
  <c r="AR42" i="2" s="1"/>
  <c r="AX42" i="2" s="1"/>
  <c r="BB42" i="2" s="1"/>
  <c r="BH42" i="2" s="1"/>
  <c r="BL42" i="2" s="1"/>
  <c r="BU42" i="2" s="1"/>
  <c r="BY42" i="2" s="1"/>
  <c r="AX43" i="2"/>
  <c r="BB43" i="2" s="1"/>
  <c r="BH43" i="2" s="1"/>
  <c r="BL43" i="2" s="1"/>
  <c r="N46" i="2"/>
  <c r="T46" i="2" s="1"/>
  <c r="X46" i="2" s="1"/>
  <c r="AD46" i="2" s="1"/>
  <c r="AH46" i="2" s="1"/>
  <c r="AN46" i="2" s="1"/>
  <c r="AR46" i="2" s="1"/>
  <c r="AX46" i="2" s="1"/>
  <c r="BB46" i="2" s="1"/>
  <c r="BH46" i="2" s="1"/>
  <c r="BL46" i="2" s="1"/>
  <c r="BU46" i="2" s="1"/>
  <c r="BY46" i="2" s="1"/>
  <c r="CC46" i="2" s="1"/>
  <c r="N47" i="2"/>
  <c r="T47" i="2" s="1"/>
  <c r="X47" i="2" s="1"/>
  <c r="AD47" i="2" s="1"/>
  <c r="AH47" i="2" s="1"/>
  <c r="N48" i="2"/>
  <c r="T48" i="2" s="1"/>
  <c r="X48" i="2" s="1"/>
  <c r="AD48" i="2" s="1"/>
  <c r="AH48" i="2" s="1"/>
  <c r="AN48" i="2" s="1"/>
  <c r="AR48" i="2" s="1"/>
  <c r="AX48" i="2" s="1"/>
  <c r="BB48" i="2" s="1"/>
  <c r="BH48" i="2" s="1"/>
  <c r="BL48" i="2" s="1"/>
  <c r="BU48" i="2" s="1"/>
  <c r="BY48" i="2" s="1"/>
  <c r="CC48" i="2" s="1"/>
  <c r="N55" i="2"/>
  <c r="T55" i="2" s="1"/>
  <c r="X55" i="2" s="1"/>
  <c r="AD55" i="2" s="1"/>
  <c r="AH55" i="2" s="1"/>
  <c r="AN55" i="2" s="1"/>
  <c r="AR55" i="2" s="1"/>
  <c r="AX55" i="2" s="1"/>
  <c r="BB55" i="2" s="1"/>
  <c r="BH55" i="2" s="1"/>
  <c r="BL55" i="2" s="1"/>
  <c r="BU55" i="2" s="1"/>
  <c r="BY55" i="2" s="1"/>
  <c r="CC55" i="2" s="1"/>
  <c r="N78" i="2"/>
  <c r="T78" i="2" s="1"/>
  <c r="X78" i="2" s="1"/>
  <c r="AD78" i="2" s="1"/>
  <c r="AH78" i="2" s="1"/>
  <c r="AN78" i="2" s="1"/>
  <c r="AR78" i="2" s="1"/>
  <c r="N79" i="2"/>
  <c r="T79" i="2" s="1"/>
  <c r="X79" i="2" s="1"/>
  <c r="AD79" i="2" s="1"/>
  <c r="AH79" i="2" s="1"/>
  <c r="AN79" i="2" s="1"/>
  <c r="AR79" i="2" s="1"/>
  <c r="AX79" i="2" s="1"/>
  <c r="BB79" i="2" s="1"/>
  <c r="BH79" i="2" s="1"/>
  <c r="BL79" i="2" s="1"/>
  <c r="BU79" i="2" s="1"/>
  <c r="BY79" i="2" s="1"/>
  <c r="N80" i="2"/>
  <c r="T80" i="2"/>
  <c r="X80" i="2" s="1"/>
  <c r="AD80" i="2" s="1"/>
  <c r="AH80" i="2" s="1"/>
  <c r="AN80" i="2" s="1"/>
  <c r="AR80" i="2" s="1"/>
  <c r="AX80" i="2" s="1"/>
  <c r="BB80" i="2" s="1"/>
  <c r="BH80" i="2" s="1"/>
  <c r="BL80" i="2" s="1"/>
  <c r="BU80" i="2" s="1"/>
  <c r="BY80" i="2" s="1"/>
  <c r="CC80" i="2" s="1"/>
  <c r="N81" i="2"/>
  <c r="T81" i="2" s="1"/>
  <c r="X81" i="2" s="1"/>
  <c r="AD81" i="2" s="1"/>
  <c r="AH81" i="2" s="1"/>
  <c r="AN81" i="2" s="1"/>
  <c r="AR81" i="2" s="1"/>
  <c r="AX81" i="2" s="1"/>
  <c r="BB81" i="2" s="1"/>
  <c r="BH81" i="2" s="1"/>
  <c r="BL81" i="2" s="1"/>
  <c r="BU81" i="2" s="1"/>
  <c r="BY81" i="2" s="1"/>
  <c r="CC81" i="2" s="1"/>
  <c r="N57" i="2"/>
  <c r="T57" i="2" s="1"/>
  <c r="X57" i="2" s="1"/>
  <c r="AD57" i="2" s="1"/>
  <c r="AH57" i="2" s="1"/>
  <c r="AN57" i="2" s="1"/>
  <c r="AR57" i="2" s="1"/>
  <c r="AX57" i="2" s="1"/>
  <c r="BB57" i="2" s="1"/>
  <c r="BH57" i="2" s="1"/>
  <c r="BL57" i="2" s="1"/>
  <c r="BU57" i="2" s="1"/>
  <c r="BY57" i="2" s="1"/>
  <c r="N58" i="2"/>
  <c r="T58" i="2" s="1"/>
  <c r="X58" i="2" s="1"/>
  <c r="AD58" i="2" s="1"/>
  <c r="AH58" i="2" s="1"/>
  <c r="AN58" i="2" s="1"/>
  <c r="AR58" i="2" s="1"/>
  <c r="AX58" i="2" s="1"/>
  <c r="BB58" i="2" s="1"/>
  <c r="BH58" i="2" s="1"/>
  <c r="BL58" i="2" s="1"/>
  <c r="BU58" i="2" s="1"/>
  <c r="BY58" i="2" s="1"/>
  <c r="CC58" i="2" s="1"/>
  <c r="N59" i="2"/>
  <c r="T59" i="2" s="1"/>
  <c r="X59" i="2" s="1"/>
  <c r="AD59" i="2" s="1"/>
  <c r="AH59" i="2" s="1"/>
  <c r="AN59" i="2" s="1"/>
  <c r="AR59" i="2" s="1"/>
  <c r="AX59" i="2" s="1"/>
  <c r="BB59" i="2" s="1"/>
  <c r="BH59" i="2" s="1"/>
  <c r="BL59" i="2" s="1"/>
  <c r="BU59" i="2" s="1"/>
  <c r="BY59" i="2" s="1"/>
  <c r="CC59" i="2" s="1"/>
  <c r="N60" i="2"/>
  <c r="T60" i="2" s="1"/>
  <c r="X60" i="2" s="1"/>
  <c r="AD60" i="2" s="1"/>
  <c r="AH60" i="2" s="1"/>
  <c r="AN60" i="2" s="1"/>
  <c r="AR60" i="2" s="1"/>
  <c r="AX60" i="2" s="1"/>
  <c r="BB60" i="2" s="1"/>
  <c r="BH60" i="2" s="1"/>
  <c r="BL60" i="2" s="1"/>
  <c r="BU60" i="2" s="1"/>
  <c r="BY60" i="2" s="1"/>
  <c r="I65" i="2"/>
  <c r="O65" i="2" s="1"/>
  <c r="S65" i="2" s="1"/>
  <c r="Y65" i="2" s="1"/>
  <c r="AC65" i="2" s="1"/>
  <c r="AI65" i="2" s="1"/>
  <c r="AM65" i="2" s="1"/>
  <c r="AS65" i="2" s="1"/>
  <c r="AW65" i="2" s="1"/>
  <c r="BC65" i="2" s="1"/>
  <c r="BG65" i="2" s="1"/>
  <c r="BM65" i="2" s="1"/>
  <c r="BT65" i="2" s="1"/>
  <c r="I66" i="2"/>
  <c r="O66" i="2" s="1"/>
  <c r="S66" i="2" s="1"/>
  <c r="Y66" i="2" s="1"/>
  <c r="AC66" i="2" s="1"/>
  <c r="AI66" i="2" s="1"/>
  <c r="AM66" i="2" s="1"/>
  <c r="AS66" i="2" s="1"/>
  <c r="AW66" i="2" s="1"/>
  <c r="BC66" i="2" s="1"/>
  <c r="BG66" i="2" s="1"/>
  <c r="BM66" i="2" s="1"/>
  <c r="BT66" i="2" s="1"/>
  <c r="N66" i="2"/>
  <c r="T66" i="2" s="1"/>
  <c r="X66" i="2" s="1"/>
  <c r="AD66" i="2" s="1"/>
  <c r="AH66" i="2" s="1"/>
  <c r="AN66" i="2" s="1"/>
  <c r="AR66" i="2" s="1"/>
  <c r="AX66" i="2" s="1"/>
  <c r="BB66" i="2" s="1"/>
  <c r="BH66" i="2" s="1"/>
  <c r="BL66" i="2" s="1"/>
  <c r="BU66" i="2" s="1"/>
  <c r="BY66" i="2" s="1"/>
  <c r="N64" i="2"/>
  <c r="X64" i="2" s="1"/>
  <c r="AD64" i="2" s="1"/>
  <c r="AH64" i="2" s="1"/>
  <c r="AN64" i="2" s="1"/>
  <c r="AR64" i="2" s="1"/>
  <c r="AX64" i="2" s="1"/>
  <c r="BB64" i="2" s="1"/>
  <c r="BH64" i="2" s="1"/>
  <c r="BL64" i="2" s="1"/>
  <c r="I64" i="2"/>
  <c r="O64" i="2" s="1"/>
  <c r="Y64" i="2" s="1"/>
  <c r="AC64" i="2" s="1"/>
  <c r="AI64" i="2" s="1"/>
  <c r="AM64" i="2" s="1"/>
  <c r="AS64" i="2" s="1"/>
  <c r="AW64" i="2" s="1"/>
  <c r="BC64" i="2" s="1"/>
  <c r="BG64" i="2" s="1"/>
  <c r="BM64" i="2" s="1"/>
  <c r="BT64" i="2" s="1"/>
  <c r="AR49" i="2"/>
  <c r="AX49" i="2" s="1"/>
  <c r="BB49" i="2" s="1"/>
  <c r="BH49" i="2" s="1"/>
  <c r="BL49" i="2" s="1"/>
  <c r="BU49" i="2" s="1"/>
  <c r="BY49" i="2" s="1"/>
  <c r="CC49" i="2" s="1"/>
  <c r="AW49" i="2"/>
  <c r="BC49" i="2" s="1"/>
  <c r="BG49" i="2" s="1"/>
  <c r="BM49" i="2" s="1"/>
  <c r="BT49" i="2" s="1"/>
  <c r="CB49" i="2" s="1"/>
  <c r="AR50" i="2"/>
  <c r="AX50" i="2" s="1"/>
  <c r="BB50" i="2" s="1"/>
  <c r="BH50" i="2" s="1"/>
  <c r="BL50" i="2" s="1"/>
  <c r="BU50" i="2" s="1"/>
  <c r="BY50" i="2" s="1"/>
  <c r="CC50" i="2" s="1"/>
  <c r="AW50" i="2"/>
  <c r="BC50" i="2" s="1"/>
  <c r="BG50" i="2" s="1"/>
  <c r="BM50" i="2" s="1"/>
  <c r="BT50" i="2" s="1"/>
  <c r="CB50" i="2" s="1"/>
  <c r="AR51" i="2"/>
  <c r="AX51" i="2" s="1"/>
  <c r="BB51" i="2" s="1"/>
  <c r="BH51" i="2" s="1"/>
  <c r="BL51" i="2" s="1"/>
  <c r="BU51" i="2" s="1"/>
  <c r="BY51" i="2" s="1"/>
  <c r="CC51" i="2" s="1"/>
  <c r="AW51" i="2"/>
  <c r="BC51" i="2" s="1"/>
  <c r="BG51" i="2" s="1"/>
  <c r="BM51" i="2" s="1"/>
  <c r="BT51" i="2" s="1"/>
  <c r="CB51" i="2" s="1"/>
  <c r="AR52" i="2"/>
  <c r="AX52" i="2" s="1"/>
  <c r="BB52" i="2" s="1"/>
  <c r="BH52" i="2" s="1"/>
  <c r="BL52" i="2" s="1"/>
  <c r="BU52" i="2" s="1"/>
  <c r="BY52" i="2" s="1"/>
  <c r="CC52" i="2" s="1"/>
  <c r="AW52" i="2"/>
  <c r="BC52" i="2" s="1"/>
  <c r="BG52" i="2" s="1"/>
  <c r="BM52" i="2" s="1"/>
  <c r="BT52" i="2" s="1"/>
  <c r="CB52" i="2" s="1"/>
  <c r="AR53" i="2"/>
  <c r="AX53" i="2" s="1"/>
  <c r="BB53" i="2" s="1"/>
  <c r="BH53" i="2" s="1"/>
  <c r="BL53" i="2" s="1"/>
  <c r="BU53" i="2" s="1"/>
  <c r="BY53" i="2" s="1"/>
  <c r="CC53" i="2" s="1"/>
  <c r="AW53" i="2"/>
  <c r="BC53" i="2" s="1"/>
  <c r="BG53" i="2" s="1"/>
  <c r="BM53" i="2" s="1"/>
  <c r="BT53" i="2" s="1"/>
  <c r="CB53" i="2" s="1"/>
  <c r="AR54" i="2"/>
  <c r="AX54" i="2" s="1"/>
  <c r="BB54" i="2" s="1"/>
  <c r="BH54" i="2" s="1"/>
  <c r="BL54" i="2" s="1"/>
  <c r="BU54" i="2" s="1"/>
  <c r="BY54" i="2" s="1"/>
  <c r="CC54" i="2" s="1"/>
  <c r="AW54" i="2"/>
  <c r="BC54" i="2" s="1"/>
  <c r="BG54" i="2" s="1"/>
  <c r="BM54" i="2" s="1"/>
  <c r="BT54" i="2" s="1"/>
  <c r="CB54" i="2" s="1"/>
  <c r="I86" i="2"/>
  <c r="O86" i="2" s="1"/>
  <c r="S86" i="2" s="1"/>
  <c r="Y86" i="2" s="1"/>
  <c r="AC86" i="2" s="1"/>
  <c r="AI86" i="2" s="1"/>
  <c r="AM86" i="2" s="1"/>
  <c r="AS86" i="2" s="1"/>
  <c r="AW86" i="2" s="1"/>
  <c r="BC86" i="2" s="1"/>
  <c r="BG86" i="2" s="1"/>
  <c r="BM86" i="2" s="1"/>
  <c r="BT86" i="2" s="1"/>
  <c r="CB86" i="2" s="1"/>
  <c r="N86" i="2"/>
  <c r="T86" i="2" s="1"/>
  <c r="X86" i="2" s="1"/>
  <c r="AD86" i="2" s="1"/>
  <c r="AH86" i="2" s="1"/>
  <c r="AN86" i="2" s="1"/>
  <c r="AR86" i="2" s="1"/>
  <c r="AX86" i="2" s="1"/>
  <c r="BB86" i="2" s="1"/>
  <c r="BH86" i="2" s="1"/>
  <c r="BL86" i="2" s="1"/>
  <c r="BG56" i="2"/>
  <c r="BM56" i="2" s="1"/>
  <c r="BT56" i="2" s="1"/>
  <c r="CB56" i="2" s="1"/>
  <c r="I88" i="2"/>
  <c r="O88" i="2" s="1"/>
  <c r="S88" i="2" s="1"/>
  <c r="Y88" i="2" s="1"/>
  <c r="AC88" i="2" s="1"/>
  <c r="AI88" i="2" s="1"/>
  <c r="AM88" i="2" s="1"/>
  <c r="AS88" i="2" s="1"/>
  <c r="AW88" i="2" s="1"/>
  <c r="BC88" i="2" s="1"/>
  <c r="BG88" i="2" s="1"/>
  <c r="BM88" i="2" s="1"/>
  <c r="BT88" i="2" s="1"/>
  <c r="CB88" i="2" s="1"/>
  <c r="N88" i="2"/>
  <c r="T88" i="2" s="1"/>
  <c r="X88" i="2" s="1"/>
  <c r="AD88" i="2" s="1"/>
  <c r="AH88" i="2" s="1"/>
  <c r="AN88" i="2" s="1"/>
  <c r="AR88" i="2" s="1"/>
  <c r="AX88" i="2" s="1"/>
  <c r="BB88" i="2" s="1"/>
  <c r="BH88" i="2" s="1"/>
  <c r="BL88" i="2" s="1"/>
  <c r="BU88" i="2" s="1"/>
  <c r="BY88" i="2" s="1"/>
  <c r="BZ37" i="2"/>
  <c r="CA37" i="2"/>
  <c r="CA36" i="2" s="1"/>
  <c r="J62" i="2"/>
  <c r="J68" i="2" s="1"/>
  <c r="J76" i="2" s="1"/>
  <c r="K62" i="2"/>
  <c r="K68" i="2" s="1"/>
  <c r="K76" i="2" s="1"/>
  <c r="L62" i="2"/>
  <c r="L68" i="2" s="1"/>
  <c r="L76" i="2" s="1"/>
  <c r="M62" i="2"/>
  <c r="M68" i="2" s="1"/>
  <c r="M76" i="2" s="1"/>
  <c r="I84" i="2"/>
  <c r="O84" i="2" s="1"/>
  <c r="S84" i="2" s="1"/>
  <c r="Y84" i="2" s="1"/>
  <c r="AC84" i="2" s="1"/>
  <c r="AI84" i="2" s="1"/>
  <c r="AM84" i="2" s="1"/>
  <c r="AS84" i="2" s="1"/>
  <c r="AW84" i="2" s="1"/>
  <c r="BC84" i="2" s="1"/>
  <c r="BG84" i="2" s="1"/>
  <c r="BM84" i="2" s="1"/>
  <c r="BT84" i="2" s="1"/>
  <c r="N84" i="2"/>
  <c r="T84" i="2" s="1"/>
  <c r="X84" i="2" s="1"/>
  <c r="AD84" i="2" s="1"/>
  <c r="AH84" i="2" s="1"/>
  <c r="AN84" i="2" s="1"/>
  <c r="AR84" i="2" s="1"/>
  <c r="AX84" i="2" s="1"/>
  <c r="BB84" i="2" s="1"/>
  <c r="BH84" i="2" s="1"/>
  <c r="BL84" i="2" s="1"/>
  <c r="BU84" i="2" s="1"/>
  <c r="BY84" i="2" s="1"/>
  <c r="CC84" i="2" s="1"/>
  <c r="AH54" i="2"/>
  <c r="AH53" i="2"/>
  <c r="AH52" i="2"/>
  <c r="AH51" i="2"/>
  <c r="AH50" i="2"/>
  <c r="AH49" i="2"/>
  <c r="N54" i="2"/>
  <c r="T54" i="2" s="1"/>
  <c r="X54" i="2" s="1"/>
  <c r="N53" i="2"/>
  <c r="T53" i="2" s="1"/>
  <c r="X53" i="2" s="1"/>
  <c r="N52" i="2"/>
  <c r="T52" i="2" s="1"/>
  <c r="X52" i="2" s="1"/>
  <c r="N51" i="2"/>
  <c r="T51" i="2" s="1"/>
  <c r="X51" i="2" s="1"/>
  <c r="N50" i="2"/>
  <c r="T50" i="2" s="1"/>
  <c r="N49" i="2"/>
  <c r="T49" i="2" s="1"/>
  <c r="X49" i="2" s="1"/>
  <c r="I49" i="2"/>
  <c r="I50" i="2"/>
  <c r="I51" i="2"/>
  <c r="I52" i="2"/>
  <c r="I53" i="2"/>
  <c r="I54" i="2"/>
  <c r="CG37" i="2"/>
  <c r="G62" i="2"/>
  <c r="H62" i="2"/>
  <c r="H68" i="2" s="1"/>
  <c r="H76" i="2" s="1"/>
  <c r="Q62" i="2"/>
  <c r="Q68" i="2" s="1"/>
  <c r="Q76" i="2" s="1"/>
  <c r="R62" i="2"/>
  <c r="R68" i="2" s="1"/>
  <c r="R76" i="2" s="1"/>
  <c r="U62" i="2"/>
  <c r="V62" i="2"/>
  <c r="V68" i="2" s="1"/>
  <c r="V76" i="2" s="1"/>
  <c r="W62" i="2"/>
  <c r="W68" i="2" s="1"/>
  <c r="W76" i="2" s="1"/>
  <c r="AA62" i="2"/>
  <c r="AA68" i="2" s="1"/>
  <c r="AA76" i="2" s="1"/>
  <c r="AB62" i="2"/>
  <c r="AB68" i="2" s="1"/>
  <c r="AB76" i="2" s="1"/>
  <c r="AE62" i="2"/>
  <c r="AE68" i="2" s="1"/>
  <c r="AE76" i="2" s="1"/>
  <c r="AF62" i="2"/>
  <c r="AF68" i="2" s="1"/>
  <c r="AF76" i="2" s="1"/>
  <c r="AG62" i="2"/>
  <c r="AG68" i="2" s="1"/>
  <c r="AG76" i="2" s="1"/>
  <c r="AK62" i="2"/>
  <c r="AK68" i="2" s="1"/>
  <c r="AK76" i="2" s="1"/>
  <c r="AL62" i="2"/>
  <c r="AL68" i="2" s="1"/>
  <c r="AL76" i="2" s="1"/>
  <c r="AO62" i="2"/>
  <c r="AP62" i="2"/>
  <c r="AP68" i="2" s="1"/>
  <c r="AP76" i="2" s="1"/>
  <c r="AQ62" i="2"/>
  <c r="AQ68" i="2" s="1"/>
  <c r="AQ76" i="2" s="1"/>
  <c r="AU62" i="2"/>
  <c r="AV62" i="2"/>
  <c r="AV68" i="2" s="1"/>
  <c r="AV76" i="2" s="1"/>
  <c r="AY62" i="2"/>
  <c r="AZ62" i="2"/>
  <c r="AZ68" i="2" s="1"/>
  <c r="AZ76" i="2" s="1"/>
  <c r="BA62" i="2"/>
  <c r="BE62" i="2"/>
  <c r="BE68" i="2" s="1"/>
  <c r="BE76" i="2" s="1"/>
  <c r="BF62" i="2"/>
  <c r="BF68" i="2" s="1"/>
  <c r="BF76" i="2" s="1"/>
  <c r="BI62" i="2"/>
  <c r="CG62" i="2"/>
  <c r="F62" i="2"/>
  <c r="F68" i="2" s="1"/>
  <c r="F76" i="2" s="1"/>
  <c r="E62" i="2"/>
  <c r="E68" i="2" s="1"/>
  <c r="E76" i="2" s="1"/>
  <c r="E37" i="2"/>
  <c r="E36" i="2" s="1"/>
  <c r="F37" i="2"/>
  <c r="F36" i="2" s="1"/>
  <c r="G37" i="2"/>
  <c r="H37" i="2"/>
  <c r="I37" i="2"/>
  <c r="J37" i="2"/>
  <c r="J36" i="2" s="1"/>
  <c r="K37" i="2"/>
  <c r="K36" i="2" s="1"/>
  <c r="L37" i="2"/>
  <c r="L36" i="2" s="1"/>
  <c r="M37" i="2"/>
  <c r="M36" i="2" s="1"/>
  <c r="P37" i="2"/>
  <c r="Q37" i="2"/>
  <c r="Q36" i="2" s="1"/>
  <c r="R37" i="2"/>
  <c r="R36" i="2" s="1"/>
  <c r="U37" i="2"/>
  <c r="V37" i="2"/>
  <c r="W37" i="2"/>
  <c r="W36" i="2" s="1"/>
  <c r="Z37" i="2"/>
  <c r="Z36" i="2" s="1"/>
  <c r="AA37" i="2"/>
  <c r="AB37" i="2"/>
  <c r="AE37" i="2"/>
  <c r="AE36" i="2" s="1"/>
  <c r="AF37" i="2"/>
  <c r="AF36" i="2" s="1"/>
  <c r="AG37" i="2"/>
  <c r="AJ37" i="2"/>
  <c r="AK37" i="2"/>
  <c r="AK36" i="2" s="1"/>
  <c r="AL37" i="2"/>
  <c r="AL36" i="2" s="1"/>
  <c r="AO37" i="2"/>
  <c r="AP37" i="2"/>
  <c r="AQ37" i="2"/>
  <c r="AQ36" i="2" s="1"/>
  <c r="AT37" i="2"/>
  <c r="AU37" i="2"/>
  <c r="AV37" i="2"/>
  <c r="AY37" i="2"/>
  <c r="AY36" i="2" s="1"/>
  <c r="AZ37" i="2"/>
  <c r="BA37" i="2"/>
  <c r="BD37" i="2"/>
  <c r="BE37" i="2"/>
  <c r="BE36" i="2" s="1"/>
  <c r="BF37" i="2"/>
  <c r="BF36" i="2" s="1"/>
  <c r="BI37" i="2"/>
  <c r="BJ37" i="2"/>
  <c r="BK37" i="2"/>
  <c r="BK36" i="2" s="1"/>
  <c r="C37" i="2"/>
  <c r="BU44" i="2"/>
  <c r="BY44" i="2" s="1"/>
  <c r="S29" i="2"/>
  <c r="S37" i="2" s="1"/>
  <c r="O37" i="2"/>
  <c r="CB57" i="2"/>
  <c r="BX36" i="2"/>
  <c r="BU85" i="2"/>
  <c r="BY85" i="2" s="1"/>
  <c r="BP36" i="2"/>
  <c r="BQ36" i="2"/>
  <c r="BU28" i="2"/>
  <c r="BY28" i="2" s="1"/>
  <c r="CB79" i="2"/>
  <c r="AP36" i="2"/>
  <c r="BR36" i="2"/>
  <c r="AJ36" i="2"/>
  <c r="BW36" i="2"/>
  <c r="H36" i="2"/>
  <c r="AB36" i="2"/>
  <c r="V36" i="2"/>
  <c r="BU43" i="2"/>
  <c r="BY43" i="2" s="1"/>
  <c r="BL71" i="2"/>
  <c r="BL65" i="2"/>
  <c r="BU65" i="2" s="1"/>
  <c r="BY65" i="2" s="1"/>
  <c r="CC65" i="2" s="1"/>
  <c r="BI36" i="2"/>
  <c r="U36" i="2"/>
  <c r="AV36" i="2"/>
  <c r="CC79" i="2"/>
  <c r="BU64" i="2"/>
  <c r="BY64" i="2" s="1"/>
  <c r="CC64" i="2" s="1"/>
  <c r="CC45" i="2"/>
  <c r="BU86" i="2"/>
  <c r="BY86" i="2" s="1"/>
  <c r="BN68" i="2" l="1"/>
  <c r="BN76" i="2" s="1"/>
  <c r="AT68" i="2"/>
  <c r="AT76" i="2" s="1"/>
  <c r="AY68" i="2"/>
  <c r="AY76" i="2" s="1"/>
  <c r="CB66" i="2"/>
  <c r="CC56" i="2"/>
  <c r="CH56" i="2"/>
  <c r="E51" i="11" s="1"/>
  <c r="CD55" i="2"/>
  <c r="CE55" i="2"/>
  <c r="CF55" i="2" s="1"/>
  <c r="D33" i="13" s="1"/>
  <c r="CE60" i="2"/>
  <c r="CD60" i="2"/>
  <c r="CE42" i="2"/>
  <c r="CD42" i="2"/>
  <c r="N37" i="2"/>
  <c r="CE54" i="2"/>
  <c r="CD54" i="2"/>
  <c r="CF54" i="2" s="1"/>
  <c r="D32" i="13" s="1"/>
  <c r="CE52" i="2"/>
  <c r="CD52" i="2"/>
  <c r="CE50" i="2"/>
  <c r="CD50" i="2"/>
  <c r="CF50" i="2" s="1"/>
  <c r="D28" i="13" s="1"/>
  <c r="CE48" i="2"/>
  <c r="CD48" i="2"/>
  <c r="CE45" i="2"/>
  <c r="CD45" i="2"/>
  <c r="CE57" i="2"/>
  <c r="CD57" i="2"/>
  <c r="CE56" i="2"/>
  <c r="CD56" i="2"/>
  <c r="CF56" i="2" s="1"/>
  <c r="D34" i="13" s="1"/>
  <c r="CD47" i="2"/>
  <c r="CE47" i="2"/>
  <c r="CE44" i="2"/>
  <c r="CD44" i="2"/>
  <c r="CE53" i="2"/>
  <c r="CD53" i="2"/>
  <c r="CD51" i="2"/>
  <c r="CE51" i="2"/>
  <c r="CF51" i="2" s="1"/>
  <c r="D29" i="13" s="1"/>
  <c r="CE49" i="2"/>
  <c r="CD49" i="2"/>
  <c r="CD43" i="2"/>
  <c r="CE43" i="2"/>
  <c r="CD66" i="2"/>
  <c r="CE66" i="2"/>
  <c r="AZ36" i="2"/>
  <c r="AT36" i="2"/>
  <c r="BO36" i="2"/>
  <c r="BJ36" i="2"/>
  <c r="CE32" i="2"/>
  <c r="CD32" i="2"/>
  <c r="CE88" i="2"/>
  <c r="CD88" i="2"/>
  <c r="CE79" i="2"/>
  <c r="CF79" i="2" s="1"/>
  <c r="CD79" i="2"/>
  <c r="AX78" i="2"/>
  <c r="BB78" i="2" s="1"/>
  <c r="BH78" i="2" s="1"/>
  <c r="BL78" i="2" s="1"/>
  <c r="BU78" i="2" s="1"/>
  <c r="BY78" i="2" s="1"/>
  <c r="BN36" i="2"/>
  <c r="CH79" i="2"/>
  <c r="E61" i="11" s="1"/>
  <c r="BD36" i="2"/>
  <c r="CB81" i="2"/>
  <c r="CH81" i="2"/>
  <c r="E63" i="11" s="1"/>
  <c r="CH28" i="2"/>
  <c r="CH51" i="2"/>
  <c r="E46" i="11" s="1"/>
  <c r="Z68" i="2"/>
  <c r="Z76" i="2" s="1"/>
  <c r="CH27" i="2"/>
  <c r="G36" i="2"/>
  <c r="AG36" i="2"/>
  <c r="BS36" i="2"/>
  <c r="CB28" i="2"/>
  <c r="CG36" i="2"/>
  <c r="BV36" i="2"/>
  <c r="AU36" i="2"/>
  <c r="AO68" i="2"/>
  <c r="AO76" i="2" s="1"/>
  <c r="P36" i="2"/>
  <c r="P68" i="2"/>
  <c r="P76" i="2" s="1"/>
  <c r="Y29" i="2"/>
  <c r="CC66" i="2"/>
  <c r="CH66" i="2"/>
  <c r="E58" i="11" s="1"/>
  <c r="CC88" i="2"/>
  <c r="CH88" i="2"/>
  <c r="E67" i="11" s="1"/>
  <c r="CB78" i="2"/>
  <c r="CH65" i="2"/>
  <c r="E57" i="11" s="1"/>
  <c r="CB65" i="2"/>
  <c r="CF65" i="2" s="1"/>
  <c r="D42" i="13" s="1"/>
  <c r="CC57" i="2"/>
  <c r="CH57" i="2"/>
  <c r="E52" i="11" s="1"/>
  <c r="AH40" i="2"/>
  <c r="AN40" i="2" s="1"/>
  <c r="AR40" i="2" s="1"/>
  <c r="AX40" i="2" s="1"/>
  <c r="BB40" i="2" s="1"/>
  <c r="AD62" i="2"/>
  <c r="X29" i="2"/>
  <c r="T37" i="2"/>
  <c r="CB27" i="2"/>
  <c r="E27" i="11"/>
  <c r="CF45" i="2"/>
  <c r="D23" i="13" s="1"/>
  <c r="I23" i="13" s="1"/>
  <c r="CH48" i="2"/>
  <c r="E43" i="11" s="1"/>
  <c r="BA68" i="2"/>
  <c r="BA76" i="2" s="1"/>
  <c r="AU68" i="2"/>
  <c r="AU76" i="2" s="1"/>
  <c r="BZ36" i="2"/>
  <c r="CH53" i="2"/>
  <c r="E48" i="11" s="1"/>
  <c r="BR68" i="2"/>
  <c r="BR76" i="2" s="1"/>
  <c r="CA68" i="2"/>
  <c r="CA76" i="2" s="1"/>
  <c r="BU71" i="2"/>
  <c r="BM71" i="2"/>
  <c r="I62" i="2"/>
  <c r="BA36" i="2"/>
  <c r="AO36" i="2"/>
  <c r="AA36" i="2"/>
  <c r="BI68" i="2"/>
  <c r="BI76" i="2" s="1"/>
  <c r="U68" i="2"/>
  <c r="U76" i="2" s="1"/>
  <c r="G68" i="2"/>
  <c r="G76" i="2" s="1"/>
  <c r="CH50" i="2"/>
  <c r="E45" i="11" s="1"/>
  <c r="BS68" i="2"/>
  <c r="BS76" i="2" s="1"/>
  <c r="F23" i="13"/>
  <c r="H23" i="13"/>
  <c r="M53" i="13"/>
  <c r="CH32" i="2"/>
  <c r="E32" i="11" s="1"/>
  <c r="CC32" i="2"/>
  <c r="CH26" i="2"/>
  <c r="E26" i="11" s="1"/>
  <c r="CB26" i="2"/>
  <c r="CH60" i="2"/>
  <c r="E55" i="11" s="1"/>
  <c r="CC60" i="2"/>
  <c r="CF60" i="2" s="1"/>
  <c r="D38" i="13" s="1"/>
  <c r="CC86" i="2"/>
  <c r="CH86" i="2"/>
  <c r="E66" i="11" s="1"/>
  <c r="CB25" i="2"/>
  <c r="CH25" i="2"/>
  <c r="E25" i="11" s="1"/>
  <c r="CH43" i="2"/>
  <c r="E38" i="11" s="1"/>
  <c r="CC43" i="2"/>
  <c r="CB31" i="2"/>
  <c r="CH31" i="2"/>
  <c r="E31" i="11" s="1"/>
  <c r="CB58" i="2"/>
  <c r="CH58" i="2"/>
  <c r="E53" i="11" s="1"/>
  <c r="CB33" i="2"/>
  <c r="CH33" i="2"/>
  <c r="CC85" i="2"/>
  <c r="CH85" i="2"/>
  <c r="E65" i="11" s="1"/>
  <c r="CC44" i="2"/>
  <c r="CH44" i="2"/>
  <c r="E39" i="11" s="1"/>
  <c r="CB84" i="2"/>
  <c r="CF84" i="2" s="1"/>
  <c r="CH84" i="2"/>
  <c r="E64" i="11" s="1"/>
  <c r="CB46" i="2"/>
  <c r="CH46" i="2"/>
  <c r="E41" i="11" s="1"/>
  <c r="CB80" i="2"/>
  <c r="CH80" i="2"/>
  <c r="E62" i="11" s="1"/>
  <c r="CH42" i="2"/>
  <c r="E37" i="11" s="1"/>
  <c r="CC42" i="2"/>
  <c r="AN47" i="2"/>
  <c r="CC28" i="2"/>
  <c r="E28" i="11"/>
  <c r="CH41" i="2"/>
  <c r="E36" i="11" s="1"/>
  <c r="CB41" i="2"/>
  <c r="T62" i="2"/>
  <c r="X50" i="2"/>
  <c r="X62" i="2" s="1"/>
  <c r="CH55" i="2"/>
  <c r="E50" i="11" s="1"/>
  <c r="BH40" i="2"/>
  <c r="CF66" i="2"/>
  <c r="D43" i="13" s="1"/>
  <c r="CF57" i="2"/>
  <c r="D35" i="13" s="1"/>
  <c r="CG68" i="2"/>
  <c r="CG76" i="2" s="1"/>
  <c r="CH54" i="2"/>
  <c r="E49" i="11" s="1"/>
  <c r="CH52" i="2"/>
  <c r="E47" i="11" s="1"/>
  <c r="CH49" i="2"/>
  <c r="E44" i="11" s="1"/>
  <c r="CF86" i="2"/>
  <c r="CF53" i="2"/>
  <c r="D31" i="13" s="1"/>
  <c r="CF52" i="2"/>
  <c r="D30" i="13" s="1"/>
  <c r="CF49" i="2"/>
  <c r="D27" i="13" s="1"/>
  <c r="N62" i="2"/>
  <c r="CF85" i="2"/>
  <c r="CH64" i="2"/>
  <c r="E56" i="11" s="1"/>
  <c r="CB64" i="2"/>
  <c r="N35" i="2"/>
  <c r="N36" i="2" s="1"/>
  <c r="T24" i="2"/>
  <c r="CB59" i="2"/>
  <c r="CH59" i="2"/>
  <c r="E54" i="11" s="1"/>
  <c r="CF48" i="2"/>
  <c r="D26" i="13" s="1"/>
  <c r="O62" i="2"/>
  <c r="S40" i="2"/>
  <c r="O35" i="2"/>
  <c r="O36" i="2" s="1"/>
  <c r="S24" i="2"/>
  <c r="I35" i="2"/>
  <c r="I36" i="2" s="1"/>
  <c r="CH30" i="2"/>
  <c r="E30" i="11" s="1"/>
  <c r="CB30" i="2"/>
  <c r="BD68" i="2"/>
  <c r="BD76" i="2" s="1"/>
  <c r="BK68" i="2"/>
  <c r="BK76" i="2" s="1"/>
  <c r="BW68" i="2"/>
  <c r="BW76" i="2" s="1"/>
  <c r="BJ68" i="2"/>
  <c r="BJ76" i="2" s="1"/>
  <c r="BX68" i="2"/>
  <c r="BX76" i="2" s="1"/>
  <c r="CF42" i="2" l="1"/>
  <c r="D20" i="13" s="1"/>
  <c r="G20" i="13" s="1"/>
  <c r="CF64" i="2"/>
  <c r="CF80" i="2"/>
  <c r="L34" i="13"/>
  <c r="F34" i="13"/>
  <c r="G34" i="13"/>
  <c r="K34" i="13"/>
  <c r="H34" i="13"/>
  <c r="J34" i="13"/>
  <c r="I34" i="13"/>
  <c r="CF59" i="2"/>
  <c r="D37" i="13" s="1"/>
  <c r="K37" i="13" s="1"/>
  <c r="CD59" i="2"/>
  <c r="CE59" i="2"/>
  <c r="CE46" i="2"/>
  <c r="CF46" i="2" s="1"/>
  <c r="D24" i="13" s="1"/>
  <c r="CD46" i="2"/>
  <c r="CF44" i="2"/>
  <c r="D22" i="13" s="1"/>
  <c r="G22" i="13" s="1"/>
  <c r="CE31" i="2"/>
  <c r="CF31" i="2" s="1"/>
  <c r="D13" i="13" s="1"/>
  <c r="F13" i="13" s="1"/>
  <c r="CD31" i="2"/>
  <c r="G23" i="13"/>
  <c r="CE27" i="2"/>
  <c r="CF27" i="2" s="1"/>
  <c r="D9" i="13" s="1"/>
  <c r="CD27" i="2"/>
  <c r="CD30" i="2"/>
  <c r="CF30" i="2" s="1"/>
  <c r="D12" i="13" s="1"/>
  <c r="CE30" i="2"/>
  <c r="CE41" i="2"/>
  <c r="CD41" i="2"/>
  <c r="CF41" i="2" s="1"/>
  <c r="D19" i="13" s="1"/>
  <c r="CF58" i="2"/>
  <c r="D36" i="13" s="1"/>
  <c r="J36" i="13" s="1"/>
  <c r="CE58" i="2"/>
  <c r="CD58" i="2"/>
  <c r="L23" i="13"/>
  <c r="J23" i="13"/>
  <c r="CF43" i="2"/>
  <c r="D21" i="13" s="1"/>
  <c r="I21" i="13" s="1"/>
  <c r="CD26" i="2"/>
  <c r="CF26" i="2" s="1"/>
  <c r="D8" i="13" s="1"/>
  <c r="CE26" i="2"/>
  <c r="K23" i="13"/>
  <c r="CE28" i="2"/>
  <c r="CD28" i="2"/>
  <c r="CF28" i="2" s="1"/>
  <c r="D10" i="13" s="1"/>
  <c r="CF32" i="2"/>
  <c r="D14" i="13" s="1"/>
  <c r="CE33" i="2"/>
  <c r="CD33" i="2"/>
  <c r="E33" i="11"/>
  <c r="CE25" i="2"/>
  <c r="CD25" i="2"/>
  <c r="CF88" i="2"/>
  <c r="CE81" i="2"/>
  <c r="CD81" i="2"/>
  <c r="CC78" i="2"/>
  <c r="CH78" i="2"/>
  <c r="E60" i="11" s="1"/>
  <c r="CE78" i="2"/>
  <c r="CD78" i="2"/>
  <c r="K42" i="13"/>
  <c r="J42" i="13"/>
  <c r="L42" i="13"/>
  <c r="I42" i="13"/>
  <c r="H42" i="13"/>
  <c r="G42" i="13"/>
  <c r="F42" i="13"/>
  <c r="I43" i="13"/>
  <c r="G43" i="13"/>
  <c r="J43" i="13"/>
  <c r="K43" i="13"/>
  <c r="H43" i="13"/>
  <c r="F43" i="13"/>
  <c r="L43" i="13"/>
  <c r="J35" i="13"/>
  <c r="K35" i="13"/>
  <c r="H35" i="13"/>
  <c r="F35" i="13"/>
  <c r="G35" i="13"/>
  <c r="L35" i="13"/>
  <c r="I35" i="13"/>
  <c r="J38" i="13"/>
  <c r="I38" i="13"/>
  <c r="H38" i="13"/>
  <c r="G38" i="13"/>
  <c r="F38" i="13"/>
  <c r="L38" i="13"/>
  <c r="K38" i="13"/>
  <c r="G37" i="13"/>
  <c r="F36" i="13"/>
  <c r="AH62" i="2"/>
  <c r="Y37" i="2"/>
  <c r="AC29" i="2"/>
  <c r="BT71" i="2"/>
  <c r="BY71" i="2"/>
  <c r="X37" i="2"/>
  <c r="AD29" i="2"/>
  <c r="K41" i="13"/>
  <c r="G41" i="13"/>
  <c r="F41" i="13"/>
  <c r="I41" i="13"/>
  <c r="L41" i="13"/>
  <c r="H41" i="13"/>
  <c r="D44" i="13"/>
  <c r="J41" i="13"/>
  <c r="J27" i="13"/>
  <c r="F27" i="13"/>
  <c r="I27" i="13"/>
  <c r="L27" i="13"/>
  <c r="H27" i="13"/>
  <c r="K27" i="13"/>
  <c r="G27" i="13"/>
  <c r="L29" i="13"/>
  <c r="H29" i="13"/>
  <c r="I29" i="13"/>
  <c r="J29" i="13"/>
  <c r="F29" i="13"/>
  <c r="K29" i="13"/>
  <c r="G29" i="13"/>
  <c r="L31" i="13"/>
  <c r="H31" i="13"/>
  <c r="I31" i="13"/>
  <c r="J31" i="13"/>
  <c r="F31" i="13"/>
  <c r="K31" i="13"/>
  <c r="G31" i="13"/>
  <c r="L26" i="13"/>
  <c r="H26" i="13"/>
  <c r="I26" i="13"/>
  <c r="J26" i="13"/>
  <c r="F26" i="13"/>
  <c r="K26" i="13"/>
  <c r="G26" i="13"/>
  <c r="L28" i="13"/>
  <c r="H28" i="13"/>
  <c r="K28" i="13"/>
  <c r="G28" i="13"/>
  <c r="J28" i="13"/>
  <c r="F28" i="13"/>
  <c r="I28" i="13"/>
  <c r="L30" i="13"/>
  <c r="H30" i="13"/>
  <c r="K30" i="13"/>
  <c r="G30" i="13"/>
  <c r="J30" i="13"/>
  <c r="F30" i="13"/>
  <c r="I30" i="13"/>
  <c r="L32" i="13"/>
  <c r="H32" i="13"/>
  <c r="K32" i="13"/>
  <c r="G32" i="13"/>
  <c r="J32" i="13"/>
  <c r="F32" i="13"/>
  <c r="I32" i="13"/>
  <c r="F22" i="13"/>
  <c r="K20" i="13"/>
  <c r="J20" i="13"/>
  <c r="F20" i="13"/>
  <c r="I20" i="13"/>
  <c r="L20" i="13"/>
  <c r="H20" i="13"/>
  <c r="L33" i="13"/>
  <c r="H33" i="13"/>
  <c r="I33" i="13"/>
  <c r="J33" i="13"/>
  <c r="F33" i="13"/>
  <c r="K33" i="13"/>
  <c r="G33" i="13"/>
  <c r="J21" i="13"/>
  <c r="F21" i="13"/>
  <c r="L21" i="13"/>
  <c r="H21" i="13"/>
  <c r="T35" i="2"/>
  <c r="T36" i="2" s="1"/>
  <c r="X24" i="2"/>
  <c r="BL40" i="2"/>
  <c r="AR47" i="2"/>
  <c r="AN62" i="2"/>
  <c r="S62" i="2"/>
  <c r="Y40" i="2"/>
  <c r="S35" i="2"/>
  <c r="S36" i="2" s="1"/>
  <c r="Y24" i="2"/>
  <c r="O68" i="2"/>
  <c r="O76" i="2" s="1"/>
  <c r="N68" i="2"/>
  <c r="N76" i="2" s="1"/>
  <c r="I68" i="2"/>
  <c r="I76" i="2" s="1"/>
  <c r="H22" i="13" l="1"/>
  <c r="G21" i="13"/>
  <c r="K21" i="13"/>
  <c r="I22" i="13"/>
  <c r="K22" i="13"/>
  <c r="J22" i="13"/>
  <c r="L22" i="13"/>
  <c r="F37" i="13"/>
  <c r="L10" i="13"/>
  <c r="J10" i="13"/>
  <c r="K10" i="13"/>
  <c r="G10" i="13"/>
  <c r="H10" i="13"/>
  <c r="F10" i="13"/>
  <c r="I10" i="13"/>
  <c r="I8" i="13"/>
  <c r="G8" i="13"/>
  <c r="H8" i="13"/>
  <c r="K8" i="13"/>
  <c r="L8" i="13"/>
  <c r="J8" i="13"/>
  <c r="F8" i="13"/>
  <c r="L9" i="13"/>
  <c r="F9" i="13"/>
  <c r="I9" i="13"/>
  <c r="J9" i="13"/>
  <c r="H9" i="13"/>
  <c r="K9" i="13"/>
  <c r="G9" i="13"/>
  <c r="J24" i="13"/>
  <c r="H24" i="13"/>
  <c r="I24" i="13"/>
  <c r="L24" i="13"/>
  <c r="F24" i="13"/>
  <c r="K24" i="13"/>
  <c r="G24" i="13"/>
  <c r="J19" i="13"/>
  <c r="L19" i="13"/>
  <c r="I19" i="13"/>
  <c r="F19" i="13"/>
  <c r="H19" i="13"/>
  <c r="K19" i="13"/>
  <c r="G19" i="13"/>
  <c r="G13" i="13"/>
  <c r="H13" i="13"/>
  <c r="I13" i="13"/>
  <c r="J13" i="13"/>
  <c r="L13" i="13"/>
  <c r="K13" i="13"/>
  <c r="K36" i="13"/>
  <c r="H37" i="13"/>
  <c r="L36" i="13"/>
  <c r="H36" i="13"/>
  <c r="L37" i="13"/>
  <c r="J37" i="13"/>
  <c r="G36" i="13"/>
  <c r="I37" i="13"/>
  <c r="I36" i="13"/>
  <c r="F44" i="13"/>
  <c r="CF33" i="2"/>
  <c r="D15" i="13" s="1"/>
  <c r="CF25" i="2"/>
  <c r="D7" i="13" s="1"/>
  <c r="CF81" i="2"/>
  <c r="CF78" i="2"/>
  <c r="G44" i="13"/>
  <c r="J44" i="13"/>
  <c r="K44" i="13"/>
  <c r="I44" i="13"/>
  <c r="H44" i="13"/>
  <c r="L44" i="13"/>
  <c r="AC37" i="2"/>
  <c r="AI29" i="2"/>
  <c r="AD37" i="2"/>
  <c r="AH29" i="2"/>
  <c r="CC71" i="2"/>
  <c r="CB71" i="2"/>
  <c r="CH71" i="2"/>
  <c r="Y62" i="2"/>
  <c r="AC40" i="2"/>
  <c r="BU40" i="2"/>
  <c r="T68" i="2"/>
  <c r="T76" i="2" s="1"/>
  <c r="Y35" i="2"/>
  <c r="Y36" i="2" s="1"/>
  <c r="AC24" i="2"/>
  <c r="S68" i="2"/>
  <c r="S76" i="2" s="1"/>
  <c r="AR62" i="2"/>
  <c r="AX47" i="2"/>
  <c r="X35" i="2"/>
  <c r="AD24" i="2"/>
  <c r="L7" i="13" l="1"/>
  <c r="F7" i="13"/>
  <c r="I7" i="13"/>
  <c r="K7" i="13"/>
  <c r="J7" i="13"/>
  <c r="H7" i="13"/>
  <c r="G7" i="13"/>
  <c r="AM29" i="2"/>
  <c r="AI37" i="2"/>
  <c r="CF71" i="2"/>
  <c r="AH37" i="2"/>
  <c r="AN29" i="2"/>
  <c r="E59" i="11"/>
  <c r="AD35" i="2"/>
  <c r="AH24" i="2"/>
  <c r="BB47" i="2"/>
  <c r="AX62" i="2"/>
  <c r="BY40" i="2"/>
  <c r="Y68" i="2"/>
  <c r="Y76" i="2" s="1"/>
  <c r="X36" i="2"/>
  <c r="X68" i="2"/>
  <c r="X76" i="2" s="1"/>
  <c r="AC35" i="2"/>
  <c r="AC36" i="2" s="1"/>
  <c r="AI24" i="2"/>
  <c r="AC62" i="2"/>
  <c r="AI40" i="2"/>
  <c r="L46" i="13" l="1"/>
  <c r="K46" i="13"/>
  <c r="H46" i="13"/>
  <c r="J46" i="13"/>
  <c r="G46" i="13"/>
  <c r="I46" i="13"/>
  <c r="F46" i="13"/>
  <c r="AM37" i="2"/>
  <c r="AS29" i="2"/>
  <c r="AC68" i="2"/>
  <c r="AC76" i="2" s="1"/>
  <c r="AR29" i="2"/>
  <c r="AN37" i="2"/>
  <c r="BH47" i="2"/>
  <c r="BB62" i="2"/>
  <c r="AD36" i="2"/>
  <c r="AD68" i="2"/>
  <c r="AD76" i="2" s="1"/>
  <c r="AI62" i="2"/>
  <c r="AM40" i="2"/>
  <c r="AI35" i="2"/>
  <c r="AI36" i="2" s="1"/>
  <c r="AM24" i="2"/>
  <c r="CC40" i="2"/>
  <c r="AH35" i="2"/>
  <c r="AN24" i="2"/>
  <c r="AS37" i="2" l="1"/>
  <c r="AW29" i="2"/>
  <c r="AX29" i="2"/>
  <c r="AR37" i="2"/>
  <c r="AN35" i="2"/>
  <c r="AR24" i="2"/>
  <c r="AI68" i="2"/>
  <c r="AI76" i="2" s="1"/>
  <c r="BL47" i="2"/>
  <c r="BH62" i="2"/>
  <c r="AH36" i="2"/>
  <c r="AH68" i="2"/>
  <c r="AH76" i="2" s="1"/>
  <c r="AM35" i="2"/>
  <c r="AM36" i="2" s="1"/>
  <c r="AS24" i="2"/>
  <c r="AM62" i="2"/>
  <c r="AS40" i="2"/>
  <c r="AW37" i="2" l="1"/>
  <c r="BC29" i="2"/>
  <c r="AM68" i="2"/>
  <c r="AM76" i="2" s="1"/>
  <c r="BB29" i="2"/>
  <c r="AX37" i="2"/>
  <c r="AN36" i="2"/>
  <c r="AN68" i="2"/>
  <c r="AN76" i="2" s="1"/>
  <c r="AS62" i="2"/>
  <c r="AW40" i="2"/>
  <c r="AS35" i="2"/>
  <c r="AS36" i="2" s="1"/>
  <c r="AW24" i="2"/>
  <c r="BU47" i="2"/>
  <c r="BL62" i="2"/>
  <c r="AR35" i="2"/>
  <c r="AX24" i="2"/>
  <c r="BG29" i="2" l="1"/>
  <c r="BC37" i="2"/>
  <c r="BH29" i="2"/>
  <c r="BB37" i="2"/>
  <c r="AX35" i="2"/>
  <c r="BB24" i="2"/>
  <c r="AW35" i="2"/>
  <c r="AW36" i="2" s="1"/>
  <c r="BC24" i="2"/>
  <c r="AW62" i="2"/>
  <c r="BC40" i="2"/>
  <c r="AR36" i="2"/>
  <c r="AR68" i="2"/>
  <c r="AR76" i="2" s="1"/>
  <c r="BY47" i="2"/>
  <c r="BU62" i="2"/>
  <c r="AS68" i="2"/>
  <c r="AS76" i="2" s="1"/>
  <c r="AW68" i="2" l="1"/>
  <c r="AW76" i="2" s="1"/>
  <c r="BG37" i="2"/>
  <c r="BM29" i="2"/>
  <c r="BT29" i="2" s="1"/>
  <c r="BH37" i="2"/>
  <c r="BL29" i="2"/>
  <c r="CH47" i="2"/>
  <c r="E42" i="11" s="1"/>
  <c r="CC47" i="2"/>
  <c r="BY62" i="2"/>
  <c r="BC62" i="2"/>
  <c r="BG40" i="2"/>
  <c r="BC35" i="2"/>
  <c r="BC36" i="2" s="1"/>
  <c r="BG24" i="2"/>
  <c r="AX36" i="2"/>
  <c r="AX68" i="2"/>
  <c r="AX76" i="2" s="1"/>
  <c r="BB35" i="2"/>
  <c r="BH24" i="2"/>
  <c r="BM37" i="2" l="1"/>
  <c r="BU29" i="2"/>
  <c r="BL37" i="2"/>
  <c r="E66" i="14"/>
  <c r="F66" i="14" s="1"/>
  <c r="E59" i="14"/>
  <c r="F59" i="14" s="1"/>
  <c r="E58" i="14"/>
  <c r="F58" i="14" s="1"/>
  <c r="E62" i="14"/>
  <c r="F62" i="14" s="1"/>
  <c r="E67" i="14"/>
  <c r="F67" i="14" s="1"/>
  <c r="E60" i="14"/>
  <c r="F60" i="14" s="1"/>
  <c r="E57" i="14"/>
  <c r="F57" i="14" s="1"/>
  <c r="E63" i="14"/>
  <c r="F63" i="14" s="1"/>
  <c r="E56" i="14"/>
  <c r="F56" i="14" s="1"/>
  <c r="E61" i="14"/>
  <c r="F61" i="14" s="1"/>
  <c r="E65" i="14"/>
  <c r="F65" i="14" s="1"/>
  <c r="E55" i="14"/>
  <c r="F55" i="14" s="1"/>
  <c r="E64" i="14"/>
  <c r="F64" i="14" s="1"/>
  <c r="BH35" i="2"/>
  <c r="BL24" i="2"/>
  <c r="BC68" i="2"/>
  <c r="BC76" i="2" s="1"/>
  <c r="CF47" i="2"/>
  <c r="D25" i="13" s="1"/>
  <c r="CC62" i="2"/>
  <c r="BB36" i="2"/>
  <c r="BB68" i="2"/>
  <c r="BB76" i="2" s="1"/>
  <c r="BG35" i="2"/>
  <c r="BG36" i="2" s="1"/>
  <c r="BM24" i="2"/>
  <c r="BG62" i="2"/>
  <c r="BM40" i="2"/>
  <c r="CB29" i="2" l="1"/>
  <c r="BT37" i="2"/>
  <c r="BG68" i="2"/>
  <c r="BG76" i="2" s="1"/>
  <c r="BY29" i="2"/>
  <c r="BU37" i="2"/>
  <c r="I25" i="13"/>
  <c r="J25" i="13"/>
  <c r="F25" i="13"/>
  <c r="K25" i="13"/>
  <c r="G25" i="13"/>
  <c r="L25" i="13"/>
  <c r="H25" i="13"/>
  <c r="BM62" i="2"/>
  <c r="BT40" i="2"/>
  <c r="BM35" i="2"/>
  <c r="BM36" i="2" s="1"/>
  <c r="BT24" i="2"/>
  <c r="BH36" i="2"/>
  <c r="BH68" i="2"/>
  <c r="BH76" i="2" s="1"/>
  <c r="BL35" i="2"/>
  <c r="BU24" i="2"/>
  <c r="CB37" i="2" l="1"/>
  <c r="CE29" i="2"/>
  <c r="CD29" i="2"/>
  <c r="CC29" i="2"/>
  <c r="BY37" i="2"/>
  <c r="CH37" i="2" s="1"/>
  <c r="CH29" i="2"/>
  <c r="E29" i="11" s="1"/>
  <c r="BU35" i="2"/>
  <c r="BY24" i="2"/>
  <c r="BM68" i="2"/>
  <c r="BM76" i="2" s="1"/>
  <c r="BL36" i="2"/>
  <c r="BL68" i="2"/>
  <c r="BL76" i="2" s="1"/>
  <c r="BT35" i="2"/>
  <c r="BT36" i="2" s="1"/>
  <c r="CB24" i="2"/>
  <c r="CH24" i="2"/>
  <c r="BT62" i="2"/>
  <c r="CH40" i="2"/>
  <c r="E35" i="11" s="1"/>
  <c r="CB40" i="2"/>
  <c r="CE37" i="2" l="1"/>
  <c r="CE35" i="2"/>
  <c r="CE36" i="2" s="1"/>
  <c r="CE40" i="2"/>
  <c r="CE62" i="2" s="1"/>
  <c r="CD40" i="2"/>
  <c r="CD62" i="2" s="1"/>
  <c r="CD37" i="2"/>
  <c r="CD35" i="2"/>
  <c r="CC37" i="2"/>
  <c r="CF29" i="2"/>
  <c r="D11" i="13" s="1"/>
  <c r="CB62" i="2"/>
  <c r="CF40" i="2"/>
  <c r="D18" i="13" s="1"/>
  <c r="CH35" i="2"/>
  <c r="E24" i="11"/>
  <c r="BY35" i="2"/>
  <c r="CC24" i="2"/>
  <c r="CC35" i="2" s="1"/>
  <c r="BT68" i="2"/>
  <c r="BT76" i="2" s="1"/>
  <c r="CH62" i="2"/>
  <c r="CB35" i="2"/>
  <c r="CB36" i="2" s="1"/>
  <c r="CF24" i="2"/>
  <c r="BU36" i="2"/>
  <c r="BU68" i="2"/>
  <c r="BU76" i="2" s="1"/>
  <c r="CD68" i="2" l="1"/>
  <c r="CD76" i="2" s="1"/>
  <c r="CD36" i="2"/>
  <c r="CF37" i="2"/>
  <c r="CE68" i="2"/>
  <c r="CE76" i="2" s="1"/>
  <c r="D52" i="13"/>
  <c r="L11" i="13"/>
  <c r="L52" i="13" s="1"/>
  <c r="E54" i="14" s="1"/>
  <c r="F54" i="14" s="1"/>
  <c r="J11" i="13"/>
  <c r="J52" i="13" s="1"/>
  <c r="E52" i="14" s="1"/>
  <c r="F52" i="14" s="1"/>
  <c r="H11" i="13"/>
  <c r="H52" i="13" s="1"/>
  <c r="E50" i="14" s="1"/>
  <c r="F50" i="14" s="1"/>
  <c r="K11" i="13"/>
  <c r="K52" i="13" s="1"/>
  <c r="E53" i="14" s="1"/>
  <c r="F53" i="14" s="1"/>
  <c r="F11" i="13"/>
  <c r="F52" i="13" s="1"/>
  <c r="E48" i="14" s="1"/>
  <c r="I11" i="13"/>
  <c r="I52" i="13" s="1"/>
  <c r="E51" i="14" s="1"/>
  <c r="F51" i="14" s="1"/>
  <c r="G11" i="13"/>
  <c r="G52" i="13" s="1"/>
  <c r="E49" i="14" s="1"/>
  <c r="F49" i="14" s="1"/>
  <c r="K18" i="13"/>
  <c r="K39" i="13" s="1"/>
  <c r="G18" i="13"/>
  <c r="G39" i="13" s="1"/>
  <c r="J18" i="13"/>
  <c r="J39" i="13" s="1"/>
  <c r="F18" i="13"/>
  <c r="F39" i="13" s="1"/>
  <c r="I18" i="13"/>
  <c r="I39" i="13" s="1"/>
  <c r="L18" i="13"/>
  <c r="L39" i="13" s="1"/>
  <c r="H18" i="13"/>
  <c r="H39" i="13" s="1"/>
  <c r="D39" i="13"/>
  <c r="CF35" i="2"/>
  <c r="D6" i="13"/>
  <c r="CH68" i="2"/>
  <c r="CH76" i="2" s="1"/>
  <c r="BY36" i="2"/>
  <c r="CH36" i="2" s="1"/>
  <c r="BY68" i="2"/>
  <c r="BY76" i="2" s="1"/>
  <c r="CC36" i="2"/>
  <c r="CF36" i="2" s="1"/>
  <c r="CC68" i="2"/>
  <c r="CC76" i="2" s="1"/>
  <c r="CF62" i="2"/>
  <c r="CB68" i="2"/>
  <c r="CB76" i="2" s="1"/>
  <c r="F48" i="14" l="1"/>
  <c r="E68" i="14"/>
  <c r="G6" i="13"/>
  <c r="G16" i="13" s="1"/>
  <c r="G51" i="13" s="1"/>
  <c r="L6" i="13"/>
  <c r="L16" i="13" s="1"/>
  <c r="L51" i="13" s="1"/>
  <c r="H6" i="13"/>
  <c r="H16" i="13" s="1"/>
  <c r="H51" i="13" s="1"/>
  <c r="I6" i="13"/>
  <c r="I16" i="13" s="1"/>
  <c r="I51" i="13" s="1"/>
  <c r="K6" i="13"/>
  <c r="K16" i="13" s="1"/>
  <c r="K51" i="13" s="1"/>
  <c r="J6" i="13"/>
  <c r="J16" i="13" s="1"/>
  <c r="J51" i="13" s="1"/>
  <c r="F6" i="13"/>
  <c r="F16" i="13" s="1"/>
  <c r="F51" i="13" s="1"/>
  <c r="D16" i="13"/>
  <c r="CF68" i="2"/>
  <c r="CF76" i="2" s="1"/>
  <c r="E36" i="14" l="1"/>
  <c r="F36" i="14" s="1"/>
  <c r="E30" i="14"/>
  <c r="F30" i="14" s="1"/>
  <c r="E35" i="14"/>
  <c r="F35" i="14" s="1"/>
  <c r="E29" i="14"/>
  <c r="F29" i="14" s="1"/>
  <c r="E28" i="14"/>
  <c r="F28" i="14" s="1"/>
  <c r="E37" i="14"/>
  <c r="F37" i="14" s="1"/>
  <c r="E39" i="14"/>
  <c r="F39" i="14" s="1"/>
  <c r="E34" i="14"/>
  <c r="F34" i="14" s="1"/>
  <c r="E40" i="14"/>
  <c r="F40" i="14" s="1"/>
  <c r="E33" i="14"/>
  <c r="F33" i="14" s="1"/>
  <c r="E31" i="14"/>
  <c r="F31" i="14" s="1"/>
  <c r="E38" i="14"/>
  <c r="F38" i="14" s="1"/>
  <c r="E32" i="14"/>
  <c r="F32" i="14" s="1"/>
  <c r="K53" i="13"/>
  <c r="E26" i="14"/>
  <c r="F26" i="14" s="1"/>
  <c r="E22" i="14"/>
  <c r="F22" i="14" s="1"/>
  <c r="G53" i="13"/>
  <c r="H53" i="13"/>
  <c r="E23" i="14"/>
  <c r="F23" i="14" s="1"/>
  <c r="I53" i="13"/>
  <c r="E24" i="14"/>
  <c r="F24" i="14" s="1"/>
  <c r="J53" i="13"/>
  <c r="E25" i="14"/>
  <c r="F25" i="14" s="1"/>
  <c r="L53" i="13"/>
  <c r="E27" i="14"/>
  <c r="F27" i="14" s="1"/>
  <c r="E21" i="14"/>
  <c r="F21" i="14" s="1"/>
  <c r="F53" i="13"/>
  <c r="D51" i="13"/>
  <c r="D53" i="13" s="1"/>
  <c r="E41" i="14" l="1"/>
  <c r="N24" i="12" l="1"/>
  <c r="N27" i="12" l="1"/>
  <c r="N25" i="12"/>
  <c r="N22" i="12"/>
  <c r="N23" i="12"/>
  <c r="N21" i="12"/>
  <c r="N26" i="12"/>
  <c r="N41" i="12" l="1"/>
  <c r="N43" i="12" s="1"/>
</calcChain>
</file>

<file path=xl/comments1.xml><?xml version="1.0" encoding="utf-8"?>
<comments xmlns="http://schemas.openxmlformats.org/spreadsheetml/2006/main">
  <authors>
    <author>jpajala</author>
  </authors>
  <commentList>
    <comment ref="CF87" authorId="0">
      <text>
        <r>
          <rPr>
            <b/>
            <sz val="9"/>
            <color indexed="81"/>
            <rFont val="Tahoma"/>
            <family val="2"/>
          </rPr>
          <t>jpajala:</t>
        </r>
        <r>
          <rPr>
            <sz val="9"/>
            <color indexed="81"/>
            <rFont val="Tahoma"/>
            <family val="2"/>
          </rPr>
          <t xml:space="preserve">
cannot claim balance in 2013 COS</t>
        </r>
      </text>
    </comment>
  </commentList>
</comments>
</file>

<file path=xl/comments2.xml><?xml version="1.0" encoding="utf-8"?>
<comments xmlns="http://schemas.openxmlformats.org/spreadsheetml/2006/main">
  <authors>
    <author>jpajala</author>
  </authors>
  <commentList>
    <comment ref="D41" authorId="0">
      <text>
        <r>
          <rPr>
            <b/>
            <sz val="9"/>
            <color indexed="81"/>
            <rFont val="Tahoma"/>
            <family val="2"/>
          </rPr>
          <t>jpajala:</t>
        </r>
        <r>
          <rPr>
            <sz val="9"/>
            <color indexed="81"/>
            <rFont val="Tahoma"/>
            <family val="2"/>
          </rPr>
          <t xml:space="preserve">
disposed of in EB-2011-0197</t>
        </r>
      </text>
    </comment>
    <comment ref="D46" authorId="0">
      <text>
        <r>
          <rPr>
            <b/>
            <sz val="9"/>
            <color indexed="81"/>
            <rFont val="Tahoma"/>
            <family val="2"/>
          </rPr>
          <t>jpajala:</t>
        </r>
        <r>
          <rPr>
            <sz val="9"/>
            <color indexed="81"/>
            <rFont val="Tahoma"/>
            <family val="2"/>
          </rPr>
          <t xml:space="preserve">
disposed of in EB-2011-0197</t>
        </r>
      </text>
    </comment>
  </commentList>
</comments>
</file>

<file path=xl/sharedStrings.xml><?xml version="1.0" encoding="utf-8"?>
<sst xmlns="http://schemas.openxmlformats.org/spreadsheetml/2006/main" count="351" uniqueCount="233">
  <si>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</si>
  <si>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</si>
  <si>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</si>
  <si>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</si>
  <si>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</si>
  <si>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</si>
  <si>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</si>
  <si>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</si>
  <si>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</si>
  <si>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</si>
  <si>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</si>
  <si>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</si>
  <si>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</si>
  <si>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</si>
  <si>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</si>
  <si>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</si>
  <si>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</si>
  <si>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</si>
  <si>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</si>
  <si>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</si>
  <si>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</si>
  <si>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</si>
  <si>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</si>
  <si>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</si>
  <si>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</si>
  <si>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</si>
  <si>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</si>
  <si>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</si>
  <si>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</si>
  <si>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</si>
  <si>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</si>
  <si>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</si>
  <si>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</si>
  <si>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</si>
  <si>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</si>
  <si>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</si>
  <si>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</si>
  <si>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</si>
  <si>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</si>
  <si>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</si>
  <si>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</si>
  <si>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</si>
  <si>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</si>
  <si>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</si>
  <si>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</si>
  <si>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</si>
  <si>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</si>
  <si>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</si>
  <si>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</si>
  <si>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</si>
  <si>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</si>
  <si>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</si>
  <si>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</si>
  <si>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</si>
  <si>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</si>
  <si>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</si>
  <si>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</si>
  <si>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</si>
  <si>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</si>
  <si>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</si>
  <si>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</si>
  <si>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</si>
  <si>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</si>
  <si>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</si>
  <si>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</si>
  <si>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</si>
  <si>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</si>
  <si>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</si>
  <si>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</si>
  <si>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</si>
  <si>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</si>
  <si>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</si>
  <si>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</si>
  <si>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</si>
  <si>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</si>
  <si>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</si>
  <si>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</si>
  <si>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</si>
  <si>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</si>
  <si>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</si>
  <si>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</si>
  <si>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</si>
  <si>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</si>
  <si>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</si>
  <si>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</si>
  <si>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</si>
  <si>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</si>
  <si>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</si>
  <si>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</si>
  <si>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</si>
  <si>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</si>
  <si>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</si>
  <si>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</si>
  <si>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</si>
  <si>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</si>
  <si>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</si>
  <si>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</si>
  <si>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</si>
  <si>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</si>
  <si>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</si>
  <si>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</si>
  <si>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</si>
  <si>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</si>
  <si>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</si>
  <si>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</si>
  <si>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</si>
  <si>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</si>
  <si>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</si>
  <si>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</si>
  <si>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</si>
  <si>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</si>
  <si>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</si>
  <si>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</si>
  <si>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</si>
  <si>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</si>
  <si>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</si>
  <si>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</si>
  <si>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</si>
  <si>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</si>
  <si>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</si>
  <si>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</si>
  <si>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</si>
  <si>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</si>
  <si>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</si>
  <si>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</si>
  <si>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</si>
  <si>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</si>
  <si>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</si>
  <si>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</si>
  <si>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</si>
  <si>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</si>
  <si>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</si>
  <si>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</si>
  <si>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</si>
  <si>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</si>
  <si>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</si>
  <si>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</si>
  <si>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</si>
  <si>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</si>
  <si>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</si>
  <si>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</si>
  <si>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</si>
  <si>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</si>
  <si>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</si>
  <si>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</si>
  <si>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</si>
  <si>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</si>
  <si>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</si>
  <si>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</si>
  <si>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</si>
  <si>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</si>
  <si>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</si>
  <si>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</si>
  <si>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</si>
  <si>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</si>
  <si>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</si>
  <si>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</si>
  <si>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</si>
  <si>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</si>
  <si>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</si>
  <si>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</si>
  <si>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</si>
  <si>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</si>
  <si>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</si>
  <si>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</si>
  <si>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</si>
  <si>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</si>
  <si>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</si>
  <si>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</si>
  <si>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</si>
  <si>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</si>
  <si>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</si>
  <si>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</si>
  <si>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</si>
  <si>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</si>
  <si>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</si>
  <si>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</si>
  <si>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</si>
  <si>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</si>
  <si>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</si>
  <si>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</si>
  <si>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</si>
  <si>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</si>
  <si>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</si>
  <si>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</si>
  <si>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</si>
  <si>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</si>
  <si>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</si>
  <si>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</si>
  <si>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</si>
  <si>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</si>
  <si>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</si>
  <si>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</si>
  <si>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</si>
  <si>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</si>
  <si>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</si>
  <si>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</si>
  <si>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</si>
  <si>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</si>
  <si>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</si>
  <si>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</si>
  <si>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</si>
  <si>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</si>
  <si>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</si>
  <si>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</si>
  <si>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</si>
  <si>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</si>
  <si>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</si>
  <si>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</si>
  <si>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Residential</t>
  </si>
  <si>
    <t>General Service Less Than 50 kW</t>
  </si>
  <si>
    <t>General Service 50 to 999 kW</t>
  </si>
  <si>
    <t>kW</t>
  </si>
  <si>
    <t xml:space="preserve">Unmetered Scattered Load </t>
  </si>
  <si>
    <t>Street Lighting</t>
  </si>
  <si>
    <t>Sentinel Lighting</t>
  </si>
  <si>
    <t>General Service 1,000 to 4,999 kW</t>
  </si>
  <si>
    <t>Thunder Bay Hydro Electricity Distribution Inc</t>
  </si>
  <si>
    <t>Thunder Bay</t>
  </si>
  <si>
    <t>EB-2012-0167</t>
  </si>
  <si>
    <t>Jenni Pajala, Supervisor of Regulatory Affairs</t>
  </si>
  <si>
    <t>807-343-1016</t>
  </si>
  <si>
    <t>jpajala@tbhydro.on.ca</t>
  </si>
  <si>
    <t>Contra account for HST ITC not included in this total as in 2.1.7 USoA is $0.00</t>
  </si>
  <si>
    <t>Disposition and Recovery/Refund of Regulatory Balances (2010) Not yet complete</t>
  </si>
  <si>
    <r>
      <t>Disposition and Recovery of Regulatory Balances</t>
    </r>
    <r>
      <rPr>
        <vertAlign val="superscript"/>
        <sz val="11"/>
        <rFont val="Arial"/>
        <family val="2"/>
      </rPr>
      <t xml:space="preserve">7 (2010) </t>
    </r>
  </si>
  <si>
    <t xml:space="preserve">Rate Class 
</t>
  </si>
  <si>
    <t xml:space="preserve">Table 9-2.12 -Deferral/Variance Account Workform </t>
  </si>
  <si>
    <t>Table 9-2.13 - 2013 Deferral and Variance Account Rate Rider by Class</t>
  </si>
  <si>
    <t>Table 9-2.14 - 2013 Non-RPP Global Adjustment Rate Rider by Class</t>
  </si>
  <si>
    <t>Appendix 9-A</t>
  </si>
  <si>
    <t>Appendix 2-A</t>
  </si>
  <si>
    <t>Distribution Rev.</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</si>
</sst>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_(* #,##0_);_(* \(#,##0\);_(* &quot;-&quot;??_);_(@_)"/>
    <numFmt numFmtId="168" formatCode="_(&quot;$&quot;* #,##0_);_(&quot;$&quot;* \(#,##0\);_(&quot;$&quot;*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_(* #,##0.0000_);_(* \(#,##0.0000\);_(* &quot;-&quot;??_);_(@_)"/>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u/>
      <sz val="10"/>
      <color theme="10"/>
      <name val="Arial"/>
      <family val="2"/>
    </font>
    <font>
      <sz val="9"/>
      <color indexed="81"/>
      <name val="Tahoma"/>
      <family val="2"/>
    </font>
    <font>
      <b/>
      <sz val="9"/>
      <color indexed="81"/>
      <name val="Tahoma"/>
      <family val="2"/>
    </font>
    <font>
      <b/>
      <sz val="12"/>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9"/>
      </left>
      <right style="medium">
        <color indexed="64"/>
      </right>
      <top style="medium">
        <color indexed="9"/>
      </top>
      <bottom style="medium">
        <color indexed="64"/>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s>
  <cellStyleXfs count="72">
    <xf numFmtId="0" fontId="0" fillId="0" borderId="0"/>
    <xf numFmtId="166" fontId="3" fillId="0" borderId="0"/>
    <xf numFmtId="170" fontId="3" fillId="0" borderId="0"/>
    <xf numFmtId="172" fontId="3" fillId="0" borderId="0"/>
    <xf numFmtId="173"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1" fontId="3" fillId="0" borderId="0"/>
    <xf numFmtId="167" fontId="3" fillId="0" borderId="0"/>
    <xf numFmtId="0" fontId="30" fillId="24" borderId="0" applyNumberFormat="0" applyBorder="0" applyAlignment="0" applyProtection="0"/>
    <xf numFmtId="169"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 fillId="0" borderId="0"/>
    <xf numFmtId="166" fontId="3" fillId="0" borderId="0"/>
    <xf numFmtId="166" fontId="3" fillId="0" borderId="0"/>
    <xf numFmtId="166" fontId="3" fillId="0" borderId="0"/>
    <xf numFmtId="166" fontId="3" fillId="0" borderId="0"/>
    <xf numFmtId="172"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53" fillId="0" borderId="0" applyNumberFormat="0" applyFill="0" applyBorder="0" applyAlignment="0" applyProtection="0"/>
  </cellStyleXfs>
  <cellXfs count="304">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8"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16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4" fontId="4" fillId="0" borderId="0" xfId="0" applyNumberFormat="1" applyFont="1" applyFill="1" applyBorder="1" applyProtection="1"/>
    <xf numFmtId="174" fontId="4" fillId="0" borderId="10" xfId="0" applyNumberFormat="1" applyFont="1" applyFill="1" applyBorder="1" applyProtection="1"/>
    <xf numFmtId="174" fontId="4" fillId="26" borderId="19" xfId="0" applyNumberFormat="1" applyFont="1" applyFill="1" applyBorder="1" applyProtection="1"/>
    <xf numFmtId="174" fontId="4" fillId="26" borderId="20" xfId="0" applyNumberFormat="1" applyFont="1" applyFill="1" applyBorder="1" applyProtection="1"/>
    <xf numFmtId="174" fontId="0" fillId="0" borderId="10" xfId="0" applyNumberFormat="1" applyBorder="1" applyProtection="1"/>
    <xf numFmtId="174" fontId="4" fillId="0" borderId="9" xfId="0" applyNumberFormat="1" applyFont="1" applyFill="1" applyBorder="1" applyProtection="1"/>
    <xf numFmtId="174" fontId="0" fillId="0" borderId="0" xfId="0" applyNumberFormat="1" applyBorder="1" applyProtection="1"/>
    <xf numFmtId="174" fontId="0" fillId="0" borderId="15" xfId="0" applyNumberFormat="1" applyBorder="1" applyProtection="1"/>
    <xf numFmtId="174" fontId="4" fillId="0" borderId="15" xfId="0" applyNumberFormat="1" applyFont="1" applyFill="1" applyBorder="1" applyProtection="1"/>
    <xf numFmtId="174" fontId="4" fillId="22" borderId="19" xfId="0" applyNumberFormat="1" applyFont="1" applyFill="1" applyBorder="1" applyProtection="1"/>
    <xf numFmtId="174" fontId="4" fillId="22" borderId="20" xfId="0" applyNumberFormat="1" applyFont="1" applyFill="1" applyBorder="1" applyProtection="1"/>
    <xf numFmtId="174" fontId="4" fillId="22" borderId="9" xfId="0" applyNumberFormat="1" applyFont="1" applyFill="1" applyBorder="1" applyProtection="1"/>
    <xf numFmtId="174" fontId="4" fillId="22" borderId="0" xfId="0" applyNumberFormat="1" applyFont="1" applyFill="1" applyBorder="1" applyProtection="1"/>
    <xf numFmtId="174" fontId="4" fillId="22" borderId="10" xfId="0" applyNumberFormat="1" applyFont="1" applyFill="1" applyBorder="1" applyProtection="1"/>
    <xf numFmtId="174" fontId="4" fillId="0" borderId="9" xfId="0" applyNumberFormat="1" applyFont="1" applyBorder="1" applyProtection="1"/>
    <xf numFmtId="174" fontId="4" fillId="0" borderId="0" xfId="0" applyNumberFormat="1" applyFont="1" applyBorder="1" applyProtection="1"/>
    <xf numFmtId="174" fontId="4" fillId="0" borderId="10" xfId="0" applyNumberFormat="1" applyFont="1" applyBorder="1" applyProtection="1"/>
    <xf numFmtId="174" fontId="4" fillId="0" borderId="29" xfId="0" applyNumberFormat="1" applyFont="1" applyFill="1" applyBorder="1" applyProtection="1"/>
    <xf numFmtId="174" fontId="4" fillId="0" borderId="30" xfId="0" applyNumberFormat="1" applyFont="1" applyFill="1" applyBorder="1" applyProtection="1"/>
    <xf numFmtId="174" fontId="4" fillId="0" borderId="31" xfId="0" applyNumberFormat="1" applyFont="1" applyFill="1" applyBorder="1" applyProtection="1"/>
    <xf numFmtId="44" fontId="0" fillId="0" borderId="15" xfId="0" applyNumberFormat="1" applyBorder="1" applyAlignment="1" applyProtection="1">
      <alignment vertical="center"/>
    </xf>
    <xf numFmtId="44"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4" fontId="4" fillId="26" borderId="33" xfId="0" applyNumberFormat="1" applyFont="1" applyFill="1" applyBorder="1" applyProtection="1"/>
    <xf numFmtId="174" fontId="4" fillId="26" borderId="29" xfId="0" applyNumberFormat="1" applyFont="1" applyFill="1" applyBorder="1" applyProtection="1"/>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Fill="1" applyProtection="1"/>
    <xf numFmtId="174" fontId="4" fillId="26" borderId="38" xfId="0" applyNumberFormat="1" applyFont="1" applyFill="1" applyBorder="1" applyProtection="1"/>
    <xf numFmtId="174" fontId="4" fillId="26" borderId="25" xfId="0" applyNumberFormat="1" applyFont="1" applyFill="1" applyBorder="1" applyProtection="1"/>
    <xf numFmtId="174" fontId="4" fillId="22" borderId="24" xfId="0" applyNumberFormat="1" applyFont="1" applyFill="1" applyBorder="1" applyProtection="1"/>
    <xf numFmtId="174" fontId="4" fillId="0" borderId="20" xfId="0" applyNumberFormat="1" applyFont="1" applyFill="1" applyBorder="1" applyProtection="1"/>
    <xf numFmtId="174" fontId="4" fillId="0" borderId="38"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174" fontId="4" fillId="0" borderId="41" xfId="0" applyNumberFormat="1" applyFont="1" applyFill="1" applyBorder="1" applyProtection="1"/>
    <xf numFmtId="174" fontId="4" fillId="26" borderId="35" xfId="0" applyNumberFormat="1" applyFont="1" applyFill="1" applyBorder="1" applyProtection="1"/>
    <xf numFmtId="174" fontId="4" fillId="26" borderId="42" xfId="0" applyNumberFormat="1" applyFont="1" applyFill="1" applyBorder="1" applyProtection="1"/>
    <xf numFmtId="174" fontId="4" fillId="0" borderId="43" xfId="0" applyNumberFormat="1" applyFont="1" applyFill="1" applyBorder="1" applyProtection="1"/>
    <xf numFmtId="174" fontId="4" fillId="0" borderId="44" xfId="0" applyNumberFormat="1" applyFont="1" applyFill="1" applyBorder="1" applyProtection="1"/>
    <xf numFmtId="174" fontId="4" fillId="26" borderId="45"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5"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4" fontId="4" fillId="30" borderId="19" xfId="0" applyNumberFormat="1" applyFont="1" applyFill="1" applyBorder="1" applyProtection="1">
      <protection locked="0"/>
    </xf>
    <xf numFmtId="174" fontId="4" fillId="30" borderId="20" xfId="0" applyNumberFormat="1" applyFont="1" applyFill="1" applyBorder="1" applyProtection="1">
      <protection locked="0"/>
    </xf>
    <xf numFmtId="174" fontId="4" fillId="30" borderId="21" xfId="0" applyNumberFormat="1" applyFont="1" applyFill="1" applyBorder="1" applyProtection="1">
      <protection locked="0"/>
    </xf>
    <xf numFmtId="174" fontId="4" fillId="30" borderId="22" xfId="0" applyNumberFormat="1" applyFont="1" applyFill="1" applyBorder="1" applyProtection="1">
      <protection locked="0"/>
    </xf>
    <xf numFmtId="174" fontId="4" fillId="30" borderId="23" xfId="0" applyNumberFormat="1" applyFont="1" applyFill="1" applyBorder="1" applyProtection="1">
      <protection locked="0"/>
    </xf>
    <xf numFmtId="174" fontId="4" fillId="30" borderId="24" xfId="0" applyNumberFormat="1" applyFont="1" applyFill="1" applyBorder="1" applyProtection="1">
      <protection locked="0"/>
    </xf>
    <xf numFmtId="174" fontId="4" fillId="30" borderId="25" xfId="0" applyNumberFormat="1" applyFont="1" applyFill="1" applyBorder="1" applyProtection="1">
      <protection locked="0"/>
    </xf>
    <xf numFmtId="174" fontId="4" fillId="30" borderId="26" xfId="0" applyNumberFormat="1" applyFont="1" applyFill="1" applyBorder="1" applyProtection="1">
      <protection locked="0"/>
    </xf>
    <xf numFmtId="174" fontId="4" fillId="30" borderId="20" xfId="0" applyNumberFormat="1" applyFont="1" applyFill="1" applyBorder="1" applyAlignment="1" applyProtection="1">
      <alignment horizontal="center"/>
      <protection locked="0"/>
    </xf>
    <xf numFmtId="174" fontId="4" fillId="30" borderId="27" xfId="0" applyNumberFormat="1" applyFont="1" applyFill="1" applyBorder="1" applyProtection="1">
      <protection locked="0"/>
    </xf>
    <xf numFmtId="174" fontId="4" fillId="30" borderId="28" xfId="0" applyNumberFormat="1" applyFont="1" applyFill="1" applyBorder="1" applyProtection="1">
      <protection locked="0"/>
    </xf>
    <xf numFmtId="174" fontId="4" fillId="30" borderId="0" xfId="0" applyNumberFormat="1" applyFont="1" applyFill="1" applyBorder="1" applyProtection="1">
      <protection locked="0"/>
    </xf>
    <xf numFmtId="174" fontId="4" fillId="30" borderId="15" xfId="0" applyNumberFormat="1" applyFont="1" applyFill="1" applyBorder="1" applyProtection="1">
      <protection locked="0"/>
    </xf>
    <xf numFmtId="174" fontId="4" fillId="30" borderId="33" xfId="0" applyNumberFormat="1" applyFont="1" applyFill="1" applyBorder="1" applyProtection="1">
      <protection locked="0"/>
    </xf>
    <xf numFmtId="174" fontId="4" fillId="30" borderId="29" xfId="0" applyNumberFormat="1" applyFont="1" applyFill="1" applyBorder="1" applyProtection="1">
      <protection locked="0"/>
    </xf>
    <xf numFmtId="174" fontId="4" fillId="30" borderId="34" xfId="0" applyNumberFormat="1" applyFont="1" applyFill="1" applyBorder="1" applyProtection="1">
      <protection locked="0"/>
    </xf>
    <xf numFmtId="174" fontId="4" fillId="30" borderId="35" xfId="0" applyNumberFormat="1" applyFont="1" applyFill="1" applyBorder="1" applyProtection="1">
      <protection locked="0"/>
    </xf>
    <xf numFmtId="174"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4" fontId="0" fillId="0" borderId="32" xfId="0" applyNumberFormat="1" applyBorder="1" applyProtection="1"/>
    <xf numFmtId="174" fontId="0" fillId="0" borderId="58" xfId="0" applyNumberFormat="1" applyBorder="1" applyProtection="1"/>
    <xf numFmtId="0" fontId="0" fillId="0" borderId="4" xfId="0" applyBorder="1"/>
    <xf numFmtId="0" fontId="6" fillId="0" borderId="4" xfId="0" applyFont="1" applyBorder="1"/>
    <xf numFmtId="174"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4" fontId="7" fillId="0" borderId="0" xfId="57" applyNumberFormat="1" applyFont="1" applyAlignment="1">
      <alignment horizontal="right" indent="1"/>
    </xf>
    <xf numFmtId="174" fontId="7" fillId="0" borderId="0" xfId="0" applyNumberFormat="1" applyFont="1" applyAlignment="1">
      <alignment horizontal="right" indent="1"/>
    </xf>
    <xf numFmtId="0" fontId="6" fillId="0" borderId="59"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6" fontId="3" fillId="0" borderId="4" xfId="57" applyNumberFormat="1" applyFont="1" applyBorder="1" applyAlignment="1" applyProtection="1">
      <alignment horizontal="center" vertical="center"/>
    </xf>
    <xf numFmtId="0" fontId="6" fillId="0" borderId="0" xfId="0" applyFont="1" applyAlignment="1" applyProtection="1"/>
    <xf numFmtId="0" fontId="3" fillId="0" borderId="4" xfId="0" applyFont="1" applyBorder="1" applyAlignment="1" applyProtection="1">
      <alignment wrapText="1"/>
    </xf>
    <xf numFmtId="0" fontId="3" fillId="0" borderId="0" xfId="0" applyFont="1" applyBorder="1"/>
    <xf numFmtId="0" fontId="3" fillId="0" borderId="0" xfId="0" applyFont="1" applyBorder="1" applyAlignment="1" applyProtection="1">
      <alignment horizontal="center"/>
    </xf>
    <xf numFmtId="176" fontId="3" fillId="0" borderId="0" xfId="57" applyNumberFormat="1" applyFont="1" applyBorder="1" applyAlignment="1" applyProtection="1">
      <alignment horizontal="center" vertical="center"/>
    </xf>
    <xf numFmtId="0" fontId="3" fillId="0" borderId="0" xfId="0" applyFont="1" applyBorder="1" applyProtection="1"/>
    <xf numFmtId="174" fontId="3" fillId="0" borderId="0" xfId="57" applyNumberFormat="1" applyFont="1"/>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wrapText="1"/>
    </xf>
    <xf numFmtId="176" fontId="6" fillId="31" borderId="4" xfId="57" applyNumberFormat="1" applyFont="1" applyFill="1" applyBorder="1" applyAlignment="1" applyProtection="1">
      <alignment horizontal="center" vertical="center"/>
    </xf>
    <xf numFmtId="174" fontId="3" fillId="30" borderId="4" xfId="57" applyNumberFormat="1" applyFont="1" applyFill="1" applyBorder="1"/>
    <xf numFmtId="9" fontId="3" fillId="30" borderId="4" xfId="58" applyFont="1" applyFill="1" applyBorder="1"/>
    <xf numFmtId="174"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7" fontId="3" fillId="30" borderId="4" xfId="56" applyNumberFormat="1" applyFont="1" applyFill="1" applyBorder="1"/>
    <xf numFmtId="176" fontId="3" fillId="30" borderId="4" xfId="57" applyNumberFormat="1" applyFont="1" applyFill="1" applyBorder="1" applyAlignment="1" applyProtection="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6" fontId="6" fillId="28" borderId="4" xfId="57" applyNumberFormat="1" applyFont="1" applyFill="1" applyBorder="1" applyAlignment="1" applyProtection="1">
      <alignment horizontal="center" vertical="center"/>
    </xf>
    <xf numFmtId="176" fontId="6" fillId="32" borderId="4" xfId="57" applyNumberFormat="1" applyFont="1" applyFill="1" applyBorder="1" applyAlignment="1" applyProtection="1">
      <alignment horizontal="center" vertical="center"/>
    </xf>
    <xf numFmtId="178"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7" fontId="3" fillId="30" borderId="4" xfId="0" applyNumberFormat="1" applyFont="1" applyFill="1" applyBorder="1" applyAlignment="1">
      <alignment horizontal="right" vertical="center"/>
    </xf>
    <xf numFmtId="177" fontId="3" fillId="28" borderId="4" xfId="0" applyNumberFormat="1" applyFont="1" applyFill="1" applyBorder="1" applyAlignment="1">
      <alignment horizontal="right" vertical="center"/>
    </xf>
    <xf numFmtId="177" fontId="3" fillId="30" borderId="4" xfId="0" applyNumberFormat="1" applyFont="1" applyFill="1" applyBorder="1" applyAlignment="1">
      <alignment horizontal="right" vertical="center" wrapText="1"/>
    </xf>
    <xf numFmtId="0" fontId="52" fillId="0" borderId="0" xfId="0" applyFont="1"/>
    <xf numFmtId="177" fontId="0" fillId="0" borderId="0" xfId="0" applyNumberFormat="1"/>
    <xf numFmtId="0" fontId="3" fillId="0" borderId="36" xfId="0" applyFont="1" applyBorder="1" applyAlignment="1" applyProtection="1">
      <alignment horizontal="left" vertical="top" wrapText="1"/>
      <protection locked="0"/>
    </xf>
    <xf numFmtId="174" fontId="4" fillId="26" borderId="27" xfId="0" applyNumberFormat="1" applyFont="1" applyFill="1" applyBorder="1" applyProtection="1"/>
    <xf numFmtId="174" fontId="4" fillId="26" borderId="28" xfId="0" applyNumberFormat="1" applyFont="1" applyFill="1" applyBorder="1" applyProtection="1"/>
    <xf numFmtId="174" fontId="4" fillId="26" borderId="62" xfId="0" applyNumberFormat="1" applyFont="1" applyFill="1" applyBorder="1" applyProtection="1"/>
    <xf numFmtId="164" fontId="4" fillId="30" borderId="21" xfId="0" applyNumberFormat="1" applyFont="1" applyFill="1" applyBorder="1" applyProtection="1">
      <protection locked="0"/>
    </xf>
    <xf numFmtId="164" fontId="4" fillId="30" borderId="20" xfId="0" applyNumberFormat="1" applyFont="1" applyFill="1" applyBorder="1" applyProtection="1">
      <protection locked="0"/>
    </xf>
    <xf numFmtId="176" fontId="3" fillId="0" borderId="4" xfId="57" applyNumberFormat="1" applyFont="1" applyBorder="1" applyAlignment="1" applyProtection="1">
      <alignment vertical="center"/>
    </xf>
    <xf numFmtId="0" fontId="3" fillId="29" borderId="4" xfId="0" applyFont="1" applyFill="1" applyBorder="1" applyAlignment="1" applyProtection="1">
      <alignment vertical="center"/>
    </xf>
    <xf numFmtId="0" fontId="3" fillId="0" borderId="4" xfId="0" applyFont="1" applyBorder="1" applyAlignment="1" applyProtection="1">
      <alignment horizontal="left" wrapText="1"/>
    </xf>
    <xf numFmtId="0" fontId="6" fillId="0" borderId="0" xfId="0" applyFont="1" applyAlignment="1" applyProtection="1">
      <alignment wrapText="1"/>
    </xf>
    <xf numFmtId="0" fontId="6" fillId="0" borderId="0" xfId="0" applyFont="1" applyBorder="1" applyAlignment="1" applyProtection="1">
      <alignment wrapText="1"/>
    </xf>
    <xf numFmtId="0" fontId="5" fillId="0" borderId="0" xfId="0" applyFont="1"/>
    <xf numFmtId="0" fontId="5" fillId="0" borderId="0" xfId="0" applyFont="1" applyAlignment="1">
      <alignment vertical="center"/>
    </xf>
    <xf numFmtId="167" fontId="0" fillId="0" borderId="4" xfId="56" applyNumberFormat="1" applyFont="1" applyBorder="1" applyAlignment="1">
      <alignment horizontal="center" vertical="center"/>
    </xf>
    <xf numFmtId="167" fontId="0" fillId="0" borderId="4" xfId="57" applyNumberFormat="1" applyFont="1" applyBorder="1"/>
    <xf numFmtId="0" fontId="56" fillId="0" borderId="0" xfId="59" applyFont="1" applyProtection="1"/>
    <xf numFmtId="0" fontId="4" fillId="0" borderId="0" xfId="0" applyFont="1" applyAlignment="1">
      <alignment vertical="top"/>
    </xf>
    <xf numFmtId="0" fontId="3" fillId="34" borderId="0" xfId="0" applyFont="1" applyFill="1"/>
    <xf numFmtId="0" fontId="6" fillId="34" borderId="59" xfId="0" applyFont="1" applyFill="1" applyBorder="1" applyAlignment="1">
      <alignment vertical="center" wrapText="1"/>
    </xf>
    <xf numFmtId="0" fontId="6" fillId="34" borderId="59" xfId="0" applyFont="1" applyFill="1" applyBorder="1" applyAlignment="1">
      <alignment vertical="center"/>
    </xf>
    <xf numFmtId="0" fontId="6" fillId="34" borderId="4" xfId="0" applyFont="1" applyFill="1" applyBorder="1" applyAlignment="1" applyProtection="1">
      <alignment wrapText="1"/>
    </xf>
    <xf numFmtId="0" fontId="6" fillId="34" borderId="4" xfId="0" applyFont="1" applyFill="1" applyBorder="1" applyProtection="1"/>
    <xf numFmtId="0" fontId="6" fillId="34" borderId="4" xfId="0" applyFont="1" applyFill="1" applyBorder="1" applyAlignment="1" applyProtection="1">
      <alignment horizontal="center" vertical="center"/>
    </xf>
    <xf numFmtId="0" fontId="3" fillId="30" borderId="4" xfId="0" applyFont="1" applyFill="1" applyBorder="1" applyAlignment="1">
      <alignment horizontal="center" vertical="center"/>
    </xf>
    <xf numFmtId="0" fontId="6" fillId="34" borderId="4" xfId="0" applyFont="1" applyFill="1" applyBorder="1"/>
    <xf numFmtId="0" fontId="6" fillId="34" borderId="4" xfId="0" applyFont="1" applyFill="1" applyBorder="1" applyAlignment="1">
      <alignment horizontal="center" vertical="center"/>
    </xf>
    <xf numFmtId="167" fontId="6" fillId="34" borderId="4" xfId="56" applyNumberFormat="1" applyFont="1" applyFill="1" applyBorder="1" applyAlignment="1">
      <alignment horizontal="center" vertical="center"/>
    </xf>
    <xf numFmtId="167" fontId="6" fillId="34" borderId="4" xfId="57" applyNumberFormat="1" applyFont="1" applyFill="1" applyBorder="1"/>
    <xf numFmtId="167" fontId="3" fillId="0" borderId="4" xfId="57" applyNumberFormat="1" applyFont="1" applyBorder="1" applyAlignment="1" applyProtection="1">
      <alignment vertical="center"/>
    </xf>
    <xf numFmtId="167" fontId="3" fillId="30" borderId="4" xfId="0" applyNumberFormat="1" applyFont="1" applyFill="1" applyBorder="1" applyAlignment="1" applyProtection="1">
      <alignment vertical="center"/>
    </xf>
    <xf numFmtId="167" fontId="3" fillId="0" borderId="4" xfId="57" applyNumberFormat="1" applyFont="1" applyBorder="1" applyAlignment="1" applyProtection="1">
      <alignment horizontal="center" vertical="center"/>
    </xf>
    <xf numFmtId="167" fontId="6" fillId="34" borderId="4" xfId="57" applyNumberFormat="1" applyFont="1" applyFill="1" applyBorder="1" applyAlignment="1" applyProtection="1">
      <alignment vertical="center"/>
    </xf>
    <xf numFmtId="167" fontId="6" fillId="34" borderId="4" xfId="0" applyNumberFormat="1" applyFont="1" applyFill="1" applyBorder="1" applyAlignment="1" applyProtection="1">
      <alignment vertical="center"/>
    </xf>
    <xf numFmtId="167" fontId="6" fillId="0" borderId="0" xfId="57" applyNumberFormat="1" applyFont="1" applyAlignment="1" applyProtection="1"/>
    <xf numFmtId="167" fontId="6" fillId="0" borderId="0" xfId="0" applyNumberFormat="1" applyFont="1" applyAlignment="1" applyProtection="1">
      <alignment vertical="center"/>
    </xf>
    <xf numFmtId="167" fontId="3" fillId="0" borderId="0" xfId="0" applyNumberFormat="1" applyFont="1" applyAlignment="1"/>
    <xf numFmtId="167" fontId="3" fillId="29" borderId="4" xfId="0" applyNumberFormat="1" applyFont="1" applyFill="1" applyBorder="1" applyAlignment="1" applyProtection="1">
      <alignment vertical="center"/>
    </xf>
    <xf numFmtId="167" fontId="3" fillId="0" borderId="0" xfId="57" applyNumberFormat="1" applyFont="1" applyBorder="1" applyAlignment="1" applyProtection="1">
      <alignment vertical="center"/>
    </xf>
    <xf numFmtId="167" fontId="3" fillId="0" borderId="0" xfId="0" applyNumberFormat="1" applyFont="1" applyBorder="1" applyAlignment="1" applyProtection="1">
      <alignment vertical="center"/>
    </xf>
    <xf numFmtId="167" fontId="3" fillId="33" borderId="4" xfId="57" applyNumberFormat="1" applyFont="1" applyFill="1" applyBorder="1" applyAlignment="1" applyProtection="1">
      <alignment vertical="center"/>
    </xf>
    <xf numFmtId="167" fontId="3" fillId="0" borderId="0" xfId="57" applyNumberFormat="1" applyFont="1" applyBorder="1" applyAlignment="1" applyProtection="1"/>
    <xf numFmtId="167" fontId="3" fillId="0" borderId="0" xfId="0" applyNumberFormat="1" applyFont="1" applyBorder="1" applyAlignment="1" applyProtection="1"/>
    <xf numFmtId="167" fontId="3" fillId="28" borderId="4" xfId="57" applyNumberFormat="1" applyFont="1" applyFill="1" applyBorder="1" applyAlignment="1" applyProtection="1">
      <alignment vertical="center"/>
    </xf>
    <xf numFmtId="167" fontId="3" fillId="28" borderId="4" xfId="0" applyNumberFormat="1" applyFont="1" applyFill="1" applyBorder="1" applyAlignment="1" applyProtection="1">
      <alignment vertical="center"/>
    </xf>
    <xf numFmtId="167" fontId="3" fillId="30" borderId="4" xfId="57" applyNumberFormat="1" applyFont="1" applyFill="1" applyBorder="1" applyAlignment="1" applyProtection="1">
      <alignment vertical="center"/>
    </xf>
    <xf numFmtId="167" fontId="3" fillId="0" borderId="0" xfId="0" applyNumberFormat="1" applyFont="1" applyBorder="1" applyAlignment="1">
      <alignment vertical="center"/>
    </xf>
    <xf numFmtId="167" fontId="3" fillId="0" borderId="0" xfId="0" applyNumberFormat="1" applyFont="1" applyBorder="1" applyAlignment="1"/>
    <xf numFmtId="167" fontId="3" fillId="28" borderId="0" xfId="0" applyNumberFormat="1" applyFont="1" applyFill="1" applyBorder="1" applyAlignment="1" applyProtection="1">
      <alignment vertical="center"/>
    </xf>
    <xf numFmtId="167" fontId="6" fillId="28" borderId="4" xfId="57" applyNumberFormat="1" applyFont="1" applyFill="1" applyBorder="1" applyAlignment="1" applyProtection="1">
      <alignment vertical="center"/>
    </xf>
    <xf numFmtId="167" fontId="6" fillId="28" borderId="4" xfId="0" applyNumberFormat="1" applyFont="1" applyFill="1" applyBorder="1" applyAlignment="1" applyProtection="1">
      <alignment vertical="center"/>
    </xf>
    <xf numFmtId="179" fontId="6" fillId="0" borderId="4" xfId="56" applyNumberFormat="1" applyFont="1" applyBorder="1" applyAlignment="1">
      <alignment horizontal="center" vertical="center"/>
    </xf>
    <xf numFmtId="43" fontId="3" fillId="0" borderId="4" xfId="57" applyNumberFormat="1" applyFont="1" applyBorder="1" applyAlignment="1" applyProtection="1">
      <alignment vertical="center"/>
    </xf>
    <xf numFmtId="167" fontId="3" fillId="30" borderId="4" xfId="0" applyNumberFormat="1" applyFont="1" applyFill="1" applyBorder="1" applyAlignment="1" applyProtection="1">
      <alignment horizontal="center" vertical="center"/>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53" fillId="30" borderId="55" xfId="71" applyNumberForma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7" fillId="0" borderId="4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49"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4" fillId="0" borderId="47"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8" xfId="0" applyFont="1" applyBorder="1" applyAlignment="1" applyProtection="1">
      <alignment horizontal="left" vertical="center"/>
    </xf>
    <xf numFmtId="0" fontId="17" fillId="0" borderId="52"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6" xfId="0" applyFont="1" applyBorder="1" applyAlignment="1" applyProtection="1">
      <alignment horizontal="center"/>
    </xf>
    <xf numFmtId="0" fontId="16" fillId="0" borderId="13" xfId="0" applyFont="1" applyBorder="1" applyAlignment="1" applyProtection="1">
      <alignment horizontal="center"/>
    </xf>
    <xf numFmtId="0" fontId="5" fillId="27" borderId="0" xfId="0" applyFont="1" applyFill="1" applyBorder="1" applyAlignment="1" applyProtection="1">
      <alignment horizontal="left" vertical="top" wrapText="1"/>
    </xf>
    <xf numFmtId="0" fontId="36" fillId="0" borderId="40"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49"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8" xfId="0" applyFont="1" applyBorder="1" applyAlignment="1" applyProtection="1">
      <alignment horizontal="left" vertical="center" wrapText="1"/>
    </xf>
    <xf numFmtId="0" fontId="6" fillId="0" borderId="0" xfId="0" applyFont="1" applyAlignment="1" applyProtection="1">
      <alignment horizontal="left" vertical="top" wrapText="1"/>
    </xf>
    <xf numFmtId="0" fontId="50"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176" fontId="6" fillId="28" borderId="4" xfId="69" applyNumberFormat="1" applyFont="1" applyFill="1" applyBorder="1" applyAlignment="1" applyProtection="1">
      <alignment horizontal="center" vertical="center" wrapText="1"/>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6" fillId="34" borderId="4" xfId="0" applyFont="1" applyFill="1" applyBorder="1" applyAlignment="1">
      <alignment horizontal="right" vertical="center" wrapText="1" indent="1"/>
    </xf>
    <xf numFmtId="0" fontId="9" fillId="0" borderId="0" xfId="0" applyFont="1" applyAlignment="1">
      <alignment horizontal="left"/>
    </xf>
    <xf numFmtId="0" fontId="3" fillId="0" borderId="60"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4" borderId="4" xfId="69" applyFont="1" applyFill="1" applyBorder="1" applyAlignment="1" applyProtection="1">
      <alignment horizontal="center" vertical="center" wrapText="1"/>
    </xf>
    <xf numFmtId="0" fontId="6" fillId="34" borderId="4" xfId="69" applyFont="1" applyFill="1" applyBorder="1" applyAlignment="1" applyProtection="1">
      <alignment horizontal="center" vertical="center"/>
    </xf>
    <xf numFmtId="0" fontId="6" fillId="34" borderId="59" xfId="69" applyFont="1" applyFill="1" applyBorder="1" applyAlignment="1" applyProtection="1">
      <alignment horizontal="center" vertical="center" wrapText="1"/>
    </xf>
    <xf numFmtId="0" fontId="6" fillId="34" borderId="61" xfId="69" applyFont="1" applyFill="1" applyBorder="1" applyAlignment="1" applyProtection="1">
      <alignment horizontal="center" vertical="center" wrapText="1"/>
    </xf>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1"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8">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57420" cy="1932332"/>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63500"/>
          <a:ext cx="9312275" cy="2320925"/>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762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863600</xdr:colOff>
      <xdr:row>14</xdr:row>
      <xdr:rowOff>66675</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7</xdr:col>
      <xdr:colOff>733425</xdr:colOff>
      <xdr:row>1</xdr:row>
      <xdr:rowOff>28575</xdr:rowOff>
    </xdr:to>
    <xdr:grpSp>
      <xdr:nvGrpSpPr>
        <xdr:cNvPr id="2" name="Group 1"/>
        <xdr:cNvGrpSpPr/>
      </xdr:nvGrpSpPr>
      <xdr:grpSpPr>
        <a:xfrm>
          <a:off x="38100" y="0"/>
          <a:ext cx="887412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742950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Ontario%20Energy%20Board/Rate%20Design/2013/LRAM/2013%20LRAM%20Cla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Programs"/>
      <sheetName val="2011  Prog-Persistence in 2012"/>
      <sheetName val="8.2 CHART (kWH Only)"/>
      <sheetName val="8.2 CHART (kWH &amp; kW)"/>
      <sheetName val="8.3 CHART"/>
      <sheetName val="8.4 CHART"/>
      <sheetName val="Sheet7"/>
    </sheetNames>
    <sheetDataSet>
      <sheetData sheetId="0">
        <row r="5">
          <cell r="F5">
            <v>27226.246734246546</v>
          </cell>
        </row>
        <row r="6">
          <cell r="F6">
            <v>12729.869139078824</v>
          </cell>
        </row>
        <row r="7">
          <cell r="F7">
            <v>284.12600928070628</v>
          </cell>
        </row>
        <row r="8">
          <cell r="F8">
            <v>74.455873894128572</v>
          </cell>
        </row>
        <row r="9">
          <cell r="F9">
            <v>0</v>
          </cell>
        </row>
        <row r="10">
          <cell r="F10">
            <v>0</v>
          </cell>
        </row>
        <row r="11">
          <cell r="F11">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ajala@tbhydro.on.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6"/>
  <sheetViews>
    <sheetView showGridLines="0" zoomScale="115" zoomScaleNormal="115" workbookViewId="0">
      <selection activeCell="O1" sqref="O1"/>
    </sheetView>
  </sheetViews>
  <sheetFormatPr defaultColWidth="9.140625" defaultRowHeight="15" x14ac:dyDescent="0.25"/>
  <cols>
    <col min="1" max="1" width="13.28515625" style="95" customWidth="1"/>
    <col min="2" max="4" width="9.140625" style="95"/>
    <col min="5" max="5" width="9.140625" style="95" customWidth="1"/>
    <col min="6" max="14" width="9.140625" style="95"/>
    <col min="15" max="15" width="16" style="95" bestFit="1" customWidth="1"/>
    <col min="16" max="16384" width="9.140625" style="95"/>
  </cols>
  <sheetData>
    <row r="1" spans="2:15" ht="15.75" x14ac:dyDescent="0.25">
      <c r="O1" s="198" t="s">
        <v>230</v>
      </c>
    </row>
    <row r="11" spans="2:15" x14ac:dyDescent="0.25">
      <c r="G11" s="96"/>
    </row>
    <row r="12" spans="2:15" x14ac:dyDescent="0.25">
      <c r="B12" s="97"/>
      <c r="C12" s="97"/>
      <c r="D12" s="97"/>
      <c r="E12" s="97"/>
      <c r="F12" s="97"/>
      <c r="G12" s="96"/>
      <c r="M12" s="98" t="s">
        <v>147</v>
      </c>
      <c r="N12" s="99">
        <v>2</v>
      </c>
    </row>
    <row r="13" spans="2:15" ht="15.75" thickBot="1" x14ac:dyDescent="0.3">
      <c r="G13" s="96"/>
    </row>
    <row r="14" spans="2:15" ht="16.5" customHeight="1" thickTop="1" thickBot="1" x14ac:dyDescent="0.3">
      <c r="E14" s="100" t="s">
        <v>148</v>
      </c>
      <c r="F14" s="242" t="s">
        <v>217</v>
      </c>
      <c r="G14" s="243"/>
      <c r="H14" s="243"/>
      <c r="I14" s="243"/>
      <c r="J14" s="243"/>
      <c r="K14" s="243"/>
      <c r="L14" s="244"/>
    </row>
    <row r="15" spans="2:15" ht="15.75" thickBot="1" x14ac:dyDescent="0.3">
      <c r="E15" s="101"/>
      <c r="F15" s="102"/>
      <c r="G15" s="103"/>
      <c r="H15" s="102"/>
      <c r="I15" s="102"/>
      <c r="J15" s="102"/>
    </row>
    <row r="16" spans="2:15" ht="16.5" thickTop="1" thickBot="1" x14ac:dyDescent="0.3">
      <c r="E16" s="104" t="s">
        <v>149</v>
      </c>
      <c r="F16" s="245" t="s">
        <v>218</v>
      </c>
      <c r="G16" s="246"/>
      <c r="H16" s="246"/>
      <c r="I16" s="246"/>
      <c r="J16" s="247"/>
    </row>
    <row r="17" spans="2:14" ht="15.75" thickBot="1" x14ac:dyDescent="0.3">
      <c r="E17" s="105"/>
    </row>
    <row r="18" spans="2:14" ht="16.5" thickTop="1" thickBot="1" x14ac:dyDescent="0.3">
      <c r="E18" s="104" t="s">
        <v>150</v>
      </c>
      <c r="F18" s="248" t="s">
        <v>219</v>
      </c>
      <c r="G18" s="249"/>
      <c r="H18" s="249"/>
      <c r="I18" s="249"/>
      <c r="J18" s="250"/>
    </row>
    <row r="19" spans="2:14" ht="15.75" thickBot="1" x14ac:dyDescent="0.3">
      <c r="E19" s="105"/>
    </row>
    <row r="20" spans="2:14" ht="16.5" thickTop="1" thickBot="1" x14ac:dyDescent="0.3">
      <c r="E20" s="104" t="s">
        <v>151</v>
      </c>
      <c r="F20" s="248" t="s">
        <v>220</v>
      </c>
      <c r="G20" s="249"/>
      <c r="H20" s="249"/>
      <c r="I20" s="249"/>
      <c r="J20" s="250"/>
    </row>
    <row r="21" spans="2:14" ht="15.75" thickBot="1" x14ac:dyDescent="0.3">
      <c r="E21" s="106"/>
      <c r="F21" s="102"/>
      <c r="G21" s="103"/>
      <c r="H21" s="102"/>
      <c r="I21" s="102"/>
      <c r="J21" s="102"/>
    </row>
    <row r="22" spans="2:14" ht="16.5" thickTop="1" thickBot="1" x14ac:dyDescent="0.3">
      <c r="E22" s="100" t="s">
        <v>152</v>
      </c>
      <c r="F22" s="248" t="s">
        <v>221</v>
      </c>
      <c r="G22" s="249"/>
      <c r="H22" s="249"/>
      <c r="I22" s="249"/>
      <c r="J22" s="250"/>
    </row>
    <row r="23" spans="2:14" ht="15.75" thickBot="1" x14ac:dyDescent="0.3">
      <c r="E23" s="106"/>
      <c r="F23" s="102"/>
      <c r="G23" s="103"/>
      <c r="H23" s="102"/>
      <c r="I23" s="102"/>
      <c r="J23" s="102"/>
    </row>
    <row r="24" spans="2:14" ht="16.5" thickTop="1" thickBot="1" x14ac:dyDescent="0.3">
      <c r="E24" s="100" t="s">
        <v>153</v>
      </c>
      <c r="F24" s="251" t="s">
        <v>222</v>
      </c>
      <c r="G24" s="252"/>
      <c r="H24" s="252"/>
      <c r="I24" s="252"/>
      <c r="J24" s="253"/>
    </row>
    <row r="25" spans="2:14" x14ac:dyDescent="0.25">
      <c r="E25" s="106"/>
      <c r="F25" s="102"/>
      <c r="G25" s="103"/>
      <c r="H25" s="102"/>
      <c r="I25" s="102"/>
      <c r="J25" s="102"/>
    </row>
    <row r="26" spans="2:14" x14ac:dyDescent="0.25">
      <c r="E26" s="100"/>
      <c r="I26" s="102"/>
      <c r="J26" s="102"/>
    </row>
    <row r="27" spans="2:14" ht="168.75" customHeight="1" x14ac:dyDescent="0.25">
      <c r="B27" s="241" t="s">
        <v>158</v>
      </c>
      <c r="C27" s="241"/>
      <c r="D27" s="241"/>
      <c r="E27" s="241"/>
      <c r="F27" s="241"/>
      <c r="G27" s="241"/>
      <c r="H27" s="241"/>
      <c r="I27" s="241"/>
      <c r="J27" s="241"/>
      <c r="K27" s="241"/>
      <c r="L27" s="241"/>
      <c r="M27" s="241"/>
    </row>
    <row r="29" spans="2:14" x14ac:dyDescent="0.25">
      <c r="B29" s="107" t="s">
        <v>154</v>
      </c>
      <c r="C29" s="108"/>
      <c r="D29" s="108"/>
      <c r="E29" s="108"/>
      <c r="F29" s="108"/>
      <c r="G29" s="108"/>
      <c r="H29" s="108"/>
      <c r="I29" s="108"/>
      <c r="J29" s="108"/>
      <c r="K29" s="108"/>
      <c r="L29" s="108"/>
      <c r="M29" s="108"/>
      <c r="N29" s="108"/>
    </row>
    <row r="30" spans="2:14" ht="15.75" thickBot="1" x14ac:dyDescent="0.3">
      <c r="B30" s="108"/>
      <c r="C30" s="108"/>
      <c r="D30" s="108"/>
      <c r="E30" s="108"/>
      <c r="F30" s="108"/>
      <c r="G30" s="108"/>
      <c r="H30" s="108"/>
      <c r="I30" s="108"/>
      <c r="J30" s="108"/>
      <c r="K30" s="108"/>
      <c r="L30" s="108"/>
      <c r="M30" s="108"/>
      <c r="N30" s="108"/>
    </row>
    <row r="31" spans="2:14" ht="15.75" thickBot="1" x14ac:dyDescent="0.3">
      <c r="B31" s="109"/>
      <c r="C31" s="236" t="s">
        <v>155</v>
      </c>
      <c r="D31" s="236"/>
      <c r="E31" s="236"/>
      <c r="F31" s="236"/>
      <c r="G31" s="236"/>
      <c r="H31" s="236"/>
      <c r="I31" s="236"/>
      <c r="J31" s="236"/>
      <c r="K31" s="236"/>
      <c r="L31" s="236"/>
      <c r="M31" s="108"/>
      <c r="N31" s="108"/>
    </row>
    <row r="32" spans="2:14" ht="15.75" thickBot="1" x14ac:dyDescent="0.3">
      <c r="B32" s="108"/>
      <c r="C32" s="108"/>
      <c r="D32" s="108"/>
      <c r="E32" s="108"/>
      <c r="F32" s="108"/>
      <c r="G32" s="108"/>
      <c r="H32" s="108"/>
      <c r="I32" s="108"/>
      <c r="J32" s="108"/>
      <c r="K32" s="108"/>
      <c r="L32" s="108"/>
      <c r="M32" s="108"/>
      <c r="N32" s="108"/>
    </row>
    <row r="33" spans="2:14" ht="15.75" thickBot="1" x14ac:dyDescent="0.3">
      <c r="B33" s="110"/>
      <c r="C33" s="237" t="s">
        <v>156</v>
      </c>
      <c r="D33" s="238"/>
      <c r="E33" s="238"/>
      <c r="F33" s="238"/>
      <c r="G33" s="238"/>
      <c r="H33" s="238"/>
      <c r="I33" s="238"/>
      <c r="J33" s="238"/>
      <c r="K33" s="238"/>
      <c r="L33" s="238"/>
      <c r="M33" s="238"/>
      <c r="N33" s="238"/>
    </row>
    <row r="34" spans="2:14" ht="15.75" thickBot="1" x14ac:dyDescent="0.3">
      <c r="B34" s="111"/>
      <c r="C34" s="108"/>
      <c r="D34" s="108"/>
      <c r="E34" s="108"/>
      <c r="F34" s="108"/>
      <c r="G34" s="108"/>
      <c r="H34" s="108"/>
      <c r="I34" s="108"/>
      <c r="J34" s="108"/>
      <c r="K34" s="108"/>
      <c r="L34" s="108"/>
      <c r="M34" s="108"/>
      <c r="N34" s="108"/>
    </row>
    <row r="35" spans="2:14" ht="15.75" thickBot="1" x14ac:dyDescent="0.3">
      <c r="B35" s="112"/>
      <c r="C35" s="239" t="s">
        <v>157</v>
      </c>
      <c r="D35" s="240"/>
      <c r="E35" s="240"/>
      <c r="F35" s="240"/>
      <c r="G35" s="240"/>
      <c r="H35" s="240"/>
      <c r="I35" s="240"/>
      <c r="J35" s="240"/>
      <c r="K35" s="240"/>
      <c r="L35" s="240"/>
      <c r="M35" s="240"/>
      <c r="N35" s="108"/>
    </row>
    <row r="36" spans="2:14" x14ac:dyDescent="0.25">
      <c r="B36" s="108"/>
      <c r="C36" s="108"/>
      <c r="D36" s="108"/>
      <c r="E36" s="108"/>
      <c r="F36" s="108"/>
      <c r="G36" s="108"/>
      <c r="H36" s="108"/>
      <c r="I36" s="108"/>
      <c r="J36" s="108"/>
      <c r="K36" s="108"/>
      <c r="L36" s="108"/>
      <c r="M36" s="108"/>
      <c r="N36" s="108"/>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hyperlinks>
    <hyperlink ref="F24" r:id="rId1"/>
  </hyperlinks>
  <pageMargins left="0.25" right="0.25" top="0.75" bottom="0.75" header="0.3" footer="0.3"/>
  <pageSetup scale="65" orientation="portrait"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H110"/>
  <sheetViews>
    <sheetView showGridLines="0" tabSelected="1" topLeftCell="BO13" zoomScale="60" zoomScaleNormal="60" workbookViewId="0">
      <selection activeCell="CI42" sqref="CI42"/>
    </sheetView>
  </sheetViews>
  <sheetFormatPr defaultColWidth="9.140625" defaultRowHeight="12.75" x14ac:dyDescent="0.2"/>
  <cols>
    <col min="1" max="1" width="9.140625" style="1" hidden="1" customWidth="1"/>
    <col min="2" max="2" width="2.85546875" style="1" bestFit="1" customWidth="1"/>
    <col min="3" max="3" width="86.425781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71" width="18.42578125" style="1" customWidth="1"/>
    <col min="72" max="72" width="14.7109375" style="1" customWidth="1"/>
    <col min="73" max="73" width="14.140625" style="1" customWidth="1"/>
    <col min="74" max="76" width="14.85546875" style="1" customWidth="1"/>
    <col min="77" max="77" width="15.42578125" style="1" customWidth="1"/>
    <col min="78" max="79" width="14.85546875" style="1" customWidth="1"/>
    <col min="80" max="80" width="16.85546875" style="1" customWidth="1"/>
    <col min="81" max="81" width="17.28515625" style="1" customWidth="1"/>
    <col min="82" max="83" width="26.85546875" style="1" customWidth="1"/>
    <col min="84" max="84" width="22.28515625" style="1" bestFit="1" customWidth="1"/>
    <col min="85" max="85" width="22.42578125" style="1" bestFit="1" customWidth="1"/>
    <col min="86" max="86" width="19.85546875" style="1" customWidth="1"/>
    <col min="87" max="16384" width="9.140625" style="1"/>
  </cols>
  <sheetData>
    <row r="1" spans="86:86" ht="15.75" x14ac:dyDescent="0.25">
      <c r="CH1" s="198" t="s">
        <v>230</v>
      </c>
    </row>
    <row r="18" spans="1:86" ht="15.75" thickBot="1" x14ac:dyDescent="0.35">
      <c r="C18" s="4"/>
    </row>
    <row r="19" spans="1:86" ht="29.25" thickBot="1" x14ac:dyDescent="0.5">
      <c r="C19" s="5"/>
      <c r="D19" s="6"/>
      <c r="E19" s="254">
        <v>2005</v>
      </c>
      <c r="F19" s="255"/>
      <c r="G19" s="255"/>
      <c r="H19" s="255"/>
      <c r="I19" s="255"/>
      <c r="J19" s="255"/>
      <c r="K19" s="255"/>
      <c r="L19" s="255"/>
      <c r="M19" s="255"/>
      <c r="N19" s="256"/>
      <c r="O19" s="254">
        <v>2006</v>
      </c>
      <c r="P19" s="255"/>
      <c r="Q19" s="255"/>
      <c r="R19" s="255"/>
      <c r="S19" s="255"/>
      <c r="T19" s="255"/>
      <c r="U19" s="255"/>
      <c r="V19" s="255"/>
      <c r="W19" s="255"/>
      <c r="X19" s="256"/>
      <c r="Y19" s="254">
        <v>2007</v>
      </c>
      <c r="Z19" s="255"/>
      <c r="AA19" s="255"/>
      <c r="AB19" s="255"/>
      <c r="AC19" s="255"/>
      <c r="AD19" s="255"/>
      <c r="AE19" s="255"/>
      <c r="AF19" s="255"/>
      <c r="AG19" s="255"/>
      <c r="AH19" s="256"/>
      <c r="AI19" s="254">
        <v>2008</v>
      </c>
      <c r="AJ19" s="255"/>
      <c r="AK19" s="255"/>
      <c r="AL19" s="255"/>
      <c r="AM19" s="255"/>
      <c r="AN19" s="255"/>
      <c r="AO19" s="255"/>
      <c r="AP19" s="255"/>
      <c r="AQ19" s="255"/>
      <c r="AR19" s="256"/>
      <c r="AS19" s="254">
        <v>2009</v>
      </c>
      <c r="AT19" s="255"/>
      <c r="AU19" s="255"/>
      <c r="AV19" s="255"/>
      <c r="AW19" s="255"/>
      <c r="AX19" s="255"/>
      <c r="AY19" s="255"/>
      <c r="AZ19" s="255"/>
      <c r="BA19" s="255"/>
      <c r="BB19" s="256"/>
      <c r="BC19" s="254">
        <v>2010</v>
      </c>
      <c r="BD19" s="255"/>
      <c r="BE19" s="255"/>
      <c r="BF19" s="255"/>
      <c r="BG19" s="255"/>
      <c r="BH19" s="255"/>
      <c r="BI19" s="255"/>
      <c r="BJ19" s="255"/>
      <c r="BK19" s="255"/>
      <c r="BL19" s="256"/>
      <c r="BM19" s="254">
        <v>2011</v>
      </c>
      <c r="BN19" s="255"/>
      <c r="BO19" s="255"/>
      <c r="BP19" s="255"/>
      <c r="BQ19" s="255"/>
      <c r="BR19" s="255"/>
      <c r="BS19" s="255"/>
      <c r="BT19" s="255"/>
      <c r="BU19" s="255"/>
      <c r="BV19" s="255"/>
      <c r="BW19" s="255"/>
      <c r="BX19" s="255"/>
      <c r="BY19" s="256"/>
      <c r="BZ19" s="254">
        <v>2012</v>
      </c>
      <c r="CA19" s="255"/>
      <c r="CB19" s="255"/>
      <c r="CC19" s="256"/>
      <c r="CD19" s="276" t="s">
        <v>89</v>
      </c>
      <c r="CE19" s="277"/>
      <c r="CF19" s="278"/>
      <c r="CG19" s="44" t="s">
        <v>49</v>
      </c>
      <c r="CH19" s="37"/>
    </row>
    <row r="20" spans="1:86" ht="14.25" customHeight="1" x14ac:dyDescent="0.2">
      <c r="C20" s="270" t="s">
        <v>40</v>
      </c>
      <c r="D20" s="265" t="s">
        <v>0</v>
      </c>
      <c r="E20" s="257" t="s">
        <v>73</v>
      </c>
      <c r="F20" s="260" t="s">
        <v>111</v>
      </c>
      <c r="G20" s="260" t="s">
        <v>51</v>
      </c>
      <c r="H20" s="260" t="s">
        <v>100</v>
      </c>
      <c r="I20" s="260" t="s">
        <v>10</v>
      </c>
      <c r="J20" s="260" t="s">
        <v>8</v>
      </c>
      <c r="K20" s="260" t="s">
        <v>42</v>
      </c>
      <c r="L20" s="260" t="s">
        <v>51</v>
      </c>
      <c r="M20" s="260" t="s">
        <v>100</v>
      </c>
      <c r="N20" s="265" t="s">
        <v>9</v>
      </c>
      <c r="O20" s="257" t="s">
        <v>74</v>
      </c>
      <c r="P20" s="260" t="s">
        <v>112</v>
      </c>
      <c r="Q20" s="260" t="s">
        <v>98</v>
      </c>
      <c r="R20" s="260" t="s">
        <v>101</v>
      </c>
      <c r="S20" s="260" t="s">
        <v>11</v>
      </c>
      <c r="T20" s="260" t="s">
        <v>12</v>
      </c>
      <c r="U20" s="260" t="s">
        <v>43</v>
      </c>
      <c r="V20" s="260" t="s">
        <v>98</v>
      </c>
      <c r="W20" s="260" t="s">
        <v>101</v>
      </c>
      <c r="X20" s="265" t="s">
        <v>13</v>
      </c>
      <c r="Y20" s="257" t="s">
        <v>75</v>
      </c>
      <c r="Z20" s="260" t="s">
        <v>113</v>
      </c>
      <c r="AA20" s="260" t="s">
        <v>52</v>
      </c>
      <c r="AB20" s="260" t="s">
        <v>102</v>
      </c>
      <c r="AC20" s="260" t="s">
        <v>23</v>
      </c>
      <c r="AD20" s="260" t="s">
        <v>25</v>
      </c>
      <c r="AE20" s="260" t="s">
        <v>44</v>
      </c>
      <c r="AF20" s="260" t="s">
        <v>52</v>
      </c>
      <c r="AG20" s="260" t="s">
        <v>102</v>
      </c>
      <c r="AH20" s="265" t="s">
        <v>24</v>
      </c>
      <c r="AI20" s="257" t="s">
        <v>76</v>
      </c>
      <c r="AJ20" s="260" t="s">
        <v>114</v>
      </c>
      <c r="AK20" s="260" t="s">
        <v>53</v>
      </c>
      <c r="AL20" s="260" t="s">
        <v>103</v>
      </c>
      <c r="AM20" s="260" t="s">
        <v>26</v>
      </c>
      <c r="AN20" s="260" t="s">
        <v>27</v>
      </c>
      <c r="AO20" s="260" t="s">
        <v>45</v>
      </c>
      <c r="AP20" s="260" t="s">
        <v>53</v>
      </c>
      <c r="AQ20" s="260" t="s">
        <v>103</v>
      </c>
      <c r="AR20" s="265" t="s">
        <v>28</v>
      </c>
      <c r="AS20" s="257" t="s">
        <v>77</v>
      </c>
      <c r="AT20" s="260" t="s">
        <v>115</v>
      </c>
      <c r="AU20" s="260" t="s">
        <v>54</v>
      </c>
      <c r="AV20" s="260" t="s">
        <v>104</v>
      </c>
      <c r="AW20" s="260" t="s">
        <v>29</v>
      </c>
      <c r="AX20" s="260" t="s">
        <v>30</v>
      </c>
      <c r="AY20" s="260" t="s">
        <v>46</v>
      </c>
      <c r="AZ20" s="260" t="s">
        <v>54</v>
      </c>
      <c r="BA20" s="260" t="s">
        <v>104</v>
      </c>
      <c r="BB20" s="265" t="s">
        <v>31</v>
      </c>
      <c r="BC20" s="257" t="s">
        <v>78</v>
      </c>
      <c r="BD20" s="260" t="s">
        <v>116</v>
      </c>
      <c r="BE20" s="260" t="s">
        <v>55</v>
      </c>
      <c r="BF20" s="260" t="s">
        <v>105</v>
      </c>
      <c r="BG20" s="260" t="s">
        <v>36</v>
      </c>
      <c r="BH20" s="260" t="s">
        <v>37</v>
      </c>
      <c r="BI20" s="260" t="s">
        <v>47</v>
      </c>
      <c r="BJ20" s="260" t="s">
        <v>55</v>
      </c>
      <c r="BK20" s="260" t="s">
        <v>105</v>
      </c>
      <c r="BL20" s="265" t="s">
        <v>38</v>
      </c>
      <c r="BM20" s="257" t="s">
        <v>80</v>
      </c>
      <c r="BN20" s="260" t="s">
        <v>117</v>
      </c>
      <c r="BO20" s="260" t="s">
        <v>81</v>
      </c>
      <c r="BP20" s="260" t="s">
        <v>106</v>
      </c>
      <c r="BQ20" s="260" t="s">
        <v>107</v>
      </c>
      <c r="BR20" s="260" t="s">
        <v>108</v>
      </c>
      <c r="BS20" s="260" t="s">
        <v>109</v>
      </c>
      <c r="BT20" s="260" t="s">
        <v>82</v>
      </c>
      <c r="BU20" s="260" t="s">
        <v>83</v>
      </c>
      <c r="BV20" s="260" t="s">
        <v>84</v>
      </c>
      <c r="BW20" s="260" t="s">
        <v>81</v>
      </c>
      <c r="BX20" s="260" t="s">
        <v>110</v>
      </c>
      <c r="BY20" s="265" t="s">
        <v>85</v>
      </c>
      <c r="BZ20" s="260" t="s">
        <v>86</v>
      </c>
      <c r="CA20" s="260" t="s">
        <v>87</v>
      </c>
      <c r="CB20" s="280" t="s">
        <v>88</v>
      </c>
      <c r="CC20" s="280" t="s">
        <v>133</v>
      </c>
      <c r="CD20" s="257" t="s">
        <v>121</v>
      </c>
      <c r="CE20" s="260" t="s">
        <v>139</v>
      </c>
      <c r="CF20" s="265" t="s">
        <v>48</v>
      </c>
      <c r="CG20" s="273" t="s">
        <v>118</v>
      </c>
      <c r="CH20" s="265" t="s">
        <v>90</v>
      </c>
    </row>
    <row r="21" spans="1:86" ht="24.75" customHeight="1" x14ac:dyDescent="0.2">
      <c r="C21" s="271"/>
      <c r="D21" s="266"/>
      <c r="E21" s="258"/>
      <c r="F21" s="261"/>
      <c r="G21" s="263"/>
      <c r="H21" s="263"/>
      <c r="I21" s="263"/>
      <c r="J21" s="261"/>
      <c r="K21" s="263"/>
      <c r="L21" s="263"/>
      <c r="M21" s="263"/>
      <c r="N21" s="266"/>
      <c r="O21" s="258"/>
      <c r="P21" s="261"/>
      <c r="Q21" s="263"/>
      <c r="R21" s="263"/>
      <c r="S21" s="263"/>
      <c r="T21" s="261"/>
      <c r="U21" s="263"/>
      <c r="V21" s="263"/>
      <c r="W21" s="263"/>
      <c r="X21" s="266"/>
      <c r="Y21" s="258"/>
      <c r="Z21" s="261"/>
      <c r="AA21" s="263"/>
      <c r="AB21" s="263"/>
      <c r="AC21" s="263"/>
      <c r="AD21" s="261"/>
      <c r="AE21" s="263"/>
      <c r="AF21" s="263"/>
      <c r="AG21" s="263"/>
      <c r="AH21" s="266"/>
      <c r="AI21" s="258"/>
      <c r="AJ21" s="261"/>
      <c r="AK21" s="263"/>
      <c r="AL21" s="263"/>
      <c r="AM21" s="263"/>
      <c r="AN21" s="261"/>
      <c r="AO21" s="263"/>
      <c r="AP21" s="263"/>
      <c r="AQ21" s="263"/>
      <c r="AR21" s="266"/>
      <c r="AS21" s="258"/>
      <c r="AT21" s="261"/>
      <c r="AU21" s="263"/>
      <c r="AV21" s="263"/>
      <c r="AW21" s="263"/>
      <c r="AX21" s="261"/>
      <c r="AY21" s="263"/>
      <c r="AZ21" s="263"/>
      <c r="BA21" s="263"/>
      <c r="BB21" s="266"/>
      <c r="BC21" s="258"/>
      <c r="BD21" s="261"/>
      <c r="BE21" s="263"/>
      <c r="BF21" s="263"/>
      <c r="BG21" s="263"/>
      <c r="BH21" s="261"/>
      <c r="BI21" s="263"/>
      <c r="BJ21" s="263"/>
      <c r="BK21" s="263"/>
      <c r="BL21" s="266"/>
      <c r="BM21" s="258"/>
      <c r="BN21" s="261"/>
      <c r="BO21" s="263"/>
      <c r="BP21" s="263"/>
      <c r="BQ21" s="263"/>
      <c r="BR21" s="263"/>
      <c r="BS21" s="263"/>
      <c r="BT21" s="263"/>
      <c r="BU21" s="261"/>
      <c r="BV21" s="263"/>
      <c r="BW21" s="263"/>
      <c r="BX21" s="263"/>
      <c r="BY21" s="266"/>
      <c r="BZ21" s="263"/>
      <c r="CA21" s="263"/>
      <c r="CB21" s="281"/>
      <c r="CC21" s="281"/>
      <c r="CD21" s="258"/>
      <c r="CE21" s="261"/>
      <c r="CF21" s="266"/>
      <c r="CG21" s="274"/>
      <c r="CH21" s="266"/>
    </row>
    <row r="22" spans="1:86" ht="36.75" customHeight="1" thickBot="1" x14ac:dyDescent="0.25">
      <c r="B22" s="32"/>
      <c r="C22" s="272"/>
      <c r="D22" s="267"/>
      <c r="E22" s="259"/>
      <c r="F22" s="262"/>
      <c r="G22" s="264"/>
      <c r="H22" s="264"/>
      <c r="I22" s="264"/>
      <c r="J22" s="262"/>
      <c r="K22" s="264"/>
      <c r="L22" s="264"/>
      <c r="M22" s="264"/>
      <c r="N22" s="267"/>
      <c r="O22" s="259"/>
      <c r="P22" s="262"/>
      <c r="Q22" s="264"/>
      <c r="R22" s="264"/>
      <c r="S22" s="264"/>
      <c r="T22" s="262"/>
      <c r="U22" s="264"/>
      <c r="V22" s="264"/>
      <c r="W22" s="264"/>
      <c r="X22" s="267"/>
      <c r="Y22" s="259"/>
      <c r="Z22" s="262"/>
      <c r="AA22" s="264"/>
      <c r="AB22" s="264"/>
      <c r="AC22" s="264"/>
      <c r="AD22" s="262"/>
      <c r="AE22" s="264"/>
      <c r="AF22" s="264"/>
      <c r="AG22" s="264"/>
      <c r="AH22" s="267"/>
      <c r="AI22" s="259"/>
      <c r="AJ22" s="262"/>
      <c r="AK22" s="264"/>
      <c r="AL22" s="264"/>
      <c r="AM22" s="264"/>
      <c r="AN22" s="262"/>
      <c r="AO22" s="264"/>
      <c r="AP22" s="264"/>
      <c r="AQ22" s="264"/>
      <c r="AR22" s="267"/>
      <c r="AS22" s="259"/>
      <c r="AT22" s="262"/>
      <c r="AU22" s="264"/>
      <c r="AV22" s="264"/>
      <c r="AW22" s="264"/>
      <c r="AX22" s="262"/>
      <c r="AY22" s="264"/>
      <c r="AZ22" s="264"/>
      <c r="BA22" s="264"/>
      <c r="BB22" s="267"/>
      <c r="BC22" s="259"/>
      <c r="BD22" s="262"/>
      <c r="BE22" s="264"/>
      <c r="BF22" s="264"/>
      <c r="BG22" s="264"/>
      <c r="BH22" s="262"/>
      <c r="BI22" s="264"/>
      <c r="BJ22" s="264"/>
      <c r="BK22" s="264"/>
      <c r="BL22" s="267"/>
      <c r="BM22" s="259"/>
      <c r="BN22" s="262"/>
      <c r="BO22" s="264"/>
      <c r="BP22" s="264"/>
      <c r="BQ22" s="264"/>
      <c r="BR22" s="264"/>
      <c r="BS22" s="264"/>
      <c r="BT22" s="264"/>
      <c r="BU22" s="262"/>
      <c r="BV22" s="264"/>
      <c r="BW22" s="264"/>
      <c r="BX22" s="264"/>
      <c r="BY22" s="267"/>
      <c r="BZ22" s="264"/>
      <c r="CA22" s="264"/>
      <c r="CB22" s="282"/>
      <c r="CC22" s="282"/>
      <c r="CD22" s="259"/>
      <c r="CE22" s="262"/>
      <c r="CF22" s="267" t="s">
        <v>22</v>
      </c>
      <c r="CG22" s="275"/>
      <c r="CH22" s="267"/>
    </row>
    <row r="23" spans="1:86" ht="33.75" customHeight="1" thickBot="1" x14ac:dyDescent="0.25">
      <c r="C23" s="131"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35"/>
      <c r="CD23" s="3"/>
      <c r="CE23" s="3"/>
      <c r="CF23" s="12"/>
      <c r="CG23" s="39"/>
      <c r="CH23" s="33"/>
    </row>
    <row r="24" spans="1:86" ht="15" customHeight="1" thickBot="1" x14ac:dyDescent="0.25">
      <c r="A24" s="1">
        <v>1</v>
      </c>
      <c r="C24" s="7" t="s">
        <v>62</v>
      </c>
      <c r="D24" s="13">
        <v>1550</v>
      </c>
      <c r="E24" s="113"/>
      <c r="F24" s="114"/>
      <c r="G24" s="114"/>
      <c r="H24" s="114"/>
      <c r="I24" s="45">
        <f>E24+F24-G24+H24</f>
        <v>0</v>
      </c>
      <c r="J24" s="114"/>
      <c r="K24" s="114"/>
      <c r="L24" s="114"/>
      <c r="M24" s="114"/>
      <c r="N24" s="46">
        <f>J24+K24-L24+M24</f>
        <v>0</v>
      </c>
      <c r="O24" s="47">
        <f>I24</f>
        <v>0</v>
      </c>
      <c r="P24" s="114"/>
      <c r="Q24" s="114"/>
      <c r="R24" s="114"/>
      <c r="S24" s="45">
        <f>O24+P24-Q24+R24</f>
        <v>0</v>
      </c>
      <c r="T24" s="48">
        <f>N24</f>
        <v>0</v>
      </c>
      <c r="U24" s="114"/>
      <c r="V24" s="114"/>
      <c r="W24" s="114"/>
      <c r="X24" s="46">
        <f>T24+U24-V24+W24</f>
        <v>0</v>
      </c>
      <c r="Y24" s="47">
        <f>S24</f>
        <v>0</v>
      </c>
      <c r="Z24" s="114"/>
      <c r="AA24" s="114"/>
      <c r="AB24" s="114"/>
      <c r="AC24" s="45">
        <f>Y24+Z24-AA24+AB24</f>
        <v>0</v>
      </c>
      <c r="AD24" s="48">
        <f>X24</f>
        <v>0</v>
      </c>
      <c r="AE24" s="114"/>
      <c r="AF24" s="114"/>
      <c r="AG24" s="114"/>
      <c r="AH24" s="46">
        <f>AD24+AE24-AF24+AG24</f>
        <v>0</v>
      </c>
      <c r="AI24" s="47">
        <f>AC24</f>
        <v>0</v>
      </c>
      <c r="AJ24" s="114"/>
      <c r="AK24" s="114"/>
      <c r="AL24" s="114"/>
      <c r="AM24" s="45">
        <f>AI24+AJ24-AK24+AL24</f>
        <v>0</v>
      </c>
      <c r="AN24" s="48">
        <f>AH24</f>
        <v>0</v>
      </c>
      <c r="AO24" s="114"/>
      <c r="AP24" s="114"/>
      <c r="AQ24" s="114"/>
      <c r="AR24" s="46">
        <f>AN24+AO24-AP24+AQ24</f>
        <v>0</v>
      </c>
      <c r="AS24" s="47">
        <f>AM24</f>
        <v>0</v>
      </c>
      <c r="AT24" s="114"/>
      <c r="AU24" s="114"/>
      <c r="AV24" s="114"/>
      <c r="AW24" s="45">
        <f>AS24+AT24-AU24+AV24</f>
        <v>0</v>
      </c>
      <c r="AX24" s="48">
        <f>AR24</f>
        <v>0</v>
      </c>
      <c r="AY24" s="114"/>
      <c r="AZ24" s="114"/>
      <c r="BA24" s="114"/>
      <c r="BB24" s="46">
        <f>AX24+AY24-AZ24+BA24</f>
        <v>0</v>
      </c>
      <c r="BC24" s="47">
        <f>AW24</f>
        <v>0</v>
      </c>
      <c r="BD24" s="114"/>
      <c r="BE24" s="114"/>
      <c r="BF24" s="114"/>
      <c r="BG24" s="45">
        <f>BC24+BD24-BE24+BF24</f>
        <v>0</v>
      </c>
      <c r="BH24" s="48">
        <f>BB24</f>
        <v>0</v>
      </c>
      <c r="BI24" s="114"/>
      <c r="BJ24" s="114"/>
      <c r="BK24" s="114"/>
      <c r="BL24" s="46">
        <f>BH24+BI24-BJ24+BK24</f>
        <v>0</v>
      </c>
      <c r="BM24" s="47">
        <f>BG24</f>
        <v>0</v>
      </c>
      <c r="BN24" s="114"/>
      <c r="BO24" s="114"/>
      <c r="BP24" s="114"/>
      <c r="BQ24" s="114"/>
      <c r="BR24" s="114"/>
      <c r="BS24" s="114"/>
      <c r="BT24" s="45">
        <f>BM24+BN24-BO24+SUM(BP24:BS24)</f>
        <v>0</v>
      </c>
      <c r="BU24" s="48">
        <f>BL24</f>
        <v>0</v>
      </c>
      <c r="BV24" s="114"/>
      <c r="BW24" s="114"/>
      <c r="BX24" s="114"/>
      <c r="BY24" s="46">
        <f>BU24+BV24-BW24+BX24</f>
        <v>0</v>
      </c>
      <c r="BZ24" s="113"/>
      <c r="CA24" s="114"/>
      <c r="CB24" s="48">
        <f>BT24-BZ24</f>
        <v>0</v>
      </c>
      <c r="CC24" s="76">
        <f>BY24-CA24</f>
        <v>0</v>
      </c>
      <c r="CD24" s="115"/>
      <c r="CE24" s="114"/>
      <c r="CF24" s="49">
        <f>SUM(CB24:CE24)</f>
        <v>0</v>
      </c>
      <c r="CG24" s="116"/>
      <c r="CH24" s="49">
        <f>CG24-SUM(BT24,BY24)</f>
        <v>0</v>
      </c>
    </row>
    <row r="25" spans="1:86" ht="15" thickBot="1" x14ac:dyDescent="0.25">
      <c r="A25" s="1">
        <v>2</v>
      </c>
      <c r="C25" s="15" t="s">
        <v>1</v>
      </c>
      <c r="D25" s="13">
        <v>1580</v>
      </c>
      <c r="E25" s="113"/>
      <c r="F25" s="114">
        <v>635495</v>
      </c>
      <c r="G25" s="114"/>
      <c r="H25" s="114"/>
      <c r="I25" s="45">
        <f t="shared" ref="I25:I32" si="0">E25+F25-G25+H25</f>
        <v>635495</v>
      </c>
      <c r="J25" s="114"/>
      <c r="K25" s="114">
        <v>236912</v>
      </c>
      <c r="L25" s="114"/>
      <c r="M25" s="114"/>
      <c r="N25" s="46">
        <f t="shared" ref="N25:N32" si="1">J25+K25-L25+M25</f>
        <v>236912</v>
      </c>
      <c r="O25" s="47">
        <f t="shared" ref="O25:O32" si="2">I25</f>
        <v>635495</v>
      </c>
      <c r="P25" s="114">
        <v>-1141208</v>
      </c>
      <c r="Q25" s="114"/>
      <c r="R25" s="114"/>
      <c r="S25" s="45">
        <f t="shared" ref="S25:S32" si="3">O25+P25-Q25+R25</f>
        <v>-505713</v>
      </c>
      <c r="T25" s="48">
        <f t="shared" ref="T25:T32" si="4">N25</f>
        <v>236912</v>
      </c>
      <c r="U25" s="114">
        <v>-214854</v>
      </c>
      <c r="V25" s="114"/>
      <c r="W25" s="114"/>
      <c r="X25" s="46">
        <f t="shared" ref="X25:X32" si="5">T25+U25-V25+W25</f>
        <v>22058</v>
      </c>
      <c r="Y25" s="47">
        <f t="shared" ref="Y25:Y32" si="6">S25</f>
        <v>-505713</v>
      </c>
      <c r="Z25" s="114">
        <v>-1492638</v>
      </c>
      <c r="AA25" s="114"/>
      <c r="AB25" s="114"/>
      <c r="AC25" s="45">
        <f t="shared" ref="AC25:AC32" si="7">Y25+Z25-AA25+AB25</f>
        <v>-1998351</v>
      </c>
      <c r="AD25" s="48">
        <f t="shared" ref="AD25:AD32" si="8">X25</f>
        <v>22058</v>
      </c>
      <c r="AE25" s="114">
        <v>-57304</v>
      </c>
      <c r="AF25" s="114"/>
      <c r="AG25" s="114"/>
      <c r="AH25" s="46">
        <f t="shared" ref="AH25:AH32" si="9">AD25+AE25-AF25+AG25</f>
        <v>-35246</v>
      </c>
      <c r="AI25" s="47">
        <f t="shared" ref="AI25:AI32" si="10">AC25</f>
        <v>-1998351</v>
      </c>
      <c r="AJ25" s="114">
        <v>-683130</v>
      </c>
      <c r="AK25" s="114"/>
      <c r="AL25" s="114"/>
      <c r="AM25" s="45">
        <f t="shared" ref="AM25:AM32" si="11">AI25+AJ25-AK25+AL25</f>
        <v>-2681481</v>
      </c>
      <c r="AN25" s="48">
        <f t="shared" ref="AN25:AN32" si="12">AH25</f>
        <v>-35246</v>
      </c>
      <c r="AO25" s="114">
        <v>-93518</v>
      </c>
      <c r="AP25" s="114"/>
      <c r="AQ25" s="114"/>
      <c r="AR25" s="46">
        <f t="shared" ref="AR25:AR32" si="13">AN25+AO25-AP25+AQ25</f>
        <v>-128764</v>
      </c>
      <c r="AS25" s="47">
        <f t="shared" ref="AS25:AS32" si="14">AM25</f>
        <v>-2681481</v>
      </c>
      <c r="AT25" s="114">
        <v>-304563</v>
      </c>
      <c r="AU25" s="114">
        <v>-1998351</v>
      </c>
      <c r="AV25" s="114"/>
      <c r="AW25" s="45">
        <f t="shared" ref="AW25:AW32" si="15">AS25+AT25-AU25+AV25</f>
        <v>-987693</v>
      </c>
      <c r="AX25" s="48">
        <f t="shared" ref="AX25:AX32" si="16">AR25</f>
        <v>-128764</v>
      </c>
      <c r="AY25" s="114">
        <v>-26940</v>
      </c>
      <c r="AZ25" s="114">
        <v>-131101</v>
      </c>
      <c r="BA25" s="114"/>
      <c r="BB25" s="46">
        <f t="shared" ref="BB25:BB32" si="17">AX25+AY25-AZ25+BA25</f>
        <v>-24603</v>
      </c>
      <c r="BC25" s="47">
        <f t="shared" ref="BC25:BC32" si="18">AW25</f>
        <v>-987693</v>
      </c>
      <c r="BD25" s="114">
        <v>-1056767</v>
      </c>
      <c r="BE25" s="114">
        <v>-683131</v>
      </c>
      <c r="BF25" s="114"/>
      <c r="BG25" s="45">
        <f t="shared" ref="BG25:BG33" si="19">BC25+BD25-BE25+SUM(BF25:BF25)</f>
        <v>-1361329</v>
      </c>
      <c r="BH25" s="48">
        <f t="shared" ref="BH25:BH32" si="20">BB25</f>
        <v>-24603</v>
      </c>
      <c r="BI25" s="114">
        <v>-8574</v>
      </c>
      <c r="BJ25" s="114">
        <v>-6622</v>
      </c>
      <c r="BK25" s="114"/>
      <c r="BL25" s="46">
        <f t="shared" ref="BL25:BL32" si="21">BH25+BI25-BJ25+BK25</f>
        <v>-26555</v>
      </c>
      <c r="BM25" s="47">
        <f t="shared" ref="BM25:BM30" si="22">BG25</f>
        <v>-1361329</v>
      </c>
      <c r="BN25" s="114">
        <v>-1433362.27</v>
      </c>
      <c r="BO25" s="114">
        <v>-304562</v>
      </c>
      <c r="BP25" s="114"/>
      <c r="BQ25" s="114"/>
      <c r="BR25" s="114"/>
      <c r="BS25" s="114"/>
      <c r="BT25" s="45">
        <f t="shared" ref="BT25:BT32" si="23">BM25+BN25-BO25+SUM(BP25:BS25)</f>
        <v>-2490129.27</v>
      </c>
      <c r="BU25" s="48">
        <f t="shared" ref="BU25:BU30" si="24">BL25</f>
        <v>-26555</v>
      </c>
      <c r="BV25" s="114">
        <v>-26237.81</v>
      </c>
      <c r="BW25" s="114">
        <v>-21069</v>
      </c>
      <c r="BX25" s="114"/>
      <c r="BY25" s="46">
        <f t="shared" ref="BY25:BY32" si="25">BU25+BV25-BW25+BX25</f>
        <v>-31723.809999999998</v>
      </c>
      <c r="BZ25" s="114">
        <v>-1056767</v>
      </c>
      <c r="CA25" s="114">
        <v>-22513</v>
      </c>
      <c r="CB25" s="48">
        <f t="shared" ref="CB25:CB32" si="26">BT25-BZ25</f>
        <v>-1433362.27</v>
      </c>
      <c r="CC25" s="76">
        <f t="shared" ref="CC25:CC32" si="27">BY25-CA25</f>
        <v>-9210.8099999999977</v>
      </c>
      <c r="CD25" s="115">
        <f>CB25*0.0147</f>
        <v>-21070.425369000001</v>
      </c>
      <c r="CE25" s="114">
        <f>CB25*0.0049</f>
        <v>-7023.4751230000002</v>
      </c>
      <c r="CF25" s="49">
        <f t="shared" ref="CF25:CF88" si="28">SUM(CB25:CE25)</f>
        <v>-1470666.9804920002</v>
      </c>
      <c r="CG25" s="116">
        <v>-2521860.5699999998</v>
      </c>
      <c r="CH25" s="49">
        <f t="shared" ref="CH25:CH88" si="29">CG25-SUM(BT25,BY25)</f>
        <v>-7.4899999997578561</v>
      </c>
    </row>
    <row r="26" spans="1:86" ht="15" thickBot="1" x14ac:dyDescent="0.25">
      <c r="A26" s="1">
        <v>3</v>
      </c>
      <c r="C26" s="15" t="s">
        <v>2</v>
      </c>
      <c r="D26" s="13">
        <v>1584</v>
      </c>
      <c r="E26" s="113"/>
      <c r="F26" s="114">
        <v>-755027</v>
      </c>
      <c r="G26" s="114"/>
      <c r="H26" s="114"/>
      <c r="I26" s="45">
        <f t="shared" si="0"/>
        <v>-755027</v>
      </c>
      <c r="J26" s="114"/>
      <c r="K26" s="114">
        <v>-328273</v>
      </c>
      <c r="L26" s="114"/>
      <c r="M26" s="114"/>
      <c r="N26" s="46">
        <f t="shared" si="1"/>
        <v>-328273</v>
      </c>
      <c r="O26" s="47">
        <f t="shared" si="2"/>
        <v>-755027</v>
      </c>
      <c r="P26" s="114">
        <v>-139206</v>
      </c>
      <c r="Q26" s="114"/>
      <c r="R26" s="114"/>
      <c r="S26" s="45">
        <f t="shared" si="3"/>
        <v>-894233</v>
      </c>
      <c r="T26" s="48">
        <f t="shared" si="4"/>
        <v>-328273</v>
      </c>
      <c r="U26" s="114">
        <v>249630</v>
      </c>
      <c r="V26" s="114"/>
      <c r="W26" s="114"/>
      <c r="X26" s="46">
        <f t="shared" si="5"/>
        <v>-78643</v>
      </c>
      <c r="Y26" s="47">
        <f t="shared" si="6"/>
        <v>-894233</v>
      </c>
      <c r="Z26" s="114">
        <v>360812</v>
      </c>
      <c r="AA26" s="114"/>
      <c r="AB26" s="114"/>
      <c r="AC26" s="45">
        <f t="shared" si="7"/>
        <v>-533421</v>
      </c>
      <c r="AD26" s="48">
        <f t="shared" si="8"/>
        <v>-78643</v>
      </c>
      <c r="AE26" s="114">
        <v>-33667</v>
      </c>
      <c r="AF26" s="114"/>
      <c r="AG26" s="114"/>
      <c r="AH26" s="46">
        <f t="shared" si="9"/>
        <v>-112310</v>
      </c>
      <c r="AI26" s="47">
        <f t="shared" si="10"/>
        <v>-533421</v>
      </c>
      <c r="AJ26" s="114">
        <v>-295323</v>
      </c>
      <c r="AK26" s="114"/>
      <c r="AL26" s="114"/>
      <c r="AM26" s="45">
        <f t="shared" si="11"/>
        <v>-828744</v>
      </c>
      <c r="AN26" s="48">
        <f t="shared" si="12"/>
        <v>-112310</v>
      </c>
      <c r="AO26" s="114">
        <v>-31738</v>
      </c>
      <c r="AP26" s="114"/>
      <c r="AQ26" s="114"/>
      <c r="AR26" s="46">
        <f t="shared" si="13"/>
        <v>-144048</v>
      </c>
      <c r="AS26" s="47">
        <f t="shared" si="14"/>
        <v>-828744</v>
      </c>
      <c r="AT26" s="114">
        <v>594149</v>
      </c>
      <c r="AU26" s="114">
        <v>-533421</v>
      </c>
      <c r="AV26" s="114"/>
      <c r="AW26" s="45">
        <f t="shared" si="15"/>
        <v>298826</v>
      </c>
      <c r="AX26" s="48">
        <f t="shared" si="16"/>
        <v>-144048</v>
      </c>
      <c r="AY26" s="114">
        <v>-5670</v>
      </c>
      <c r="AZ26" s="114">
        <v>-137896</v>
      </c>
      <c r="BA26" s="114"/>
      <c r="BB26" s="46">
        <f t="shared" si="17"/>
        <v>-11822</v>
      </c>
      <c r="BC26" s="47">
        <f t="shared" si="18"/>
        <v>298826</v>
      </c>
      <c r="BD26" s="114">
        <v>121573</v>
      </c>
      <c r="BE26" s="114">
        <v>-295323</v>
      </c>
      <c r="BF26" s="114"/>
      <c r="BG26" s="45">
        <f t="shared" si="19"/>
        <v>715722</v>
      </c>
      <c r="BH26" s="48">
        <f t="shared" si="20"/>
        <v>-11822</v>
      </c>
      <c r="BI26" s="114">
        <v>5173</v>
      </c>
      <c r="BJ26" s="114">
        <v>-10025</v>
      </c>
      <c r="BK26" s="114"/>
      <c r="BL26" s="46">
        <f t="shared" si="21"/>
        <v>3376</v>
      </c>
      <c r="BM26" s="47">
        <f t="shared" si="22"/>
        <v>715722</v>
      </c>
      <c r="BN26" s="114">
        <v>-240714.47</v>
      </c>
      <c r="BO26" s="114">
        <v>594149</v>
      </c>
      <c r="BP26" s="114"/>
      <c r="BQ26" s="114"/>
      <c r="BR26" s="114"/>
      <c r="BS26" s="114"/>
      <c r="BT26" s="45">
        <f t="shared" si="23"/>
        <v>-119141.46999999997</v>
      </c>
      <c r="BU26" s="48">
        <f t="shared" si="24"/>
        <v>3376</v>
      </c>
      <c r="BV26" s="114">
        <v>5429.43</v>
      </c>
      <c r="BW26" s="114">
        <v>4228</v>
      </c>
      <c r="BX26" s="114"/>
      <c r="BY26" s="46">
        <f t="shared" si="25"/>
        <v>4577.43</v>
      </c>
      <c r="BZ26" s="114">
        <v>121573</v>
      </c>
      <c r="CA26" s="114">
        <v>3846</v>
      </c>
      <c r="CB26" s="48">
        <f t="shared" si="26"/>
        <v>-240714.46999999997</v>
      </c>
      <c r="CC26" s="76">
        <f t="shared" si="27"/>
        <v>731.43000000000029</v>
      </c>
      <c r="CD26" s="115">
        <f t="shared" ref="CD26:CD33" si="30">CB26*0.0147</f>
        <v>-3538.5027089999994</v>
      </c>
      <c r="CE26" s="114">
        <f t="shared" ref="CE26:CE33" si="31">CB26*0.0049</f>
        <v>-1179.5009029999999</v>
      </c>
      <c r="CF26" s="49">
        <f t="shared" si="28"/>
        <v>-244701.04361199998</v>
      </c>
      <c r="CG26" s="116">
        <v>-114563.07</v>
      </c>
      <c r="CH26" s="49">
        <f t="shared" si="29"/>
        <v>0.96999999997206032</v>
      </c>
    </row>
    <row r="27" spans="1:86" ht="15" thickBot="1" x14ac:dyDescent="0.25">
      <c r="A27" s="1">
        <v>4</v>
      </c>
      <c r="C27" s="15" t="s">
        <v>3</v>
      </c>
      <c r="D27" s="13">
        <v>1586</v>
      </c>
      <c r="E27" s="113"/>
      <c r="F27" s="114">
        <v>-1532891</v>
      </c>
      <c r="G27" s="114"/>
      <c r="H27" s="114"/>
      <c r="I27" s="45">
        <f t="shared" si="0"/>
        <v>-1532891</v>
      </c>
      <c r="J27" s="114"/>
      <c r="K27" s="114">
        <v>-698187</v>
      </c>
      <c r="L27" s="114"/>
      <c r="M27" s="114"/>
      <c r="N27" s="46">
        <f t="shared" si="1"/>
        <v>-698187</v>
      </c>
      <c r="O27" s="47">
        <f t="shared" si="2"/>
        <v>-1532891</v>
      </c>
      <c r="P27" s="114">
        <v>-69456</v>
      </c>
      <c r="Q27" s="114"/>
      <c r="R27" s="114"/>
      <c r="S27" s="45">
        <f t="shared" si="3"/>
        <v>-1602347</v>
      </c>
      <c r="T27" s="48">
        <f t="shared" si="4"/>
        <v>-698187</v>
      </c>
      <c r="U27" s="114">
        <v>541932</v>
      </c>
      <c r="V27" s="114"/>
      <c r="W27" s="114"/>
      <c r="X27" s="46">
        <f t="shared" si="5"/>
        <v>-156255</v>
      </c>
      <c r="Y27" s="47">
        <f t="shared" si="6"/>
        <v>-1602347</v>
      </c>
      <c r="Z27" s="114">
        <v>1181188</v>
      </c>
      <c r="AA27" s="114"/>
      <c r="AB27" s="114"/>
      <c r="AC27" s="45">
        <f t="shared" si="7"/>
        <v>-421159</v>
      </c>
      <c r="AD27" s="48">
        <f t="shared" si="8"/>
        <v>-156255</v>
      </c>
      <c r="AE27" s="114">
        <v>-50026</v>
      </c>
      <c r="AF27" s="114"/>
      <c r="AG27" s="114"/>
      <c r="AH27" s="46">
        <f t="shared" si="9"/>
        <v>-206281</v>
      </c>
      <c r="AI27" s="47">
        <f t="shared" si="10"/>
        <v>-421159</v>
      </c>
      <c r="AJ27" s="114">
        <v>1097480</v>
      </c>
      <c r="AK27" s="114"/>
      <c r="AL27" s="114"/>
      <c r="AM27" s="45">
        <f t="shared" si="11"/>
        <v>676321</v>
      </c>
      <c r="AN27" s="48">
        <f t="shared" si="12"/>
        <v>-206281</v>
      </c>
      <c r="AO27" s="114">
        <v>290</v>
      </c>
      <c r="AP27" s="114"/>
      <c r="AQ27" s="114"/>
      <c r="AR27" s="46">
        <f t="shared" si="13"/>
        <v>-205991</v>
      </c>
      <c r="AS27" s="47">
        <f t="shared" si="14"/>
        <v>676321</v>
      </c>
      <c r="AT27" s="114">
        <v>855382</v>
      </c>
      <c r="AU27" s="114">
        <v>-421158</v>
      </c>
      <c r="AV27" s="114"/>
      <c r="AW27" s="45">
        <f t="shared" si="15"/>
        <v>1952861</v>
      </c>
      <c r="AX27" s="48">
        <f t="shared" si="16"/>
        <v>-205991</v>
      </c>
      <c r="AY27" s="114">
        <v>12795</v>
      </c>
      <c r="AZ27" s="114">
        <v>-226482</v>
      </c>
      <c r="BA27" s="114"/>
      <c r="BB27" s="46">
        <f t="shared" si="17"/>
        <v>33286</v>
      </c>
      <c r="BC27" s="47">
        <f t="shared" si="18"/>
        <v>1952861</v>
      </c>
      <c r="BD27" s="114">
        <v>10637</v>
      </c>
      <c r="BE27" s="114">
        <v>1097480</v>
      </c>
      <c r="BF27" s="114"/>
      <c r="BG27" s="45">
        <f t="shared" si="19"/>
        <v>866018</v>
      </c>
      <c r="BH27" s="48">
        <f t="shared" si="20"/>
        <v>33286</v>
      </c>
      <c r="BI27" s="114">
        <v>9403</v>
      </c>
      <c r="BJ27" s="114">
        <v>34885</v>
      </c>
      <c r="BK27" s="114"/>
      <c r="BL27" s="46">
        <f t="shared" si="21"/>
        <v>7804</v>
      </c>
      <c r="BM27" s="47">
        <f t="shared" si="22"/>
        <v>866018</v>
      </c>
      <c r="BN27" s="114">
        <v>-428514.68</v>
      </c>
      <c r="BO27" s="114">
        <v>855382</v>
      </c>
      <c r="BP27" s="114"/>
      <c r="BQ27" s="114"/>
      <c r="BR27" s="114"/>
      <c r="BS27" s="114"/>
      <c r="BT27" s="45">
        <f t="shared" si="23"/>
        <v>-417878.68</v>
      </c>
      <c r="BU27" s="48">
        <f t="shared" si="24"/>
        <v>7804</v>
      </c>
      <c r="BV27" s="114">
        <v>4669.3100000000004</v>
      </c>
      <c r="BW27" s="114">
        <v>7075</v>
      </c>
      <c r="BX27" s="114"/>
      <c r="BY27" s="46">
        <f t="shared" si="25"/>
        <v>5398.3100000000013</v>
      </c>
      <c r="BZ27" s="114">
        <v>10636</v>
      </c>
      <c r="CA27" s="114">
        <v>5077</v>
      </c>
      <c r="CB27" s="48">
        <f t="shared" si="26"/>
        <v>-428514.68</v>
      </c>
      <c r="CC27" s="76">
        <f t="shared" si="27"/>
        <v>321.31000000000131</v>
      </c>
      <c r="CD27" s="115">
        <f t="shared" si="30"/>
        <v>-6299.1657959999993</v>
      </c>
      <c r="CE27" s="114">
        <f t="shared" si="31"/>
        <v>-2099.7219319999999</v>
      </c>
      <c r="CF27" s="49">
        <f t="shared" si="28"/>
        <v>-436592.257728</v>
      </c>
      <c r="CG27" s="116">
        <v>-412479.7</v>
      </c>
      <c r="CH27" s="49">
        <f>CG27-SUM(BT27,BY27)</f>
        <v>0.66999999998370185</v>
      </c>
    </row>
    <row r="28" spans="1:86" ht="15" thickBot="1" x14ac:dyDescent="0.25">
      <c r="A28" s="1">
        <v>5</v>
      </c>
      <c r="C28" s="15" t="s">
        <v>138</v>
      </c>
      <c r="D28" s="13">
        <v>1588</v>
      </c>
      <c r="E28" s="113"/>
      <c r="F28" s="114">
        <v>-1181923</v>
      </c>
      <c r="G28" s="114"/>
      <c r="H28" s="114"/>
      <c r="I28" s="45">
        <f t="shared" si="0"/>
        <v>-1181923</v>
      </c>
      <c r="J28" s="114"/>
      <c r="K28" s="114">
        <v>665197</v>
      </c>
      <c r="L28" s="114"/>
      <c r="M28" s="114"/>
      <c r="N28" s="46">
        <f t="shared" si="1"/>
        <v>665197</v>
      </c>
      <c r="O28" s="47">
        <f t="shared" si="2"/>
        <v>-1181923</v>
      </c>
      <c r="P28" s="114">
        <v>1386667</v>
      </c>
      <c r="Q28" s="114"/>
      <c r="R28" s="114"/>
      <c r="S28" s="45">
        <f t="shared" si="3"/>
        <v>204744</v>
      </c>
      <c r="T28" s="48">
        <f t="shared" si="4"/>
        <v>665197</v>
      </c>
      <c r="U28" s="114">
        <v>-687249</v>
      </c>
      <c r="V28" s="114"/>
      <c r="W28" s="114"/>
      <c r="X28" s="46">
        <f t="shared" si="5"/>
        <v>-22052</v>
      </c>
      <c r="Y28" s="47">
        <f t="shared" si="6"/>
        <v>204744</v>
      </c>
      <c r="Z28" s="114">
        <v>-334602</v>
      </c>
      <c r="AA28" s="114"/>
      <c r="AB28" s="114"/>
      <c r="AC28" s="45">
        <f t="shared" si="7"/>
        <v>-129858</v>
      </c>
      <c r="AD28" s="48">
        <f t="shared" si="8"/>
        <v>-22052</v>
      </c>
      <c r="AE28" s="114">
        <v>-32995</v>
      </c>
      <c r="AF28" s="114"/>
      <c r="AG28" s="114"/>
      <c r="AH28" s="46">
        <f t="shared" si="9"/>
        <v>-55047</v>
      </c>
      <c r="AI28" s="47">
        <f t="shared" si="10"/>
        <v>-129858</v>
      </c>
      <c r="AJ28" s="114">
        <v>-1162637</v>
      </c>
      <c r="AK28" s="114"/>
      <c r="AL28" s="114"/>
      <c r="AM28" s="45">
        <f t="shared" si="11"/>
        <v>-1292495</v>
      </c>
      <c r="AN28" s="48">
        <f t="shared" si="12"/>
        <v>-55047</v>
      </c>
      <c r="AO28" s="114">
        <v>-41370</v>
      </c>
      <c r="AP28" s="114"/>
      <c r="AQ28" s="114"/>
      <c r="AR28" s="46">
        <f t="shared" si="13"/>
        <v>-96417</v>
      </c>
      <c r="AS28" s="47">
        <f t="shared" si="14"/>
        <v>-1292495</v>
      </c>
      <c r="AT28" s="114">
        <v>-136474</v>
      </c>
      <c r="AU28" s="114">
        <v>-129857</v>
      </c>
      <c r="AV28" s="114"/>
      <c r="AW28" s="45">
        <f t="shared" si="15"/>
        <v>-1299112</v>
      </c>
      <c r="AX28" s="48">
        <f t="shared" si="16"/>
        <v>-96417</v>
      </c>
      <c r="AY28" s="114">
        <v>-22830</v>
      </c>
      <c r="AZ28" s="114">
        <v>-45375</v>
      </c>
      <c r="BA28" s="114"/>
      <c r="BB28" s="46">
        <f t="shared" si="17"/>
        <v>-73872</v>
      </c>
      <c r="BC28" s="47">
        <f t="shared" si="18"/>
        <v>-1299112</v>
      </c>
      <c r="BD28" s="114">
        <v>-996739</v>
      </c>
      <c r="BE28" s="114">
        <v>-1162638</v>
      </c>
      <c r="BF28" s="114"/>
      <c r="BG28" s="45">
        <f t="shared" si="19"/>
        <v>-1133213</v>
      </c>
      <c r="BH28" s="48">
        <f t="shared" si="20"/>
        <v>-73872</v>
      </c>
      <c r="BI28" s="114">
        <v>-10264</v>
      </c>
      <c r="BJ28" s="114">
        <v>-66291</v>
      </c>
      <c r="BK28" s="114"/>
      <c r="BL28" s="46">
        <f t="shared" si="21"/>
        <v>-17845</v>
      </c>
      <c r="BM28" s="47">
        <f t="shared" si="22"/>
        <v>-1133213</v>
      </c>
      <c r="BN28" s="114">
        <v>-1182401.51</v>
      </c>
      <c r="BO28" s="114">
        <v>-136474</v>
      </c>
      <c r="BP28" s="114"/>
      <c r="BQ28" s="114"/>
      <c r="BR28" s="114"/>
      <c r="BS28" s="114"/>
      <c r="BT28" s="45">
        <f t="shared" si="23"/>
        <v>-2179140.5099999998</v>
      </c>
      <c r="BU28" s="48">
        <f t="shared" si="24"/>
        <v>-17845</v>
      </c>
      <c r="BV28" s="114">
        <f>-7575.02-5628</f>
        <v>-13203.02</v>
      </c>
      <c r="BW28" s="114">
        <v>-8965</v>
      </c>
      <c r="BX28" s="114"/>
      <c r="BY28" s="46">
        <f t="shared" si="25"/>
        <v>-22083.02</v>
      </c>
      <c r="BZ28" s="114">
        <v>-996739</v>
      </c>
      <c r="CA28" s="114">
        <v>-24201</v>
      </c>
      <c r="CB28" s="48">
        <f t="shared" si="26"/>
        <v>-1182401.5099999998</v>
      </c>
      <c r="CC28" s="76">
        <f t="shared" si="27"/>
        <v>2117.9799999999996</v>
      </c>
      <c r="CD28" s="115">
        <f t="shared" si="30"/>
        <v>-17381.302196999997</v>
      </c>
      <c r="CE28" s="114">
        <f t="shared" si="31"/>
        <v>-5793.7673989999985</v>
      </c>
      <c r="CF28" s="49">
        <f t="shared" si="28"/>
        <v>-1203458.5995959998</v>
      </c>
      <c r="CG28" s="116">
        <v>-2200801.2799999998</v>
      </c>
      <c r="CH28" s="49">
        <f>CG28-SUM(BT28,BY28)</f>
        <v>422.25</v>
      </c>
    </row>
    <row r="29" spans="1:86" ht="15" thickBot="1" x14ac:dyDescent="0.25">
      <c r="A29" s="1">
        <v>6</v>
      </c>
      <c r="C29" s="15" t="s">
        <v>144</v>
      </c>
      <c r="D29" s="13">
        <v>1588</v>
      </c>
      <c r="E29" s="113"/>
      <c r="F29" s="114">
        <v>124098</v>
      </c>
      <c r="G29" s="114"/>
      <c r="H29" s="114"/>
      <c r="I29" s="45">
        <f t="shared" si="0"/>
        <v>124098</v>
      </c>
      <c r="J29" s="114"/>
      <c r="K29" s="114">
        <v>-10221</v>
      </c>
      <c r="L29" s="114"/>
      <c r="M29" s="114"/>
      <c r="N29" s="46">
        <f t="shared" si="1"/>
        <v>-10221</v>
      </c>
      <c r="O29" s="47">
        <f t="shared" si="2"/>
        <v>124098</v>
      </c>
      <c r="P29" s="114">
        <v>-119268</v>
      </c>
      <c r="Q29" s="114"/>
      <c r="R29" s="114"/>
      <c r="S29" s="45">
        <f t="shared" si="3"/>
        <v>4830</v>
      </c>
      <c r="T29" s="48">
        <f t="shared" si="4"/>
        <v>-10221</v>
      </c>
      <c r="U29" s="114">
        <v>-780</v>
      </c>
      <c r="V29" s="114"/>
      <c r="W29" s="114"/>
      <c r="X29" s="46">
        <f t="shared" si="5"/>
        <v>-11001</v>
      </c>
      <c r="Y29" s="47">
        <f t="shared" si="6"/>
        <v>4830</v>
      </c>
      <c r="Z29" s="114">
        <v>326650</v>
      </c>
      <c r="AA29" s="114"/>
      <c r="AB29" s="114"/>
      <c r="AC29" s="45">
        <f t="shared" si="7"/>
        <v>331480</v>
      </c>
      <c r="AD29" s="48">
        <f t="shared" si="8"/>
        <v>-11001</v>
      </c>
      <c r="AE29" s="114">
        <v>14006</v>
      </c>
      <c r="AF29" s="114"/>
      <c r="AG29" s="114"/>
      <c r="AH29" s="46">
        <f t="shared" si="9"/>
        <v>3005</v>
      </c>
      <c r="AI29" s="47">
        <f t="shared" si="10"/>
        <v>331480</v>
      </c>
      <c r="AJ29" s="114">
        <v>-58411</v>
      </c>
      <c r="AK29" s="114"/>
      <c r="AL29" s="114"/>
      <c r="AM29" s="45">
        <f t="shared" si="11"/>
        <v>273069</v>
      </c>
      <c r="AN29" s="48">
        <f t="shared" si="12"/>
        <v>3005</v>
      </c>
      <c r="AO29" s="114">
        <v>11723</v>
      </c>
      <c r="AP29" s="114"/>
      <c r="AQ29" s="114"/>
      <c r="AR29" s="46">
        <f t="shared" si="13"/>
        <v>14728</v>
      </c>
      <c r="AS29" s="47">
        <f t="shared" si="14"/>
        <v>273069</v>
      </c>
      <c r="AT29" s="114">
        <v>1702492</v>
      </c>
      <c r="AU29" s="114">
        <v>331479</v>
      </c>
      <c r="AV29" s="114"/>
      <c r="AW29" s="45">
        <f t="shared" si="15"/>
        <v>1644082</v>
      </c>
      <c r="AX29" s="48">
        <f t="shared" si="16"/>
        <v>14728</v>
      </c>
      <c r="AY29" s="114">
        <v>14643</v>
      </c>
      <c r="AZ29" s="114">
        <v>3004</v>
      </c>
      <c r="BA29" s="114"/>
      <c r="BB29" s="46">
        <f t="shared" si="17"/>
        <v>26367</v>
      </c>
      <c r="BC29" s="47">
        <f t="shared" si="18"/>
        <v>1644082</v>
      </c>
      <c r="BD29" s="114">
        <v>-137012</v>
      </c>
      <c r="BE29" s="114">
        <v>-58411</v>
      </c>
      <c r="BF29" s="114"/>
      <c r="BG29" s="45">
        <f t="shared" si="19"/>
        <v>1565481</v>
      </c>
      <c r="BH29" s="48">
        <f t="shared" si="20"/>
        <v>26367</v>
      </c>
      <c r="BI29" s="114">
        <v>9855</v>
      </c>
      <c r="BJ29" s="114">
        <v>10958</v>
      </c>
      <c r="BK29" s="114"/>
      <c r="BL29" s="46">
        <f t="shared" si="21"/>
        <v>25264</v>
      </c>
      <c r="BM29" s="47">
        <f t="shared" si="22"/>
        <v>1565481</v>
      </c>
      <c r="BN29" s="114">
        <v>996188.83</v>
      </c>
      <c r="BO29" s="114">
        <v>1702492</v>
      </c>
      <c r="BP29" s="114"/>
      <c r="BQ29" s="114"/>
      <c r="BR29" s="114"/>
      <c r="BS29" s="114"/>
      <c r="BT29" s="45">
        <f>BM29+BN29-BO29+SUM(BP29:BS29)</f>
        <v>859177.83000000007</v>
      </c>
      <c r="BU29" s="48">
        <f t="shared" si="24"/>
        <v>25264</v>
      </c>
      <c r="BV29" s="114">
        <v>13035.94</v>
      </c>
      <c r="BW29" s="114">
        <v>32672</v>
      </c>
      <c r="BX29" s="114"/>
      <c r="BY29" s="46">
        <f t="shared" si="25"/>
        <v>5627.9400000000023</v>
      </c>
      <c r="BZ29" s="114">
        <v>-137011</v>
      </c>
      <c r="CA29" s="114">
        <v>-1080</v>
      </c>
      <c r="CB29" s="48">
        <f t="shared" si="26"/>
        <v>996188.83000000007</v>
      </c>
      <c r="CC29" s="76">
        <f t="shared" si="27"/>
        <v>6707.9400000000023</v>
      </c>
      <c r="CD29" s="115">
        <f t="shared" si="30"/>
        <v>14643.975801000001</v>
      </c>
      <c r="CE29" s="114">
        <f t="shared" si="31"/>
        <v>4881.3252670000002</v>
      </c>
      <c r="CF29" s="49">
        <f t="shared" si="28"/>
        <v>1022422.071068</v>
      </c>
      <c r="CG29" s="116">
        <v>864805.77</v>
      </c>
      <c r="CH29" s="49">
        <f t="shared" si="29"/>
        <v>0</v>
      </c>
    </row>
    <row r="30" spans="1:86" ht="15" thickBot="1" x14ac:dyDescent="0.25">
      <c r="A30" s="1">
        <v>7</v>
      </c>
      <c r="C30" s="7" t="s">
        <v>19</v>
      </c>
      <c r="D30" s="13">
        <v>1590</v>
      </c>
      <c r="E30" s="113"/>
      <c r="F30" s="114">
        <v>-152792</v>
      </c>
      <c r="G30" s="114"/>
      <c r="H30" s="114"/>
      <c r="I30" s="45">
        <f t="shared" si="0"/>
        <v>-152792</v>
      </c>
      <c r="J30" s="114"/>
      <c r="K30" s="114">
        <v>-45517</v>
      </c>
      <c r="L30" s="114"/>
      <c r="M30" s="114"/>
      <c r="N30" s="46">
        <f t="shared" si="1"/>
        <v>-45517</v>
      </c>
      <c r="O30" s="47">
        <f t="shared" si="2"/>
        <v>-152792</v>
      </c>
      <c r="P30" s="114">
        <v>161436</v>
      </c>
      <c r="Q30" s="114"/>
      <c r="R30" s="114">
        <v>286263</v>
      </c>
      <c r="S30" s="45">
        <f t="shared" si="3"/>
        <v>294907</v>
      </c>
      <c r="T30" s="48">
        <f t="shared" si="4"/>
        <v>-45517</v>
      </c>
      <c r="U30" s="114">
        <v>10437</v>
      </c>
      <c r="V30" s="114"/>
      <c r="W30" s="114">
        <v>275664</v>
      </c>
      <c r="X30" s="46">
        <f t="shared" si="5"/>
        <v>240584</v>
      </c>
      <c r="Y30" s="47">
        <f t="shared" si="6"/>
        <v>294907</v>
      </c>
      <c r="Z30" s="114">
        <v>-279143</v>
      </c>
      <c r="AA30" s="114"/>
      <c r="AB30" s="114"/>
      <c r="AC30" s="45">
        <f t="shared" si="7"/>
        <v>15764</v>
      </c>
      <c r="AD30" s="48">
        <f t="shared" si="8"/>
        <v>240584</v>
      </c>
      <c r="AE30" s="114">
        <v>7265</v>
      </c>
      <c r="AF30" s="114"/>
      <c r="AG30" s="114"/>
      <c r="AH30" s="46">
        <f t="shared" si="9"/>
        <v>247849</v>
      </c>
      <c r="AI30" s="47">
        <f t="shared" si="10"/>
        <v>15764</v>
      </c>
      <c r="AJ30" s="114">
        <v>-145275</v>
      </c>
      <c r="AK30" s="114"/>
      <c r="AL30" s="114"/>
      <c r="AM30" s="45">
        <f t="shared" si="11"/>
        <v>-129511</v>
      </c>
      <c r="AN30" s="48">
        <f t="shared" si="12"/>
        <v>247849</v>
      </c>
      <c r="AO30" s="114">
        <v>-3325</v>
      </c>
      <c r="AP30" s="114"/>
      <c r="AQ30" s="114"/>
      <c r="AR30" s="46">
        <f t="shared" si="13"/>
        <v>244524</v>
      </c>
      <c r="AS30" s="47">
        <f t="shared" si="14"/>
        <v>-129511</v>
      </c>
      <c r="AT30" s="114">
        <v>6</v>
      </c>
      <c r="AU30" s="114"/>
      <c r="AV30" s="114"/>
      <c r="AW30" s="45">
        <f t="shared" si="15"/>
        <v>-129505</v>
      </c>
      <c r="AX30" s="48">
        <f t="shared" si="16"/>
        <v>244524</v>
      </c>
      <c r="AY30" s="114">
        <v>-1473</v>
      </c>
      <c r="AZ30" s="114"/>
      <c r="BA30" s="114"/>
      <c r="BB30" s="46">
        <f t="shared" si="17"/>
        <v>243051</v>
      </c>
      <c r="BC30" s="47">
        <f t="shared" si="18"/>
        <v>-129505</v>
      </c>
      <c r="BD30" s="114">
        <v>-4</v>
      </c>
      <c r="BE30" s="114">
        <v>-129512</v>
      </c>
      <c r="BF30" s="114"/>
      <c r="BG30" s="45">
        <f t="shared" si="19"/>
        <v>3</v>
      </c>
      <c r="BH30" s="48">
        <f t="shared" si="20"/>
        <v>243051</v>
      </c>
      <c r="BI30" s="114">
        <v>-297</v>
      </c>
      <c r="BJ30" s="114">
        <v>242825</v>
      </c>
      <c r="BK30" s="114"/>
      <c r="BL30" s="46">
        <f t="shared" si="21"/>
        <v>-71</v>
      </c>
      <c r="BM30" s="47">
        <f t="shared" si="22"/>
        <v>3</v>
      </c>
      <c r="BN30" s="114">
        <v>11.02</v>
      </c>
      <c r="BO30" s="114">
        <v>6</v>
      </c>
      <c r="BP30" s="114"/>
      <c r="BQ30" s="114"/>
      <c r="BR30" s="114"/>
      <c r="BS30" s="114"/>
      <c r="BT30" s="45">
        <f t="shared" si="23"/>
        <v>8.02</v>
      </c>
      <c r="BU30" s="48">
        <f t="shared" si="24"/>
        <v>-71</v>
      </c>
      <c r="BV30" s="114">
        <v>7.0000000000000007E-2</v>
      </c>
      <c r="BW30" s="114">
        <v>225</v>
      </c>
      <c r="BX30" s="114"/>
      <c r="BY30" s="46">
        <f t="shared" si="25"/>
        <v>-295.93</v>
      </c>
      <c r="BZ30" s="114">
        <v>-3</v>
      </c>
      <c r="CA30" s="114">
        <v>-296</v>
      </c>
      <c r="CB30" s="48">
        <f t="shared" si="26"/>
        <v>11.02</v>
      </c>
      <c r="CC30" s="76">
        <f t="shared" si="27"/>
        <v>6.9999999999993179E-2</v>
      </c>
      <c r="CD30" s="115">
        <f t="shared" si="30"/>
        <v>0.161994</v>
      </c>
      <c r="CE30" s="114">
        <f t="shared" si="31"/>
        <v>5.3997999999999997E-2</v>
      </c>
      <c r="CF30" s="49">
        <f t="shared" si="28"/>
        <v>11.305991999999993</v>
      </c>
      <c r="CG30" s="116">
        <v>-305.74</v>
      </c>
      <c r="CH30" s="49">
        <f t="shared" si="29"/>
        <v>-17.829999999999984</v>
      </c>
    </row>
    <row r="31" spans="1:86" ht="17.25" thickBot="1" x14ac:dyDescent="0.25">
      <c r="A31" s="1">
        <v>8</v>
      </c>
      <c r="C31" s="16" t="s">
        <v>126</v>
      </c>
      <c r="D31" s="13">
        <v>1595</v>
      </c>
      <c r="E31" s="113"/>
      <c r="F31" s="114"/>
      <c r="G31" s="114"/>
      <c r="H31" s="114"/>
      <c r="I31" s="45">
        <f t="shared" si="0"/>
        <v>0</v>
      </c>
      <c r="J31" s="114"/>
      <c r="K31" s="114"/>
      <c r="L31" s="114"/>
      <c r="M31" s="114"/>
      <c r="N31" s="46">
        <f t="shared" si="1"/>
        <v>0</v>
      </c>
      <c r="O31" s="47">
        <f>I31</f>
        <v>0</v>
      </c>
      <c r="P31" s="114"/>
      <c r="Q31" s="114"/>
      <c r="R31" s="114"/>
      <c r="S31" s="45">
        <f t="shared" si="3"/>
        <v>0</v>
      </c>
      <c r="T31" s="48">
        <f>N31</f>
        <v>0</v>
      </c>
      <c r="U31" s="114"/>
      <c r="V31" s="114"/>
      <c r="W31" s="114"/>
      <c r="X31" s="46">
        <f t="shared" si="5"/>
        <v>0</v>
      </c>
      <c r="Y31" s="47">
        <f>S31</f>
        <v>0</v>
      </c>
      <c r="Z31" s="114"/>
      <c r="AA31" s="114"/>
      <c r="AB31" s="114"/>
      <c r="AC31" s="45">
        <f t="shared" si="7"/>
        <v>0</v>
      </c>
      <c r="AD31" s="48">
        <f>X31</f>
        <v>0</v>
      </c>
      <c r="AE31" s="114"/>
      <c r="AF31" s="114"/>
      <c r="AG31" s="114"/>
      <c r="AH31" s="46">
        <f t="shared" si="9"/>
        <v>0</v>
      </c>
      <c r="AI31" s="47">
        <f>AC31</f>
        <v>0</v>
      </c>
      <c r="AJ31" s="114"/>
      <c r="AK31" s="114"/>
      <c r="AL31" s="114"/>
      <c r="AM31" s="45">
        <f t="shared" si="11"/>
        <v>0</v>
      </c>
      <c r="AN31" s="48">
        <f>AH31</f>
        <v>0</v>
      </c>
      <c r="AO31" s="114"/>
      <c r="AP31" s="114"/>
      <c r="AQ31" s="114"/>
      <c r="AR31" s="46">
        <f t="shared" si="13"/>
        <v>0</v>
      </c>
      <c r="AS31" s="47">
        <f>AM31</f>
        <v>0</v>
      </c>
      <c r="AT31" s="114"/>
      <c r="AU31" s="114"/>
      <c r="AV31" s="114"/>
      <c r="AW31" s="45">
        <f t="shared" si="15"/>
        <v>0</v>
      </c>
      <c r="AX31" s="48">
        <f>AR31</f>
        <v>0</v>
      </c>
      <c r="AY31" s="114"/>
      <c r="AZ31" s="114"/>
      <c r="BA31" s="114"/>
      <c r="BB31" s="46">
        <f t="shared" si="17"/>
        <v>0</v>
      </c>
      <c r="BC31" s="47">
        <f>AW31</f>
        <v>0</v>
      </c>
      <c r="BD31" s="114"/>
      <c r="BE31" s="114"/>
      <c r="BF31" s="114"/>
      <c r="BG31" s="45">
        <f t="shared" si="19"/>
        <v>0</v>
      </c>
      <c r="BH31" s="48">
        <f>BB31</f>
        <v>0</v>
      </c>
      <c r="BI31" s="114"/>
      <c r="BJ31" s="114"/>
      <c r="BK31" s="114"/>
      <c r="BL31" s="46">
        <f t="shared" si="21"/>
        <v>0</v>
      </c>
      <c r="BM31" s="47">
        <f>BG31</f>
        <v>0</v>
      </c>
      <c r="BN31" s="114"/>
      <c r="BO31" s="114"/>
      <c r="BP31" s="114"/>
      <c r="BQ31" s="114"/>
      <c r="BR31" s="114"/>
      <c r="BS31" s="114"/>
      <c r="BT31" s="45">
        <f t="shared" si="23"/>
        <v>0</v>
      </c>
      <c r="BU31" s="48">
        <f>BL31</f>
        <v>0</v>
      </c>
      <c r="BV31" s="114"/>
      <c r="BW31" s="114"/>
      <c r="BX31" s="114"/>
      <c r="BY31" s="46">
        <f t="shared" si="25"/>
        <v>0</v>
      </c>
      <c r="BZ31" s="113"/>
      <c r="CA31" s="114"/>
      <c r="CB31" s="48">
        <f t="shared" si="26"/>
        <v>0</v>
      </c>
      <c r="CC31" s="76">
        <f t="shared" si="27"/>
        <v>0</v>
      </c>
      <c r="CD31" s="115">
        <f t="shared" si="30"/>
        <v>0</v>
      </c>
      <c r="CE31" s="114">
        <f t="shared" si="31"/>
        <v>0</v>
      </c>
      <c r="CF31" s="49">
        <f t="shared" si="28"/>
        <v>0</v>
      </c>
      <c r="CG31" s="116"/>
      <c r="CH31" s="49">
        <f t="shared" si="29"/>
        <v>0</v>
      </c>
    </row>
    <row r="32" spans="1:86" ht="17.25" thickBot="1" x14ac:dyDescent="0.25">
      <c r="A32" s="1">
        <v>9</v>
      </c>
      <c r="C32" s="16" t="s">
        <v>127</v>
      </c>
      <c r="D32" s="13">
        <v>1595</v>
      </c>
      <c r="E32" s="113"/>
      <c r="F32" s="114"/>
      <c r="G32" s="114"/>
      <c r="H32" s="114"/>
      <c r="I32" s="45">
        <f t="shared" si="0"/>
        <v>0</v>
      </c>
      <c r="J32" s="114"/>
      <c r="K32" s="114"/>
      <c r="L32" s="114"/>
      <c r="M32" s="114"/>
      <c r="N32" s="46">
        <f t="shared" si="1"/>
        <v>0</v>
      </c>
      <c r="O32" s="47">
        <f t="shared" si="2"/>
        <v>0</v>
      </c>
      <c r="P32" s="114"/>
      <c r="Q32" s="114"/>
      <c r="R32" s="114"/>
      <c r="S32" s="45">
        <f t="shared" si="3"/>
        <v>0</v>
      </c>
      <c r="T32" s="48">
        <f t="shared" si="4"/>
        <v>0</v>
      </c>
      <c r="U32" s="114"/>
      <c r="V32" s="114"/>
      <c r="W32" s="114"/>
      <c r="X32" s="46">
        <f t="shared" si="5"/>
        <v>0</v>
      </c>
      <c r="Y32" s="47">
        <f t="shared" si="6"/>
        <v>0</v>
      </c>
      <c r="Z32" s="114"/>
      <c r="AA32" s="114"/>
      <c r="AB32" s="114"/>
      <c r="AC32" s="45">
        <f t="shared" si="7"/>
        <v>0</v>
      </c>
      <c r="AD32" s="48">
        <f t="shared" si="8"/>
        <v>0</v>
      </c>
      <c r="AE32" s="114"/>
      <c r="AF32" s="114"/>
      <c r="AG32" s="114"/>
      <c r="AH32" s="46">
        <f t="shared" si="9"/>
        <v>0</v>
      </c>
      <c r="AI32" s="47">
        <f t="shared" si="10"/>
        <v>0</v>
      </c>
      <c r="AJ32" s="114"/>
      <c r="AK32" s="114"/>
      <c r="AL32" s="114"/>
      <c r="AM32" s="45">
        <f t="shared" si="11"/>
        <v>0</v>
      </c>
      <c r="AN32" s="48">
        <f t="shared" si="12"/>
        <v>0</v>
      </c>
      <c r="AO32" s="114"/>
      <c r="AP32" s="114"/>
      <c r="AQ32" s="114"/>
      <c r="AR32" s="46">
        <f t="shared" si="13"/>
        <v>0</v>
      </c>
      <c r="AS32" s="47">
        <f t="shared" si="14"/>
        <v>0</v>
      </c>
      <c r="AT32" s="114">
        <v>443253</v>
      </c>
      <c r="AU32" s="114">
        <v>1757096</v>
      </c>
      <c r="AV32" s="114"/>
      <c r="AW32" s="45">
        <f t="shared" si="15"/>
        <v>-1313843</v>
      </c>
      <c r="AX32" s="48">
        <f t="shared" si="16"/>
        <v>0</v>
      </c>
      <c r="AY32" s="114">
        <v>-3640</v>
      </c>
      <c r="AZ32" s="114">
        <v>382227</v>
      </c>
      <c r="BA32" s="114"/>
      <c r="BB32" s="46">
        <f t="shared" si="17"/>
        <v>-385867</v>
      </c>
      <c r="BC32" s="47">
        <f t="shared" si="18"/>
        <v>-1313843</v>
      </c>
      <c r="BD32" s="114">
        <v>1138611</v>
      </c>
      <c r="BE32" s="114"/>
      <c r="BF32" s="114"/>
      <c r="BG32" s="45">
        <f t="shared" si="19"/>
        <v>-175232</v>
      </c>
      <c r="BH32" s="48">
        <f t="shared" si="20"/>
        <v>-385867</v>
      </c>
      <c r="BI32" s="114">
        <v>-5411</v>
      </c>
      <c r="BJ32" s="114"/>
      <c r="BK32" s="114"/>
      <c r="BL32" s="46">
        <f t="shared" si="21"/>
        <v>-391278</v>
      </c>
      <c r="BM32" s="47">
        <f>BG32</f>
        <v>-175232</v>
      </c>
      <c r="BN32" s="114">
        <v>518607</v>
      </c>
      <c r="BO32" s="114"/>
      <c r="BP32" s="114"/>
      <c r="BQ32" s="114"/>
      <c r="BR32" s="114"/>
      <c r="BS32" s="114"/>
      <c r="BT32" s="45">
        <f t="shared" si="23"/>
        <v>343375</v>
      </c>
      <c r="BU32" s="48">
        <f>BL32</f>
        <v>-391278</v>
      </c>
      <c r="BV32" s="114">
        <v>3087</v>
      </c>
      <c r="BW32" s="114"/>
      <c r="BX32" s="114"/>
      <c r="BY32" s="46">
        <f t="shared" si="25"/>
        <v>-388191</v>
      </c>
      <c r="BZ32" s="113"/>
      <c r="CA32" s="114"/>
      <c r="CB32" s="48">
        <f t="shared" si="26"/>
        <v>343375</v>
      </c>
      <c r="CC32" s="76">
        <f t="shared" si="27"/>
        <v>-388191</v>
      </c>
      <c r="CD32" s="115">
        <f t="shared" si="30"/>
        <v>5047.6125000000002</v>
      </c>
      <c r="CE32" s="114">
        <f t="shared" si="31"/>
        <v>1682.5374999999999</v>
      </c>
      <c r="CF32" s="49">
        <f t="shared" si="28"/>
        <v>-38085.85</v>
      </c>
      <c r="CG32" s="116">
        <v>-44816</v>
      </c>
      <c r="CH32" s="49">
        <f t="shared" si="29"/>
        <v>0</v>
      </c>
    </row>
    <row r="33" spans="1:86" ht="17.25" thickBot="1" x14ac:dyDescent="0.25">
      <c r="A33" s="1">
        <v>9</v>
      </c>
      <c r="C33" s="16" t="s">
        <v>128</v>
      </c>
      <c r="D33" s="13">
        <v>1595</v>
      </c>
      <c r="E33" s="113"/>
      <c r="F33" s="114"/>
      <c r="G33" s="114"/>
      <c r="H33" s="114"/>
      <c r="I33" s="45">
        <f>E33+F33-G33+H33</f>
        <v>0</v>
      </c>
      <c r="J33" s="114"/>
      <c r="K33" s="114"/>
      <c r="L33" s="114"/>
      <c r="M33" s="114"/>
      <c r="N33" s="46">
        <f>J33+K33-L33+M33</f>
        <v>0</v>
      </c>
      <c r="O33" s="47">
        <f>I33</f>
        <v>0</v>
      </c>
      <c r="P33" s="114"/>
      <c r="Q33" s="114"/>
      <c r="R33" s="114"/>
      <c r="S33" s="45">
        <f>O33+P33-Q33+R33</f>
        <v>0</v>
      </c>
      <c r="T33" s="48">
        <f>N33</f>
        <v>0</v>
      </c>
      <c r="U33" s="114"/>
      <c r="V33" s="114"/>
      <c r="W33" s="114"/>
      <c r="X33" s="46">
        <f>T33+U33-V33+W33</f>
        <v>0</v>
      </c>
      <c r="Y33" s="47">
        <f>S33</f>
        <v>0</v>
      </c>
      <c r="Z33" s="114"/>
      <c r="AA33" s="114"/>
      <c r="AB33" s="114"/>
      <c r="AC33" s="45">
        <f>Y33+Z33-AA33+AB33</f>
        <v>0</v>
      </c>
      <c r="AD33" s="48">
        <f>X33</f>
        <v>0</v>
      </c>
      <c r="AE33" s="114"/>
      <c r="AF33" s="114"/>
      <c r="AG33" s="114"/>
      <c r="AH33" s="46">
        <f>AD33+AE33-AF33+AG33</f>
        <v>0</v>
      </c>
      <c r="AI33" s="47">
        <f>AC33</f>
        <v>0</v>
      </c>
      <c r="AJ33" s="114"/>
      <c r="AK33" s="114"/>
      <c r="AL33" s="114"/>
      <c r="AM33" s="45">
        <f>AI33+AJ33-AK33+AL33</f>
        <v>0</v>
      </c>
      <c r="AN33" s="48">
        <f>AH33</f>
        <v>0</v>
      </c>
      <c r="AO33" s="114"/>
      <c r="AP33" s="114"/>
      <c r="AQ33" s="114"/>
      <c r="AR33" s="46">
        <f>AN33+AO33-AP33+AQ33</f>
        <v>0</v>
      </c>
      <c r="AS33" s="47">
        <f>AM33</f>
        <v>0</v>
      </c>
      <c r="AT33" s="114"/>
      <c r="AU33" s="114"/>
      <c r="AV33" s="114"/>
      <c r="AW33" s="45">
        <f>AS33+AT33-AU33+AV33</f>
        <v>0</v>
      </c>
      <c r="AX33" s="48">
        <f>AR33</f>
        <v>0</v>
      </c>
      <c r="AY33" s="114"/>
      <c r="AZ33" s="114"/>
      <c r="BA33" s="114"/>
      <c r="BB33" s="46">
        <f>AX33+AY33-AZ33+BA33</f>
        <v>0</v>
      </c>
      <c r="BC33" s="47">
        <f>AW33</f>
        <v>0</v>
      </c>
      <c r="BD33" s="114">
        <v>508454</v>
      </c>
      <c r="BE33" s="114">
        <v>1231535</v>
      </c>
      <c r="BF33" s="114"/>
      <c r="BG33" s="45">
        <f t="shared" si="19"/>
        <v>-723081</v>
      </c>
      <c r="BH33" s="48">
        <f>BB33</f>
        <v>0</v>
      </c>
      <c r="BI33" s="114">
        <v>-5630</v>
      </c>
      <c r="BJ33" s="114">
        <v>-205730</v>
      </c>
      <c r="BK33" s="114"/>
      <c r="BL33" s="46">
        <f>BH33+BI33-BJ33+BK33</f>
        <v>200100</v>
      </c>
      <c r="BM33" s="47">
        <f>BG33</f>
        <v>-723081</v>
      </c>
      <c r="BN33" s="114">
        <v>416124</v>
      </c>
      <c r="BO33" s="114"/>
      <c r="BP33" s="114"/>
      <c r="BQ33" s="114"/>
      <c r="BR33" s="114"/>
      <c r="BS33" s="114"/>
      <c r="BT33" s="45">
        <f>BM33+BN33-BO33+SUM(BP33:BS33)</f>
        <v>-306957</v>
      </c>
      <c r="BU33" s="48">
        <f>BL33</f>
        <v>200100</v>
      </c>
      <c r="BV33" s="114">
        <v>-6083</v>
      </c>
      <c r="BW33" s="114"/>
      <c r="BX33" s="114"/>
      <c r="BY33" s="46">
        <f>BU33+BV33-BW33+BX33</f>
        <v>194017</v>
      </c>
      <c r="BZ33" s="113"/>
      <c r="CA33" s="114"/>
      <c r="CB33" s="48">
        <f>BT33-BZ33</f>
        <v>-306957</v>
      </c>
      <c r="CC33" s="76">
        <f>BY33-CA33</f>
        <v>194017</v>
      </c>
      <c r="CD33" s="115">
        <f t="shared" si="30"/>
        <v>-4512.2678999999998</v>
      </c>
      <c r="CE33" s="114">
        <f t="shared" si="31"/>
        <v>-1504.0892999999999</v>
      </c>
      <c r="CF33" s="49">
        <f t="shared" si="28"/>
        <v>-118956.35720000001</v>
      </c>
      <c r="CG33" s="116">
        <v>-112940</v>
      </c>
      <c r="CH33" s="49">
        <f>CG33-SUM(BT33,BY33)</f>
        <v>0</v>
      </c>
    </row>
    <row r="34" spans="1:86" ht="14.25" x14ac:dyDescent="0.2">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6"/>
      <c r="CD34" s="51"/>
      <c r="CE34" s="51"/>
      <c r="CF34" s="49"/>
      <c r="CG34" s="52"/>
      <c r="CH34" s="49"/>
    </row>
    <row r="35" spans="1:86" ht="15" x14ac:dyDescent="0.25">
      <c r="C35" s="17" t="s">
        <v>146</v>
      </c>
      <c r="D35" s="17"/>
      <c r="E35" s="50">
        <f>SUM(E24:E33)</f>
        <v>0</v>
      </c>
      <c r="F35" s="45">
        <f t="shared" ref="F35:BQ35" si="32">SUM(F24:F33)</f>
        <v>-2863040</v>
      </c>
      <c r="G35" s="45">
        <f t="shared" si="32"/>
        <v>0</v>
      </c>
      <c r="H35" s="45">
        <f t="shared" si="32"/>
        <v>0</v>
      </c>
      <c r="I35" s="45">
        <f t="shared" si="32"/>
        <v>-2863040</v>
      </c>
      <c r="J35" s="45">
        <f t="shared" si="32"/>
        <v>0</v>
      </c>
      <c r="K35" s="45">
        <f t="shared" si="32"/>
        <v>-180089</v>
      </c>
      <c r="L35" s="45">
        <f t="shared" si="32"/>
        <v>0</v>
      </c>
      <c r="M35" s="45">
        <f t="shared" si="32"/>
        <v>0</v>
      </c>
      <c r="N35" s="46">
        <f t="shared" si="32"/>
        <v>-180089</v>
      </c>
      <c r="O35" s="50">
        <f t="shared" si="32"/>
        <v>-2863040</v>
      </c>
      <c r="P35" s="45">
        <f t="shared" si="32"/>
        <v>78965</v>
      </c>
      <c r="Q35" s="45">
        <f t="shared" si="32"/>
        <v>0</v>
      </c>
      <c r="R35" s="45">
        <f t="shared" si="32"/>
        <v>286263</v>
      </c>
      <c r="S35" s="45">
        <f t="shared" si="32"/>
        <v>-2497812</v>
      </c>
      <c r="T35" s="45">
        <f t="shared" si="32"/>
        <v>-180089</v>
      </c>
      <c r="U35" s="45">
        <f t="shared" si="32"/>
        <v>-100884</v>
      </c>
      <c r="V35" s="45">
        <f t="shared" si="32"/>
        <v>0</v>
      </c>
      <c r="W35" s="45">
        <f t="shared" si="32"/>
        <v>275664</v>
      </c>
      <c r="X35" s="46">
        <f t="shared" si="32"/>
        <v>-5309</v>
      </c>
      <c r="Y35" s="50">
        <f t="shared" si="32"/>
        <v>-2497812</v>
      </c>
      <c r="Z35" s="45">
        <f t="shared" si="32"/>
        <v>-237733</v>
      </c>
      <c r="AA35" s="45">
        <f t="shared" si="32"/>
        <v>0</v>
      </c>
      <c r="AB35" s="45">
        <f t="shared" si="32"/>
        <v>0</v>
      </c>
      <c r="AC35" s="45">
        <f t="shared" si="32"/>
        <v>-2735545</v>
      </c>
      <c r="AD35" s="45">
        <f t="shared" si="32"/>
        <v>-5309</v>
      </c>
      <c r="AE35" s="45">
        <f t="shared" si="32"/>
        <v>-152721</v>
      </c>
      <c r="AF35" s="45">
        <f t="shared" si="32"/>
        <v>0</v>
      </c>
      <c r="AG35" s="45">
        <f t="shared" si="32"/>
        <v>0</v>
      </c>
      <c r="AH35" s="46">
        <f t="shared" si="32"/>
        <v>-158030</v>
      </c>
      <c r="AI35" s="50">
        <f t="shared" si="32"/>
        <v>-2735545</v>
      </c>
      <c r="AJ35" s="45">
        <f t="shared" si="32"/>
        <v>-1247296</v>
      </c>
      <c r="AK35" s="45">
        <f t="shared" si="32"/>
        <v>0</v>
      </c>
      <c r="AL35" s="45">
        <f t="shared" si="32"/>
        <v>0</v>
      </c>
      <c r="AM35" s="45">
        <f t="shared" si="32"/>
        <v>-3982841</v>
      </c>
      <c r="AN35" s="45">
        <f t="shared" si="32"/>
        <v>-158030</v>
      </c>
      <c r="AO35" s="45">
        <f t="shared" si="32"/>
        <v>-157938</v>
      </c>
      <c r="AP35" s="45">
        <f t="shared" si="32"/>
        <v>0</v>
      </c>
      <c r="AQ35" s="45">
        <f t="shared" si="32"/>
        <v>0</v>
      </c>
      <c r="AR35" s="46">
        <f t="shared" si="32"/>
        <v>-315968</v>
      </c>
      <c r="AS35" s="50">
        <f t="shared" si="32"/>
        <v>-3982841</v>
      </c>
      <c r="AT35" s="45">
        <f t="shared" si="32"/>
        <v>3154245</v>
      </c>
      <c r="AU35" s="45">
        <f t="shared" si="32"/>
        <v>-994212</v>
      </c>
      <c r="AV35" s="45">
        <f t="shared" si="32"/>
        <v>0</v>
      </c>
      <c r="AW35" s="45">
        <f t="shared" si="32"/>
        <v>165616</v>
      </c>
      <c r="AX35" s="45">
        <f t="shared" si="32"/>
        <v>-315968</v>
      </c>
      <c r="AY35" s="45">
        <f t="shared" si="32"/>
        <v>-33115</v>
      </c>
      <c r="AZ35" s="45">
        <f t="shared" si="32"/>
        <v>-155623</v>
      </c>
      <c r="BA35" s="45">
        <f t="shared" si="32"/>
        <v>0</v>
      </c>
      <c r="BB35" s="46">
        <f t="shared" si="32"/>
        <v>-193460</v>
      </c>
      <c r="BC35" s="50">
        <f t="shared" si="32"/>
        <v>165616</v>
      </c>
      <c r="BD35" s="45">
        <f t="shared" si="32"/>
        <v>-411247</v>
      </c>
      <c r="BE35" s="45">
        <f t="shared" si="32"/>
        <v>0</v>
      </c>
      <c r="BF35" s="45">
        <f t="shared" si="32"/>
        <v>0</v>
      </c>
      <c r="BG35" s="45">
        <f t="shared" si="32"/>
        <v>-245631</v>
      </c>
      <c r="BH35" s="45">
        <f t="shared" si="32"/>
        <v>-193460</v>
      </c>
      <c r="BI35" s="45">
        <f t="shared" si="32"/>
        <v>-5745</v>
      </c>
      <c r="BJ35" s="45">
        <f t="shared" si="32"/>
        <v>0</v>
      </c>
      <c r="BK35" s="45">
        <f t="shared" si="32"/>
        <v>0</v>
      </c>
      <c r="BL35" s="46">
        <f t="shared" si="32"/>
        <v>-199205</v>
      </c>
      <c r="BM35" s="50">
        <f t="shared" si="32"/>
        <v>-245631</v>
      </c>
      <c r="BN35" s="45">
        <f t="shared" si="32"/>
        <v>-1354062.0799999996</v>
      </c>
      <c r="BO35" s="45">
        <f t="shared" si="32"/>
        <v>2710993</v>
      </c>
      <c r="BP35" s="45">
        <f t="shared" si="32"/>
        <v>0</v>
      </c>
      <c r="BQ35" s="45">
        <f t="shared" si="32"/>
        <v>0</v>
      </c>
      <c r="BR35" s="45">
        <f t="shared" ref="BR35:CH35" si="33">SUM(BR24:BR33)</f>
        <v>0</v>
      </c>
      <c r="BS35" s="45">
        <f t="shared" si="33"/>
        <v>0</v>
      </c>
      <c r="BT35" s="45">
        <f t="shared" si="33"/>
        <v>-4310686.08</v>
      </c>
      <c r="BU35" s="45">
        <f t="shared" si="33"/>
        <v>-199205</v>
      </c>
      <c r="BV35" s="45">
        <f t="shared" si="33"/>
        <v>-19302.080000000002</v>
      </c>
      <c r="BW35" s="45">
        <f t="shared" si="33"/>
        <v>14166</v>
      </c>
      <c r="BX35" s="45">
        <f t="shared" si="33"/>
        <v>0</v>
      </c>
      <c r="BY35" s="46">
        <f t="shared" si="33"/>
        <v>-232673.08000000002</v>
      </c>
      <c r="BZ35" s="50">
        <f t="shared" si="33"/>
        <v>-2058311</v>
      </c>
      <c r="CA35" s="45">
        <f t="shared" si="33"/>
        <v>-39167</v>
      </c>
      <c r="CB35" s="45">
        <f t="shared" si="33"/>
        <v>-2252375.0799999996</v>
      </c>
      <c r="CC35" s="46">
        <f t="shared" si="33"/>
        <v>-193506.08000000002</v>
      </c>
      <c r="CD35" s="45">
        <f t="shared" si="33"/>
        <v>-33109.913675999996</v>
      </c>
      <c r="CE35" s="45">
        <f t="shared" si="33"/>
        <v>-11036.637891999999</v>
      </c>
      <c r="CF35" s="49">
        <f t="shared" si="33"/>
        <v>-2490027.7115680003</v>
      </c>
      <c r="CG35" s="53">
        <f t="shared" si="33"/>
        <v>-4542960.59</v>
      </c>
      <c r="CH35" s="49">
        <f t="shared" si="33"/>
        <v>398.57000000019792</v>
      </c>
    </row>
    <row r="36" spans="1:86" ht="15" x14ac:dyDescent="0.25">
      <c r="C36" s="17" t="s">
        <v>145</v>
      </c>
      <c r="D36" s="17"/>
      <c r="E36" s="50">
        <f>E35-E37</f>
        <v>0</v>
      </c>
      <c r="F36" s="45">
        <f>F35-F37</f>
        <v>-2987138</v>
      </c>
      <c r="G36" s="45">
        <f t="shared" ref="G36:P36" si="34">G35-G37</f>
        <v>0</v>
      </c>
      <c r="H36" s="45">
        <f t="shared" si="34"/>
        <v>0</v>
      </c>
      <c r="I36" s="45">
        <f t="shared" si="34"/>
        <v>-2987138</v>
      </c>
      <c r="J36" s="45">
        <f t="shared" si="34"/>
        <v>0</v>
      </c>
      <c r="K36" s="45">
        <f t="shared" si="34"/>
        <v>-169868</v>
      </c>
      <c r="L36" s="45">
        <f>L35-L37</f>
        <v>0</v>
      </c>
      <c r="M36" s="45">
        <f>M35-M37</f>
        <v>0</v>
      </c>
      <c r="N36" s="46">
        <f t="shared" si="34"/>
        <v>-169868</v>
      </c>
      <c r="O36" s="50">
        <f t="shared" si="34"/>
        <v>-2987138</v>
      </c>
      <c r="P36" s="45">
        <f t="shared" si="34"/>
        <v>198233</v>
      </c>
      <c r="Q36" s="45">
        <f t="shared" ref="Q36:CE36" si="35">Q35-Q37</f>
        <v>0</v>
      </c>
      <c r="R36" s="45">
        <f t="shared" si="35"/>
        <v>286263</v>
      </c>
      <c r="S36" s="45">
        <f t="shared" si="35"/>
        <v>-2502642</v>
      </c>
      <c r="T36" s="45">
        <f t="shared" si="35"/>
        <v>-169868</v>
      </c>
      <c r="U36" s="45">
        <f t="shared" si="35"/>
        <v>-100104</v>
      </c>
      <c r="V36" s="45">
        <f>V35-V37</f>
        <v>0</v>
      </c>
      <c r="W36" s="45">
        <f>W35-W37</f>
        <v>275664</v>
      </c>
      <c r="X36" s="46">
        <f>X35-X37</f>
        <v>5692</v>
      </c>
      <c r="Y36" s="50">
        <f t="shared" si="35"/>
        <v>-2502642</v>
      </c>
      <c r="Z36" s="45">
        <f t="shared" si="35"/>
        <v>-564383</v>
      </c>
      <c r="AA36" s="45">
        <f t="shared" si="35"/>
        <v>0</v>
      </c>
      <c r="AB36" s="45">
        <f t="shared" si="35"/>
        <v>0</v>
      </c>
      <c r="AC36" s="45">
        <f t="shared" si="35"/>
        <v>-3067025</v>
      </c>
      <c r="AD36" s="45">
        <f t="shared" si="35"/>
        <v>5692</v>
      </c>
      <c r="AE36" s="45">
        <f t="shared" si="35"/>
        <v>-166727</v>
      </c>
      <c r="AF36" s="45">
        <f>AF35-AF37</f>
        <v>0</v>
      </c>
      <c r="AG36" s="45">
        <f>AG35-AG37</f>
        <v>0</v>
      </c>
      <c r="AH36" s="46">
        <f>AH35-AH37</f>
        <v>-161035</v>
      </c>
      <c r="AI36" s="50">
        <f t="shared" si="35"/>
        <v>-3067025</v>
      </c>
      <c r="AJ36" s="45">
        <f t="shared" si="35"/>
        <v>-1188885</v>
      </c>
      <c r="AK36" s="45">
        <f t="shared" si="35"/>
        <v>0</v>
      </c>
      <c r="AL36" s="45">
        <f t="shared" si="35"/>
        <v>0</v>
      </c>
      <c r="AM36" s="45">
        <f t="shared" si="35"/>
        <v>-4255910</v>
      </c>
      <c r="AN36" s="45">
        <f t="shared" si="35"/>
        <v>-161035</v>
      </c>
      <c r="AO36" s="45">
        <f t="shared" si="35"/>
        <v>-169661</v>
      </c>
      <c r="AP36" s="45">
        <f>AP35-AP37</f>
        <v>0</v>
      </c>
      <c r="AQ36" s="45">
        <f>AQ35-AQ37</f>
        <v>0</v>
      </c>
      <c r="AR36" s="46">
        <f>AR35-AR37</f>
        <v>-330696</v>
      </c>
      <c r="AS36" s="50">
        <f t="shared" si="35"/>
        <v>-4255910</v>
      </c>
      <c r="AT36" s="45">
        <f t="shared" si="35"/>
        <v>1451753</v>
      </c>
      <c r="AU36" s="45">
        <f t="shared" si="35"/>
        <v>-1325691</v>
      </c>
      <c r="AV36" s="45">
        <f t="shared" si="35"/>
        <v>0</v>
      </c>
      <c r="AW36" s="45">
        <f t="shared" si="35"/>
        <v>-1478466</v>
      </c>
      <c r="AX36" s="45">
        <f t="shared" si="35"/>
        <v>-330696</v>
      </c>
      <c r="AY36" s="45">
        <f t="shared" si="35"/>
        <v>-47758</v>
      </c>
      <c r="AZ36" s="45">
        <f>AZ35-AZ37</f>
        <v>-158627</v>
      </c>
      <c r="BA36" s="45">
        <f>BA35-BA37</f>
        <v>0</v>
      </c>
      <c r="BB36" s="46">
        <f>BB35-BB37</f>
        <v>-219827</v>
      </c>
      <c r="BC36" s="50">
        <f t="shared" si="35"/>
        <v>-1478466</v>
      </c>
      <c r="BD36" s="45">
        <f t="shared" si="35"/>
        <v>-274235</v>
      </c>
      <c r="BE36" s="45">
        <f t="shared" si="35"/>
        <v>58411</v>
      </c>
      <c r="BF36" s="45">
        <f t="shared" si="35"/>
        <v>0</v>
      </c>
      <c r="BG36" s="45">
        <f t="shared" si="35"/>
        <v>-1811112</v>
      </c>
      <c r="BH36" s="45">
        <f t="shared" si="35"/>
        <v>-219827</v>
      </c>
      <c r="BI36" s="45">
        <f t="shared" si="35"/>
        <v>-15600</v>
      </c>
      <c r="BJ36" s="45">
        <f t="shared" ref="BJ36:CC36" si="36">BJ35-BJ37</f>
        <v>-10958</v>
      </c>
      <c r="BK36" s="45">
        <f t="shared" si="36"/>
        <v>0</v>
      </c>
      <c r="BL36" s="46">
        <f t="shared" si="36"/>
        <v>-224469</v>
      </c>
      <c r="BM36" s="50">
        <f t="shared" si="36"/>
        <v>-1811112</v>
      </c>
      <c r="BN36" s="45">
        <f t="shared" si="36"/>
        <v>-2350250.9099999997</v>
      </c>
      <c r="BO36" s="45">
        <f t="shared" si="36"/>
        <v>1008501</v>
      </c>
      <c r="BP36" s="45">
        <f t="shared" si="36"/>
        <v>0</v>
      </c>
      <c r="BQ36" s="45">
        <f t="shared" si="36"/>
        <v>0</v>
      </c>
      <c r="BR36" s="45">
        <f t="shared" si="36"/>
        <v>0</v>
      </c>
      <c r="BS36" s="45">
        <f t="shared" si="36"/>
        <v>0</v>
      </c>
      <c r="BT36" s="45">
        <f t="shared" si="36"/>
        <v>-5169863.91</v>
      </c>
      <c r="BU36" s="45">
        <f t="shared" si="36"/>
        <v>-224469</v>
      </c>
      <c r="BV36" s="45">
        <f t="shared" si="36"/>
        <v>-32338.020000000004</v>
      </c>
      <c r="BW36" s="45">
        <f t="shared" si="36"/>
        <v>-18506</v>
      </c>
      <c r="BX36" s="45">
        <f t="shared" si="36"/>
        <v>0</v>
      </c>
      <c r="BY36" s="46">
        <f t="shared" si="36"/>
        <v>-238301.02000000002</v>
      </c>
      <c r="BZ36" s="50">
        <f t="shared" si="36"/>
        <v>-1921300</v>
      </c>
      <c r="CA36" s="45">
        <f t="shared" si="36"/>
        <v>-38087</v>
      </c>
      <c r="CB36" s="45">
        <f t="shared" si="36"/>
        <v>-3248563.9099999997</v>
      </c>
      <c r="CC36" s="46">
        <f t="shared" si="36"/>
        <v>-200214.02000000002</v>
      </c>
      <c r="CD36" s="45">
        <f t="shared" si="35"/>
        <v>-47753.889476999997</v>
      </c>
      <c r="CE36" s="45">
        <f t="shared" si="35"/>
        <v>-15917.963158999999</v>
      </c>
      <c r="CF36" s="49">
        <f t="shared" si="28"/>
        <v>-3512449.7826359998</v>
      </c>
      <c r="CG36" s="53">
        <f>CG35-CG37</f>
        <v>-5407766.3599999994</v>
      </c>
      <c r="CH36" s="49">
        <f t="shared" si="29"/>
        <v>398.57000000029802</v>
      </c>
    </row>
    <row r="37" spans="1:86" ht="15" x14ac:dyDescent="0.25">
      <c r="C37" s="18" t="str">
        <f>C29</f>
        <v>RSVA - Power - Sub-account - Global Adjustment</v>
      </c>
      <c r="D37" s="19">
        <v>1588</v>
      </c>
      <c r="E37" s="50">
        <f>E29</f>
        <v>0</v>
      </c>
      <c r="F37" s="45">
        <f>F29</f>
        <v>124098</v>
      </c>
      <c r="G37" s="45">
        <f t="shared" ref="G37:P37" si="37">G29</f>
        <v>0</v>
      </c>
      <c r="H37" s="45">
        <f t="shared" si="37"/>
        <v>0</v>
      </c>
      <c r="I37" s="45">
        <f t="shared" si="37"/>
        <v>124098</v>
      </c>
      <c r="J37" s="45">
        <f t="shared" si="37"/>
        <v>0</v>
      </c>
      <c r="K37" s="45">
        <f t="shared" si="37"/>
        <v>-10221</v>
      </c>
      <c r="L37" s="45">
        <f>L29</f>
        <v>0</v>
      </c>
      <c r="M37" s="45">
        <f>M29</f>
        <v>0</v>
      </c>
      <c r="N37" s="46">
        <f t="shared" si="37"/>
        <v>-10221</v>
      </c>
      <c r="O37" s="50">
        <f t="shared" si="37"/>
        <v>124098</v>
      </c>
      <c r="P37" s="45">
        <f t="shared" si="37"/>
        <v>-119268</v>
      </c>
      <c r="Q37" s="45">
        <f t="shared" ref="Q37:Z37" si="38">Q29</f>
        <v>0</v>
      </c>
      <c r="R37" s="45">
        <f t="shared" si="38"/>
        <v>0</v>
      </c>
      <c r="S37" s="45">
        <f t="shared" si="38"/>
        <v>4830</v>
      </c>
      <c r="T37" s="45">
        <f t="shared" si="38"/>
        <v>-10221</v>
      </c>
      <c r="U37" s="45">
        <f t="shared" si="38"/>
        <v>-780</v>
      </c>
      <c r="V37" s="45">
        <f t="shared" si="38"/>
        <v>0</v>
      </c>
      <c r="W37" s="45">
        <f t="shared" si="38"/>
        <v>0</v>
      </c>
      <c r="X37" s="46">
        <f t="shared" si="38"/>
        <v>-11001</v>
      </c>
      <c r="Y37" s="50">
        <f t="shared" si="38"/>
        <v>4830</v>
      </c>
      <c r="Z37" s="45">
        <f t="shared" si="38"/>
        <v>326650</v>
      </c>
      <c r="AA37" s="45">
        <f t="shared" ref="AA37:BB37" si="39">AA29</f>
        <v>0</v>
      </c>
      <c r="AB37" s="45">
        <f t="shared" si="39"/>
        <v>0</v>
      </c>
      <c r="AC37" s="45">
        <f t="shared" si="39"/>
        <v>331480</v>
      </c>
      <c r="AD37" s="45">
        <f t="shared" si="39"/>
        <v>-11001</v>
      </c>
      <c r="AE37" s="45">
        <f t="shared" si="39"/>
        <v>14006</v>
      </c>
      <c r="AF37" s="45">
        <f t="shared" si="39"/>
        <v>0</v>
      </c>
      <c r="AG37" s="45">
        <f t="shared" si="39"/>
        <v>0</v>
      </c>
      <c r="AH37" s="46">
        <f t="shared" si="39"/>
        <v>3005</v>
      </c>
      <c r="AI37" s="50">
        <f t="shared" si="39"/>
        <v>331480</v>
      </c>
      <c r="AJ37" s="45">
        <f t="shared" si="39"/>
        <v>-58411</v>
      </c>
      <c r="AK37" s="45">
        <f t="shared" si="39"/>
        <v>0</v>
      </c>
      <c r="AL37" s="45">
        <f t="shared" si="39"/>
        <v>0</v>
      </c>
      <c r="AM37" s="45">
        <f t="shared" si="39"/>
        <v>273069</v>
      </c>
      <c r="AN37" s="45">
        <f t="shared" si="39"/>
        <v>3005</v>
      </c>
      <c r="AO37" s="45">
        <f t="shared" si="39"/>
        <v>11723</v>
      </c>
      <c r="AP37" s="45">
        <f>AP29</f>
        <v>0</v>
      </c>
      <c r="AQ37" s="45">
        <f>AQ29</f>
        <v>0</v>
      </c>
      <c r="AR37" s="46">
        <f>AR29</f>
        <v>14728</v>
      </c>
      <c r="AS37" s="50">
        <f t="shared" si="39"/>
        <v>273069</v>
      </c>
      <c r="AT37" s="45">
        <f t="shared" si="39"/>
        <v>1702492</v>
      </c>
      <c r="AU37" s="45">
        <f t="shared" si="39"/>
        <v>331479</v>
      </c>
      <c r="AV37" s="45">
        <f t="shared" si="39"/>
        <v>0</v>
      </c>
      <c r="AW37" s="45">
        <f t="shared" si="39"/>
        <v>1644082</v>
      </c>
      <c r="AX37" s="45">
        <f t="shared" si="39"/>
        <v>14728</v>
      </c>
      <c r="AY37" s="45">
        <f t="shared" si="39"/>
        <v>14643</v>
      </c>
      <c r="AZ37" s="45">
        <f t="shared" si="39"/>
        <v>3004</v>
      </c>
      <c r="BA37" s="45">
        <f t="shared" si="39"/>
        <v>0</v>
      </c>
      <c r="BB37" s="46">
        <f t="shared" si="39"/>
        <v>26367</v>
      </c>
      <c r="BC37" s="50">
        <f t="shared" ref="BC37:BL37" si="40">BC29</f>
        <v>1644082</v>
      </c>
      <c r="BD37" s="45">
        <f t="shared" si="40"/>
        <v>-137012</v>
      </c>
      <c r="BE37" s="45">
        <f t="shared" si="40"/>
        <v>-58411</v>
      </c>
      <c r="BF37" s="45">
        <f t="shared" si="40"/>
        <v>0</v>
      </c>
      <c r="BG37" s="45">
        <f t="shared" si="40"/>
        <v>1565481</v>
      </c>
      <c r="BH37" s="45">
        <f t="shared" si="40"/>
        <v>26367</v>
      </c>
      <c r="BI37" s="45">
        <f t="shared" si="40"/>
        <v>9855</v>
      </c>
      <c r="BJ37" s="45">
        <f t="shared" si="40"/>
        <v>10958</v>
      </c>
      <c r="BK37" s="45">
        <f t="shared" si="40"/>
        <v>0</v>
      </c>
      <c r="BL37" s="46">
        <f t="shared" si="40"/>
        <v>25264</v>
      </c>
      <c r="BM37" s="50">
        <f t="shared" ref="BM37:BY37" si="41">BM29</f>
        <v>1565481</v>
      </c>
      <c r="BN37" s="45">
        <f t="shared" si="41"/>
        <v>996188.83</v>
      </c>
      <c r="BO37" s="45">
        <f t="shared" si="41"/>
        <v>1702492</v>
      </c>
      <c r="BP37" s="45">
        <f t="shared" si="41"/>
        <v>0</v>
      </c>
      <c r="BQ37" s="45">
        <f t="shared" si="41"/>
        <v>0</v>
      </c>
      <c r="BR37" s="45">
        <f t="shared" si="41"/>
        <v>0</v>
      </c>
      <c r="BS37" s="45">
        <f t="shared" si="41"/>
        <v>0</v>
      </c>
      <c r="BT37" s="45">
        <f t="shared" si="41"/>
        <v>859177.83000000007</v>
      </c>
      <c r="BU37" s="45">
        <f t="shared" si="41"/>
        <v>25264</v>
      </c>
      <c r="BV37" s="45">
        <f t="shared" si="41"/>
        <v>13035.94</v>
      </c>
      <c r="BW37" s="45">
        <f t="shared" si="41"/>
        <v>32672</v>
      </c>
      <c r="BX37" s="45">
        <f t="shared" si="41"/>
        <v>0</v>
      </c>
      <c r="BY37" s="46">
        <f t="shared" si="41"/>
        <v>5627.9400000000023</v>
      </c>
      <c r="BZ37" s="50">
        <f t="shared" ref="BZ37:CE37" si="42">BZ29</f>
        <v>-137011</v>
      </c>
      <c r="CA37" s="45">
        <f t="shared" si="42"/>
        <v>-1080</v>
      </c>
      <c r="CB37" s="45">
        <f t="shared" si="42"/>
        <v>996188.83000000007</v>
      </c>
      <c r="CC37" s="46">
        <f t="shared" si="42"/>
        <v>6707.9400000000023</v>
      </c>
      <c r="CD37" s="45">
        <f t="shared" si="42"/>
        <v>14643.975801000001</v>
      </c>
      <c r="CE37" s="45">
        <f t="shared" si="42"/>
        <v>4881.3252670000002</v>
      </c>
      <c r="CF37" s="49">
        <f t="shared" si="28"/>
        <v>1022422.071068</v>
      </c>
      <c r="CG37" s="53">
        <f>CG29</f>
        <v>864805.77</v>
      </c>
      <c r="CH37" s="49">
        <f t="shared" si="29"/>
        <v>0</v>
      </c>
    </row>
    <row r="38" spans="1:86" ht="15" x14ac:dyDescent="0.2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6"/>
      <c r="CD38" s="51"/>
      <c r="CE38" s="51"/>
      <c r="CF38" s="49"/>
      <c r="CG38" s="52"/>
      <c r="CH38" s="49"/>
    </row>
    <row r="39" spans="1:86" ht="35.25" customHeight="1" thickBot="1" x14ac:dyDescent="0.3">
      <c r="C39" s="131"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6"/>
      <c r="CD39" s="51"/>
      <c r="CE39" s="51"/>
      <c r="CF39" s="49"/>
      <c r="CG39" s="52"/>
      <c r="CH39" s="49"/>
    </row>
    <row r="40" spans="1:86" ht="15" thickBot="1" x14ac:dyDescent="0.25">
      <c r="A40" s="1">
        <v>10</v>
      </c>
      <c r="C40" s="7" t="s">
        <v>14</v>
      </c>
      <c r="D40" s="13">
        <v>1508</v>
      </c>
      <c r="E40" s="113"/>
      <c r="F40" s="114">
        <v>102958</v>
      </c>
      <c r="G40" s="114"/>
      <c r="H40" s="114"/>
      <c r="I40" s="45">
        <f t="shared" ref="I40:I60" si="43">E40+F40-G40+H40</f>
        <v>102958</v>
      </c>
      <c r="J40" s="114">
        <v>1014</v>
      </c>
      <c r="K40" s="114">
        <v>4497</v>
      </c>
      <c r="L40" s="114"/>
      <c r="M40" s="114"/>
      <c r="N40" s="46">
        <f t="shared" ref="N40:N60" si="44">J40+K40-L40+M40</f>
        <v>5511</v>
      </c>
      <c r="O40" s="47">
        <f t="shared" ref="O40:O48" si="45">I40</f>
        <v>102958</v>
      </c>
      <c r="P40" s="114">
        <v>30110</v>
      </c>
      <c r="Q40" s="114"/>
      <c r="R40" s="114"/>
      <c r="S40" s="45">
        <f t="shared" ref="S40:S60" si="46">O40+P40-Q40+R40</f>
        <v>133068</v>
      </c>
      <c r="T40" s="48">
        <f t="shared" ref="T40:T60" si="47">N40</f>
        <v>5511</v>
      </c>
      <c r="U40" s="114">
        <v>6407</v>
      </c>
      <c r="V40" s="114"/>
      <c r="W40" s="114"/>
      <c r="X40" s="46">
        <f>T40+U40-V40+W40</f>
        <v>11918</v>
      </c>
      <c r="Y40" s="47">
        <f t="shared" ref="Y40:Y48" si="48">S40</f>
        <v>133068</v>
      </c>
      <c r="Z40" s="114"/>
      <c r="AA40" s="114"/>
      <c r="AB40" s="114"/>
      <c r="AC40" s="45">
        <f t="shared" ref="AC40:AC60" si="49">Y40+Z40-AA40+AB40</f>
        <v>133068</v>
      </c>
      <c r="AD40" s="48">
        <f>X40</f>
        <v>11918</v>
      </c>
      <c r="AE40" s="114">
        <v>6291</v>
      </c>
      <c r="AF40" s="114"/>
      <c r="AG40" s="114"/>
      <c r="AH40" s="46">
        <f t="shared" ref="AH40:AH60" si="50">AD40+AE40-AF40+AG40</f>
        <v>18209</v>
      </c>
      <c r="AI40" s="47">
        <f t="shared" ref="AI40:AI48" si="51">AC40</f>
        <v>133068</v>
      </c>
      <c r="AJ40" s="114"/>
      <c r="AK40" s="114"/>
      <c r="AL40" s="114"/>
      <c r="AM40" s="45">
        <f t="shared" ref="AM40:AM60" si="52">AI40+AJ40-AK40+AL40</f>
        <v>133068</v>
      </c>
      <c r="AN40" s="48">
        <f t="shared" ref="AN40:AN48" si="53">AH40</f>
        <v>18209</v>
      </c>
      <c r="AO40" s="114">
        <v>5296</v>
      </c>
      <c r="AP40" s="114"/>
      <c r="AQ40" s="114"/>
      <c r="AR40" s="46">
        <f t="shared" ref="AR40:AR60" si="54">AN40+AO40-AP40+AQ40</f>
        <v>23505</v>
      </c>
      <c r="AS40" s="47">
        <f t="shared" ref="AS40:AS48" si="55">AM40</f>
        <v>133068</v>
      </c>
      <c r="AT40" s="114"/>
      <c r="AU40" s="114">
        <v>133068</v>
      </c>
      <c r="AV40" s="114"/>
      <c r="AW40" s="45">
        <f t="shared" ref="AW40:AW60" si="56">AS40+AT40-AU40+AV40</f>
        <v>0</v>
      </c>
      <c r="AX40" s="48">
        <f t="shared" ref="AX40:AX55" si="57">AR40</f>
        <v>23505</v>
      </c>
      <c r="AY40" s="114">
        <f>815.04+332.67+60.99</f>
        <v>1208.7</v>
      </c>
      <c r="AZ40" s="114">
        <v>24593</v>
      </c>
      <c r="BA40" s="114"/>
      <c r="BB40" s="46">
        <f t="shared" ref="BB40:BB60" si="58">AX40+AY40-AZ40+BA40</f>
        <v>120.70000000000073</v>
      </c>
      <c r="BC40" s="47">
        <f>AW40</f>
        <v>0</v>
      </c>
      <c r="BD40" s="114"/>
      <c r="BE40" s="114"/>
      <c r="BF40" s="114"/>
      <c r="BG40" s="45">
        <f t="shared" ref="BG40:BG60" si="59">BC40+BD40-BE40+SUM(BF40:BF40)</f>
        <v>0</v>
      </c>
      <c r="BH40" s="48">
        <f t="shared" ref="BH40:BH60" si="60">BB40</f>
        <v>120.70000000000073</v>
      </c>
      <c r="BI40" s="114"/>
      <c r="BJ40" s="114"/>
      <c r="BK40" s="114"/>
      <c r="BL40" s="46">
        <f t="shared" ref="BL40:BL60" si="61">BH40+BI40-BJ40+BK40</f>
        <v>120.70000000000073</v>
      </c>
      <c r="BM40" s="47">
        <f t="shared" ref="BM40:BM45" si="62">BG40</f>
        <v>0</v>
      </c>
      <c r="BN40" s="114"/>
      <c r="BO40" s="114"/>
      <c r="BP40" s="114"/>
      <c r="BQ40" s="114"/>
      <c r="BR40" s="114"/>
      <c r="BS40" s="114"/>
      <c r="BT40" s="45">
        <f t="shared" ref="BT40:BT60" si="63">BM40+BN40-BO40+SUM(BP40:BS40)</f>
        <v>0</v>
      </c>
      <c r="BU40" s="48">
        <f t="shared" ref="BU40:BU60" si="64">BL40</f>
        <v>120.70000000000073</v>
      </c>
      <c r="BV40" s="114"/>
      <c r="BW40" s="114"/>
      <c r="BX40" s="114"/>
      <c r="BY40" s="46">
        <f t="shared" ref="BY40:BY45" si="65">BU40+BV40-BW40+BX40</f>
        <v>120.70000000000073</v>
      </c>
      <c r="BZ40" s="113"/>
      <c r="CA40" s="114"/>
      <c r="CB40" s="48">
        <f>BT40-BZ40</f>
        <v>0</v>
      </c>
      <c r="CC40" s="76">
        <f>BY40-CA40</f>
        <v>120.70000000000073</v>
      </c>
      <c r="CD40" s="115">
        <f>CB40*0.0147</f>
        <v>0</v>
      </c>
      <c r="CE40" s="114">
        <f>CB40*0.0049</f>
        <v>0</v>
      </c>
      <c r="CF40" s="49">
        <f t="shared" si="28"/>
        <v>120.70000000000073</v>
      </c>
      <c r="CG40" s="116">
        <v>121.5</v>
      </c>
      <c r="CH40" s="49">
        <f t="shared" si="29"/>
        <v>0.7999999999992724</v>
      </c>
    </row>
    <row r="41" spans="1:86" ht="15" thickBot="1" x14ac:dyDescent="0.25">
      <c r="A41" s="1">
        <v>11</v>
      </c>
      <c r="C41" s="7" t="s">
        <v>15</v>
      </c>
      <c r="D41" s="13">
        <v>1508</v>
      </c>
      <c r="E41" s="113"/>
      <c r="F41" s="114">
        <v>373079</v>
      </c>
      <c r="G41" s="114"/>
      <c r="H41" s="114"/>
      <c r="I41" s="45">
        <f t="shared" si="43"/>
        <v>373079</v>
      </c>
      <c r="J41" s="114"/>
      <c r="K41" s="114">
        <v>6432</v>
      </c>
      <c r="L41" s="114"/>
      <c r="M41" s="114"/>
      <c r="N41" s="46">
        <f t="shared" si="44"/>
        <v>6432</v>
      </c>
      <c r="O41" s="47">
        <f t="shared" si="45"/>
        <v>373079</v>
      </c>
      <c r="P41" s="114">
        <v>144517</v>
      </c>
      <c r="Q41" s="114"/>
      <c r="R41" s="114"/>
      <c r="S41" s="45">
        <f t="shared" si="46"/>
        <v>517596</v>
      </c>
      <c r="T41" s="48">
        <f t="shared" si="47"/>
        <v>6432</v>
      </c>
      <c r="U41" s="114">
        <v>20896</v>
      </c>
      <c r="V41" s="114"/>
      <c r="W41" s="114"/>
      <c r="X41" s="46">
        <f t="shared" ref="X41:X60" si="66">T41+U41-V41+W41</f>
        <v>27328</v>
      </c>
      <c r="Y41" s="47">
        <f t="shared" si="48"/>
        <v>517596</v>
      </c>
      <c r="Z41" s="114"/>
      <c r="AA41" s="114"/>
      <c r="AB41" s="114"/>
      <c r="AC41" s="45">
        <f t="shared" si="49"/>
        <v>517596</v>
      </c>
      <c r="AD41" s="48">
        <f t="shared" ref="AD41:AD48" si="67">X41</f>
        <v>27328</v>
      </c>
      <c r="AE41" s="114">
        <v>24469</v>
      </c>
      <c r="AF41" s="114"/>
      <c r="AG41" s="114"/>
      <c r="AH41" s="46">
        <f t="shared" si="50"/>
        <v>51797</v>
      </c>
      <c r="AI41" s="47">
        <f t="shared" si="51"/>
        <v>517596</v>
      </c>
      <c r="AJ41" s="114"/>
      <c r="AK41" s="114"/>
      <c r="AL41" s="114"/>
      <c r="AM41" s="45">
        <f t="shared" si="52"/>
        <v>517596</v>
      </c>
      <c r="AN41" s="48">
        <f t="shared" si="53"/>
        <v>51797</v>
      </c>
      <c r="AO41" s="114">
        <v>20600</v>
      </c>
      <c r="AP41" s="114"/>
      <c r="AQ41" s="114"/>
      <c r="AR41" s="46">
        <f t="shared" si="54"/>
        <v>72397</v>
      </c>
      <c r="AS41" s="47">
        <f t="shared" si="55"/>
        <v>517596</v>
      </c>
      <c r="AT41" s="114"/>
      <c r="AU41" s="114">
        <v>517596</v>
      </c>
      <c r="AV41" s="114"/>
      <c r="AW41" s="45">
        <f t="shared" si="56"/>
        <v>0</v>
      </c>
      <c r="AX41" s="48">
        <f t="shared" si="57"/>
        <v>72397</v>
      </c>
      <c r="AY41" s="114">
        <f>3170.28+1293.99+237.23</f>
        <v>4701.5</v>
      </c>
      <c r="AZ41" s="114">
        <v>76625</v>
      </c>
      <c r="BA41" s="114"/>
      <c r="BB41" s="46">
        <f t="shared" si="58"/>
        <v>473.5</v>
      </c>
      <c r="BC41" s="47">
        <f t="shared" ref="BC41:BC55" si="68">AW41</f>
        <v>0</v>
      </c>
      <c r="BD41" s="114"/>
      <c r="BE41" s="114"/>
      <c r="BF41" s="114"/>
      <c r="BG41" s="45">
        <f t="shared" si="59"/>
        <v>0</v>
      </c>
      <c r="BH41" s="48">
        <f t="shared" si="60"/>
        <v>473.5</v>
      </c>
      <c r="BI41" s="114"/>
      <c r="BJ41" s="114"/>
      <c r="BK41" s="114"/>
      <c r="BL41" s="46">
        <f t="shared" si="61"/>
        <v>473.5</v>
      </c>
      <c r="BM41" s="47">
        <f t="shared" si="62"/>
        <v>0</v>
      </c>
      <c r="BN41" s="114"/>
      <c r="BO41" s="114"/>
      <c r="BP41" s="114"/>
      <c r="BQ41" s="114"/>
      <c r="BR41" s="114"/>
      <c r="BS41" s="114"/>
      <c r="BT41" s="45">
        <f t="shared" si="63"/>
        <v>0</v>
      </c>
      <c r="BU41" s="48">
        <f t="shared" si="64"/>
        <v>473.5</v>
      </c>
      <c r="BV41" s="114"/>
      <c r="BW41" s="114"/>
      <c r="BX41" s="114"/>
      <c r="BY41" s="46">
        <f t="shared" si="65"/>
        <v>473.5</v>
      </c>
      <c r="BZ41" s="113"/>
      <c r="CA41" s="114"/>
      <c r="CB41" s="48">
        <f t="shared" ref="CB41:CB48" si="69">BT41-BZ41</f>
        <v>0</v>
      </c>
      <c r="CC41" s="76">
        <f t="shared" ref="CC41:CC48" si="70">BY41-CA41</f>
        <v>473.5</v>
      </c>
      <c r="CD41" s="115">
        <f t="shared" ref="CD41:CD60" si="71">CB41*0.0147</f>
        <v>0</v>
      </c>
      <c r="CE41" s="114">
        <f t="shared" ref="CE41:CE60" si="72">CB41*0.0049</f>
        <v>0</v>
      </c>
      <c r="CF41" s="49">
        <f t="shared" si="28"/>
        <v>473.5</v>
      </c>
      <c r="CG41" s="116">
        <v>474.54</v>
      </c>
      <c r="CH41" s="49">
        <f t="shared" si="29"/>
        <v>1.0400000000000205</v>
      </c>
    </row>
    <row r="42" spans="1:86" ht="15" thickBot="1" x14ac:dyDescent="0.25">
      <c r="A42" s="1">
        <v>12</v>
      </c>
      <c r="C42" s="7" t="s">
        <v>67</v>
      </c>
      <c r="D42" s="13">
        <v>1508</v>
      </c>
      <c r="E42" s="113"/>
      <c r="F42" s="114"/>
      <c r="G42" s="114"/>
      <c r="H42" s="114"/>
      <c r="I42" s="45">
        <f t="shared" si="43"/>
        <v>0</v>
      </c>
      <c r="J42" s="114"/>
      <c r="K42" s="114"/>
      <c r="L42" s="114"/>
      <c r="M42" s="114"/>
      <c r="N42" s="46">
        <f t="shared" si="44"/>
        <v>0</v>
      </c>
      <c r="O42" s="47">
        <f t="shared" si="45"/>
        <v>0</v>
      </c>
      <c r="P42" s="114"/>
      <c r="Q42" s="114"/>
      <c r="R42" s="114"/>
      <c r="S42" s="45">
        <f t="shared" si="46"/>
        <v>0</v>
      </c>
      <c r="T42" s="48">
        <f t="shared" si="47"/>
        <v>0</v>
      </c>
      <c r="U42" s="114"/>
      <c r="V42" s="114"/>
      <c r="W42" s="114"/>
      <c r="X42" s="46">
        <f t="shared" si="66"/>
        <v>0</v>
      </c>
      <c r="Y42" s="47">
        <f t="shared" si="48"/>
        <v>0</v>
      </c>
      <c r="Z42" s="114"/>
      <c r="AA42" s="114"/>
      <c r="AB42" s="114"/>
      <c r="AC42" s="45">
        <f t="shared" si="49"/>
        <v>0</v>
      </c>
      <c r="AD42" s="48">
        <f t="shared" si="67"/>
        <v>0</v>
      </c>
      <c r="AE42" s="114"/>
      <c r="AF42" s="114"/>
      <c r="AG42" s="114"/>
      <c r="AH42" s="46">
        <f t="shared" si="50"/>
        <v>0</v>
      </c>
      <c r="AI42" s="47">
        <f t="shared" si="51"/>
        <v>0</v>
      </c>
      <c r="AJ42" s="114"/>
      <c r="AK42" s="114"/>
      <c r="AL42" s="114"/>
      <c r="AM42" s="45">
        <f t="shared" si="52"/>
        <v>0</v>
      </c>
      <c r="AN42" s="48">
        <f t="shared" si="53"/>
        <v>0</v>
      </c>
      <c r="AO42" s="114"/>
      <c r="AP42" s="114"/>
      <c r="AQ42" s="114"/>
      <c r="AR42" s="46">
        <f t="shared" si="54"/>
        <v>0</v>
      </c>
      <c r="AS42" s="47">
        <f t="shared" si="55"/>
        <v>0</v>
      </c>
      <c r="AT42" s="114"/>
      <c r="AU42" s="114"/>
      <c r="AV42" s="114"/>
      <c r="AW42" s="45">
        <f t="shared" si="56"/>
        <v>0</v>
      </c>
      <c r="AX42" s="48">
        <f t="shared" si="57"/>
        <v>0</v>
      </c>
      <c r="AY42" s="114"/>
      <c r="AZ42" s="114"/>
      <c r="BA42" s="114"/>
      <c r="BB42" s="46">
        <f t="shared" si="58"/>
        <v>0</v>
      </c>
      <c r="BC42" s="47">
        <f t="shared" si="68"/>
        <v>0</v>
      </c>
      <c r="BD42" s="114"/>
      <c r="BE42" s="114"/>
      <c r="BF42" s="114"/>
      <c r="BG42" s="45">
        <f t="shared" si="59"/>
        <v>0</v>
      </c>
      <c r="BH42" s="48">
        <f t="shared" si="60"/>
        <v>0</v>
      </c>
      <c r="BI42" s="114"/>
      <c r="BJ42" s="114"/>
      <c r="BK42" s="114"/>
      <c r="BL42" s="46">
        <f t="shared" si="61"/>
        <v>0</v>
      </c>
      <c r="BM42" s="47">
        <f t="shared" si="62"/>
        <v>0</v>
      </c>
      <c r="BN42" s="114"/>
      <c r="BO42" s="114"/>
      <c r="BP42" s="114"/>
      <c r="BQ42" s="114"/>
      <c r="BR42" s="114"/>
      <c r="BS42" s="114"/>
      <c r="BT42" s="45">
        <f t="shared" si="63"/>
        <v>0</v>
      </c>
      <c r="BU42" s="48">
        <f t="shared" si="64"/>
        <v>0</v>
      </c>
      <c r="BV42" s="114"/>
      <c r="BW42" s="114"/>
      <c r="BX42" s="114"/>
      <c r="BY42" s="46">
        <f t="shared" si="65"/>
        <v>0</v>
      </c>
      <c r="BZ42" s="113"/>
      <c r="CA42" s="114"/>
      <c r="CB42" s="48">
        <f t="shared" si="69"/>
        <v>0</v>
      </c>
      <c r="CC42" s="76">
        <f t="shared" si="70"/>
        <v>0</v>
      </c>
      <c r="CD42" s="115">
        <f t="shared" si="71"/>
        <v>0</v>
      </c>
      <c r="CE42" s="114">
        <f t="shared" si="72"/>
        <v>0</v>
      </c>
      <c r="CF42" s="49">
        <f t="shared" si="28"/>
        <v>0</v>
      </c>
      <c r="CG42" s="116"/>
      <c r="CH42" s="49">
        <f t="shared" si="29"/>
        <v>0</v>
      </c>
    </row>
    <row r="43" spans="1:86" ht="15" thickBot="1" x14ac:dyDescent="0.25">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55"/>
        <v>0</v>
      </c>
      <c r="AT43" s="114"/>
      <c r="AU43" s="114"/>
      <c r="AV43" s="114"/>
      <c r="AW43" s="45">
        <f>AS43+AT43-AU43+AV43</f>
        <v>0</v>
      </c>
      <c r="AX43" s="48">
        <f>AR43</f>
        <v>0</v>
      </c>
      <c r="AY43" s="114"/>
      <c r="AZ43" s="114"/>
      <c r="BA43" s="114"/>
      <c r="BB43" s="46">
        <f>AX43+AY43-AZ43+BA43</f>
        <v>0</v>
      </c>
      <c r="BC43" s="47">
        <f>AW43</f>
        <v>0</v>
      </c>
      <c r="BD43" s="114"/>
      <c r="BE43" s="114"/>
      <c r="BF43" s="114"/>
      <c r="BG43" s="45">
        <f t="shared" si="59"/>
        <v>0</v>
      </c>
      <c r="BH43" s="48">
        <f t="shared" si="60"/>
        <v>0</v>
      </c>
      <c r="BI43" s="114"/>
      <c r="BJ43" s="114"/>
      <c r="BK43" s="114"/>
      <c r="BL43" s="46">
        <f>BH43+BI43-BJ43+BK43</f>
        <v>0</v>
      </c>
      <c r="BM43" s="47">
        <f t="shared" si="62"/>
        <v>0</v>
      </c>
      <c r="BN43" s="114"/>
      <c r="BO43" s="114"/>
      <c r="BP43" s="114"/>
      <c r="BQ43" s="114"/>
      <c r="BR43" s="114"/>
      <c r="BS43" s="114"/>
      <c r="BT43" s="45">
        <f t="shared" si="63"/>
        <v>0</v>
      </c>
      <c r="BU43" s="48">
        <f t="shared" si="64"/>
        <v>0</v>
      </c>
      <c r="BV43" s="114"/>
      <c r="BW43" s="114"/>
      <c r="BX43" s="114"/>
      <c r="BY43" s="46">
        <f t="shared" si="65"/>
        <v>0</v>
      </c>
      <c r="BZ43" s="113"/>
      <c r="CA43" s="114"/>
      <c r="CB43" s="48">
        <f t="shared" si="69"/>
        <v>0</v>
      </c>
      <c r="CC43" s="76">
        <f t="shared" si="70"/>
        <v>0</v>
      </c>
      <c r="CD43" s="115">
        <f t="shared" si="71"/>
        <v>0</v>
      </c>
      <c r="CE43" s="114">
        <f t="shared" si="72"/>
        <v>0</v>
      </c>
      <c r="CF43" s="49">
        <f t="shared" si="28"/>
        <v>0</v>
      </c>
      <c r="CG43" s="116"/>
      <c r="CH43" s="49">
        <f t="shared" si="29"/>
        <v>0</v>
      </c>
    </row>
    <row r="44" spans="1:86" ht="31.5" thickBot="1" x14ac:dyDescent="0.25">
      <c r="A44" s="1">
        <v>14</v>
      </c>
      <c r="C44" s="81"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59"/>
        <v>0</v>
      </c>
      <c r="BH44" s="48">
        <f t="shared" si="60"/>
        <v>0</v>
      </c>
      <c r="BI44" s="55"/>
      <c r="BJ44" s="55"/>
      <c r="BK44" s="55"/>
      <c r="BL44" s="46">
        <f>BH44+BI44-BJ44+BK44</f>
        <v>0</v>
      </c>
      <c r="BM44" s="47">
        <f t="shared" si="62"/>
        <v>0</v>
      </c>
      <c r="BN44" s="114"/>
      <c r="BO44" s="114"/>
      <c r="BP44" s="114"/>
      <c r="BQ44" s="114"/>
      <c r="BR44" s="114"/>
      <c r="BS44" s="114"/>
      <c r="BT44" s="45">
        <f>BM44+BN44-BO44+SUM(BP44:BS44)</f>
        <v>0</v>
      </c>
      <c r="BU44" s="48">
        <f>BL44</f>
        <v>0</v>
      </c>
      <c r="BV44" s="114"/>
      <c r="BW44" s="114"/>
      <c r="BX44" s="114"/>
      <c r="BY44" s="46">
        <f t="shared" si="65"/>
        <v>0</v>
      </c>
      <c r="BZ44" s="113"/>
      <c r="CA44" s="114"/>
      <c r="CB44" s="48">
        <f>BT44-BZ44</f>
        <v>0</v>
      </c>
      <c r="CC44" s="76">
        <f>BY44-CA44</f>
        <v>0</v>
      </c>
      <c r="CD44" s="115">
        <f t="shared" si="71"/>
        <v>0</v>
      </c>
      <c r="CE44" s="114">
        <f t="shared" si="72"/>
        <v>0</v>
      </c>
      <c r="CF44" s="49">
        <f t="shared" si="28"/>
        <v>0</v>
      </c>
      <c r="CG44" s="116"/>
      <c r="CH44" s="49">
        <f>CG44-SUM(BT44,BY44)</f>
        <v>0</v>
      </c>
    </row>
    <row r="45" spans="1:86" ht="29.25" thickBot="1" x14ac:dyDescent="0.25">
      <c r="A45" s="1">
        <v>15</v>
      </c>
      <c r="C45" s="81"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59"/>
        <v>0</v>
      </c>
      <c r="BH45" s="48">
        <f t="shared" si="60"/>
        <v>0</v>
      </c>
      <c r="BI45" s="55"/>
      <c r="BJ45" s="55"/>
      <c r="BK45" s="55"/>
      <c r="BL45" s="46">
        <f>BH45+BI45-BJ45+BK45</f>
        <v>0</v>
      </c>
      <c r="BM45" s="47">
        <f t="shared" si="62"/>
        <v>0</v>
      </c>
      <c r="BN45" s="114"/>
      <c r="BO45" s="114"/>
      <c r="BP45" s="114"/>
      <c r="BQ45" s="114"/>
      <c r="BR45" s="114"/>
      <c r="BS45" s="114"/>
      <c r="BT45" s="45">
        <f>BM45+BN45-BO45+SUM(BP45:BS45)</f>
        <v>0</v>
      </c>
      <c r="BU45" s="48">
        <f>BL45</f>
        <v>0</v>
      </c>
      <c r="BV45" s="114"/>
      <c r="BW45" s="114"/>
      <c r="BX45" s="114"/>
      <c r="BY45" s="46">
        <f t="shared" si="65"/>
        <v>0</v>
      </c>
      <c r="BZ45" s="113"/>
      <c r="CA45" s="114"/>
      <c r="CB45" s="48">
        <f>BT45-BZ45</f>
        <v>0</v>
      </c>
      <c r="CC45" s="76">
        <f>BY45-CA45</f>
        <v>0</v>
      </c>
      <c r="CD45" s="115">
        <f t="shared" si="71"/>
        <v>0</v>
      </c>
      <c r="CE45" s="114">
        <f t="shared" si="72"/>
        <v>0</v>
      </c>
      <c r="CF45" s="49">
        <f t="shared" si="28"/>
        <v>0</v>
      </c>
      <c r="CG45" s="116"/>
      <c r="CH45" s="49">
        <f>CG45-SUM(BT45,BY45)</f>
        <v>0</v>
      </c>
    </row>
    <row r="46" spans="1:86" ht="17.25" thickBot="1" x14ac:dyDescent="0.25">
      <c r="A46" s="1">
        <v>16</v>
      </c>
      <c r="C46" s="7" t="s">
        <v>119</v>
      </c>
      <c r="D46" s="13">
        <v>1508</v>
      </c>
      <c r="E46" s="113"/>
      <c r="F46" s="114"/>
      <c r="G46" s="114"/>
      <c r="H46" s="114"/>
      <c r="I46" s="45">
        <f t="shared" si="43"/>
        <v>0</v>
      </c>
      <c r="J46" s="114"/>
      <c r="K46" s="114"/>
      <c r="L46" s="114"/>
      <c r="M46" s="114"/>
      <c r="N46" s="46">
        <f t="shared" si="44"/>
        <v>0</v>
      </c>
      <c r="O46" s="47">
        <f t="shared" si="45"/>
        <v>0</v>
      </c>
      <c r="P46" s="114"/>
      <c r="Q46" s="114"/>
      <c r="R46" s="114"/>
      <c r="S46" s="45">
        <f t="shared" si="46"/>
        <v>0</v>
      </c>
      <c r="T46" s="48">
        <f t="shared" si="47"/>
        <v>0</v>
      </c>
      <c r="U46" s="114"/>
      <c r="V46" s="114"/>
      <c r="W46" s="114"/>
      <c r="X46" s="46">
        <f t="shared" si="66"/>
        <v>0</v>
      </c>
      <c r="Y46" s="47">
        <f t="shared" si="48"/>
        <v>0</v>
      </c>
      <c r="Z46" s="114"/>
      <c r="AA46" s="114"/>
      <c r="AB46" s="114"/>
      <c r="AC46" s="45">
        <f t="shared" si="49"/>
        <v>0</v>
      </c>
      <c r="AD46" s="48">
        <f t="shared" si="67"/>
        <v>0</v>
      </c>
      <c r="AE46" s="114"/>
      <c r="AF46" s="114"/>
      <c r="AG46" s="114"/>
      <c r="AH46" s="46">
        <f t="shared" si="50"/>
        <v>0</v>
      </c>
      <c r="AI46" s="47">
        <f t="shared" si="51"/>
        <v>0</v>
      </c>
      <c r="AJ46" s="114"/>
      <c r="AK46" s="114"/>
      <c r="AL46" s="114"/>
      <c r="AM46" s="45">
        <f t="shared" si="52"/>
        <v>0</v>
      </c>
      <c r="AN46" s="48">
        <f t="shared" si="53"/>
        <v>0</v>
      </c>
      <c r="AO46" s="114"/>
      <c r="AP46" s="114"/>
      <c r="AQ46" s="114"/>
      <c r="AR46" s="46">
        <f t="shared" si="54"/>
        <v>0</v>
      </c>
      <c r="AS46" s="47">
        <f t="shared" si="55"/>
        <v>0</v>
      </c>
      <c r="AT46" s="114"/>
      <c r="AU46" s="114"/>
      <c r="AV46" s="114"/>
      <c r="AW46" s="45">
        <f t="shared" si="56"/>
        <v>0</v>
      </c>
      <c r="AX46" s="48">
        <f t="shared" si="57"/>
        <v>0</v>
      </c>
      <c r="AY46" s="114"/>
      <c r="AZ46" s="114"/>
      <c r="BA46" s="114"/>
      <c r="BB46" s="46">
        <f t="shared" si="58"/>
        <v>0</v>
      </c>
      <c r="BC46" s="47">
        <f t="shared" si="68"/>
        <v>0</v>
      </c>
      <c r="BD46" s="114"/>
      <c r="BE46" s="114"/>
      <c r="BF46" s="114"/>
      <c r="BG46" s="45">
        <f t="shared" si="59"/>
        <v>0</v>
      </c>
      <c r="BH46" s="48">
        <f t="shared" si="60"/>
        <v>0</v>
      </c>
      <c r="BI46" s="114"/>
      <c r="BJ46" s="114"/>
      <c r="BK46" s="114"/>
      <c r="BL46" s="46">
        <f t="shared" si="61"/>
        <v>0</v>
      </c>
      <c r="BM46" s="47">
        <f t="shared" ref="BM46:BM56" si="73">BG46</f>
        <v>0</v>
      </c>
      <c r="BN46" s="114"/>
      <c r="BO46" s="114"/>
      <c r="BP46" s="114"/>
      <c r="BQ46" s="114"/>
      <c r="BR46" s="114"/>
      <c r="BS46" s="114"/>
      <c r="BT46" s="45">
        <f t="shared" si="63"/>
        <v>0</v>
      </c>
      <c r="BU46" s="48">
        <f t="shared" si="64"/>
        <v>0</v>
      </c>
      <c r="BV46" s="114"/>
      <c r="BW46" s="114"/>
      <c r="BX46" s="114"/>
      <c r="BY46" s="46">
        <f t="shared" ref="BY46:BY55" si="74">BU46+BV46-BW46+BX46</f>
        <v>0</v>
      </c>
      <c r="BZ46" s="113"/>
      <c r="CA46" s="114"/>
      <c r="CB46" s="48">
        <f t="shared" si="69"/>
        <v>0</v>
      </c>
      <c r="CC46" s="76">
        <f t="shared" si="70"/>
        <v>0</v>
      </c>
      <c r="CD46" s="115">
        <f t="shared" si="71"/>
        <v>0</v>
      </c>
      <c r="CE46" s="114">
        <f t="shared" si="72"/>
        <v>0</v>
      </c>
      <c r="CF46" s="49">
        <f t="shared" si="28"/>
        <v>0</v>
      </c>
      <c r="CG46" s="116"/>
      <c r="CH46" s="49">
        <f t="shared" si="29"/>
        <v>0</v>
      </c>
    </row>
    <row r="47" spans="1:86" ht="15" thickBot="1" x14ac:dyDescent="0.25">
      <c r="A47" s="1">
        <v>17</v>
      </c>
      <c r="C47" s="7" t="s">
        <v>4</v>
      </c>
      <c r="D47" s="13">
        <v>1518</v>
      </c>
      <c r="E47" s="113">
        <v>110758.26</v>
      </c>
      <c r="F47" s="114">
        <f>115833-68346</f>
        <v>47487</v>
      </c>
      <c r="G47" s="114"/>
      <c r="H47" s="114"/>
      <c r="I47" s="45">
        <f t="shared" si="43"/>
        <v>158245.26</v>
      </c>
      <c r="J47" s="114">
        <v>15170</v>
      </c>
      <c r="K47" s="114">
        <v>9452</v>
      </c>
      <c r="L47" s="114"/>
      <c r="M47" s="114"/>
      <c r="N47" s="46">
        <f t="shared" si="44"/>
        <v>24622</v>
      </c>
      <c r="O47" s="47">
        <f t="shared" si="45"/>
        <v>158245.26</v>
      </c>
      <c r="P47" s="114">
        <f>109942-72089</f>
        <v>37853</v>
      </c>
      <c r="Q47" s="114">
        <v>110758</v>
      </c>
      <c r="R47" s="114"/>
      <c r="S47" s="45">
        <f t="shared" si="46"/>
        <v>85340.260000000009</v>
      </c>
      <c r="T47" s="48">
        <f t="shared" si="47"/>
        <v>24622</v>
      </c>
      <c r="U47" s="114">
        <v>6104</v>
      </c>
      <c r="V47" s="114">
        <v>25877</v>
      </c>
      <c r="W47" s="114"/>
      <c r="X47" s="46">
        <f t="shared" si="66"/>
        <v>4849</v>
      </c>
      <c r="Y47" s="47">
        <f t="shared" si="48"/>
        <v>85340.260000000009</v>
      </c>
      <c r="Z47" s="114">
        <v>44575</v>
      </c>
      <c r="AA47" s="114"/>
      <c r="AB47" s="114"/>
      <c r="AC47" s="45">
        <f t="shared" si="49"/>
        <v>129915.26000000001</v>
      </c>
      <c r="AD47" s="48">
        <f t="shared" si="67"/>
        <v>4849</v>
      </c>
      <c r="AE47" s="114">
        <v>10993</v>
      </c>
      <c r="AF47" s="114"/>
      <c r="AG47" s="114"/>
      <c r="AH47" s="46">
        <f t="shared" si="50"/>
        <v>15842</v>
      </c>
      <c r="AI47" s="47">
        <f t="shared" si="51"/>
        <v>129915.26000000001</v>
      </c>
      <c r="AJ47" s="114">
        <v>48076</v>
      </c>
      <c r="AK47" s="114"/>
      <c r="AL47" s="114">
        <v>2985.93</v>
      </c>
      <c r="AM47" s="45">
        <f t="shared" si="52"/>
        <v>180977.19</v>
      </c>
      <c r="AN47" s="48">
        <f t="shared" si="53"/>
        <v>15842</v>
      </c>
      <c r="AO47" s="114">
        <v>6177.48</v>
      </c>
      <c r="AP47" s="114"/>
      <c r="AQ47" s="114"/>
      <c r="AR47" s="46">
        <f t="shared" si="54"/>
        <v>22019.48</v>
      </c>
      <c r="AS47" s="47">
        <f t="shared" si="55"/>
        <v>180977.19</v>
      </c>
      <c r="AT47" s="114">
        <v>23163.72</v>
      </c>
      <c r="AU47" s="114">
        <v>129915</v>
      </c>
      <c r="AV47" s="114"/>
      <c r="AW47" s="45">
        <f t="shared" si="56"/>
        <v>74225.91</v>
      </c>
      <c r="AX47" s="48">
        <f t="shared" si="57"/>
        <v>22019.48</v>
      </c>
      <c r="AY47" s="114">
        <v>1825.22</v>
      </c>
      <c r="AZ47" s="114">
        <v>22217</v>
      </c>
      <c r="BA47" s="114"/>
      <c r="BB47" s="46">
        <f t="shared" si="58"/>
        <v>1627.7000000000007</v>
      </c>
      <c r="BC47" s="47">
        <f t="shared" si="68"/>
        <v>74225.91</v>
      </c>
      <c r="BD47" s="114">
        <v>34634.43</v>
      </c>
      <c r="BE47" s="114"/>
      <c r="BF47" s="114"/>
      <c r="BG47" s="45">
        <f t="shared" si="59"/>
        <v>108860.34</v>
      </c>
      <c r="BH47" s="48">
        <f t="shared" si="60"/>
        <v>1627.7000000000007</v>
      </c>
      <c r="BI47" s="114">
        <v>720.64</v>
      </c>
      <c r="BJ47" s="114"/>
      <c r="BK47" s="114"/>
      <c r="BL47" s="46">
        <f t="shared" si="61"/>
        <v>2348.3400000000006</v>
      </c>
      <c r="BM47" s="47">
        <f t="shared" si="73"/>
        <v>108860.34</v>
      </c>
      <c r="BN47" s="114">
        <v>32906.97</v>
      </c>
      <c r="BO47" s="114"/>
      <c r="BP47" s="114"/>
      <c r="BQ47" s="114"/>
      <c r="BR47" s="114"/>
      <c r="BS47" s="114"/>
      <c r="BT47" s="45">
        <f t="shared" si="63"/>
        <v>141767.31</v>
      </c>
      <c r="BU47" s="48">
        <f t="shared" si="64"/>
        <v>2348.3400000000006</v>
      </c>
      <c r="BV47" s="114">
        <v>1843.04</v>
      </c>
      <c r="BW47" s="114"/>
      <c r="BX47" s="114"/>
      <c r="BY47" s="46">
        <f t="shared" si="74"/>
        <v>4191.380000000001</v>
      </c>
      <c r="BZ47" s="113"/>
      <c r="CA47" s="114"/>
      <c r="CB47" s="48">
        <f t="shared" si="69"/>
        <v>141767.31</v>
      </c>
      <c r="CC47" s="76">
        <f t="shared" si="70"/>
        <v>4191.380000000001</v>
      </c>
      <c r="CD47" s="115">
        <f t="shared" si="71"/>
        <v>2083.9794569999999</v>
      </c>
      <c r="CE47" s="114">
        <f t="shared" si="72"/>
        <v>694.65981899999997</v>
      </c>
      <c r="CF47" s="49">
        <f t="shared" si="28"/>
        <v>148737.329276</v>
      </c>
      <c r="CG47" s="116">
        <v>145960.6</v>
      </c>
      <c r="CH47" s="49">
        <f t="shared" si="29"/>
        <v>1.9100000000034925</v>
      </c>
    </row>
    <row r="48" spans="1:86" ht="15" thickBot="1" x14ac:dyDescent="0.25">
      <c r="A48" s="1">
        <v>18</v>
      </c>
      <c r="C48" s="7" t="s">
        <v>17</v>
      </c>
      <c r="D48" s="13">
        <v>1525</v>
      </c>
      <c r="E48" s="117">
        <v>56287</v>
      </c>
      <c r="F48" s="118"/>
      <c r="G48" s="118"/>
      <c r="H48" s="118"/>
      <c r="I48" s="45">
        <f t="shared" si="43"/>
        <v>56287</v>
      </c>
      <c r="J48" s="118">
        <v>8162</v>
      </c>
      <c r="K48" s="118">
        <v>4081</v>
      </c>
      <c r="L48" s="118"/>
      <c r="M48" s="118"/>
      <c r="N48" s="46">
        <f t="shared" si="44"/>
        <v>12243</v>
      </c>
      <c r="O48" s="47">
        <f t="shared" si="45"/>
        <v>56287</v>
      </c>
      <c r="P48" s="118">
        <v>1329</v>
      </c>
      <c r="Q48" s="118">
        <v>56287</v>
      </c>
      <c r="R48" s="118"/>
      <c r="S48" s="45">
        <f t="shared" si="46"/>
        <v>1329</v>
      </c>
      <c r="T48" s="48">
        <f t="shared" si="47"/>
        <v>12243</v>
      </c>
      <c r="U48" s="118">
        <v>1420</v>
      </c>
      <c r="V48" s="118">
        <v>13603</v>
      </c>
      <c r="W48" s="118"/>
      <c r="X48" s="46">
        <f t="shared" si="66"/>
        <v>60</v>
      </c>
      <c r="Y48" s="47">
        <f t="shared" si="48"/>
        <v>1329</v>
      </c>
      <c r="Z48" s="118">
        <v>0</v>
      </c>
      <c r="AA48" s="118"/>
      <c r="AB48" s="118"/>
      <c r="AC48" s="45">
        <f t="shared" si="49"/>
        <v>1329</v>
      </c>
      <c r="AD48" s="48">
        <f t="shared" si="67"/>
        <v>60</v>
      </c>
      <c r="AE48" s="118">
        <v>63</v>
      </c>
      <c r="AF48" s="118"/>
      <c r="AG48" s="118"/>
      <c r="AH48" s="46">
        <f t="shared" si="50"/>
        <v>123</v>
      </c>
      <c r="AI48" s="47">
        <f t="shared" si="51"/>
        <v>1329</v>
      </c>
      <c r="AJ48" s="118"/>
      <c r="AK48" s="118"/>
      <c r="AL48" s="118"/>
      <c r="AM48" s="45">
        <f t="shared" si="52"/>
        <v>1329</v>
      </c>
      <c r="AN48" s="48">
        <f t="shared" si="53"/>
        <v>123</v>
      </c>
      <c r="AO48" s="118">
        <v>53</v>
      </c>
      <c r="AP48" s="118"/>
      <c r="AQ48" s="118"/>
      <c r="AR48" s="46">
        <f t="shared" si="54"/>
        <v>176</v>
      </c>
      <c r="AS48" s="47">
        <f t="shared" si="55"/>
        <v>1329</v>
      </c>
      <c r="AT48" s="118"/>
      <c r="AU48" s="118">
        <v>1329</v>
      </c>
      <c r="AV48" s="118"/>
      <c r="AW48" s="45">
        <f t="shared" si="56"/>
        <v>0</v>
      </c>
      <c r="AX48" s="48">
        <f t="shared" si="57"/>
        <v>176</v>
      </c>
      <c r="AY48" s="118">
        <f>8.13+3.33+0.61</f>
        <v>12.07</v>
      </c>
      <c r="AZ48" s="118">
        <v>187</v>
      </c>
      <c r="BA48" s="118"/>
      <c r="BB48" s="46">
        <f t="shared" si="58"/>
        <v>1.0699999999999932</v>
      </c>
      <c r="BC48" s="47">
        <f t="shared" si="68"/>
        <v>0</v>
      </c>
      <c r="BD48" s="114"/>
      <c r="BE48" s="114"/>
      <c r="BF48" s="114"/>
      <c r="BG48" s="45">
        <f t="shared" si="59"/>
        <v>0</v>
      </c>
      <c r="BH48" s="48">
        <f t="shared" si="60"/>
        <v>1.0699999999999932</v>
      </c>
      <c r="BI48" s="114"/>
      <c r="BJ48" s="118"/>
      <c r="BK48" s="118"/>
      <c r="BL48" s="46">
        <f t="shared" si="61"/>
        <v>1.0699999999999932</v>
      </c>
      <c r="BM48" s="47">
        <f t="shared" si="73"/>
        <v>0</v>
      </c>
      <c r="BN48" s="114"/>
      <c r="BO48" s="114"/>
      <c r="BP48" s="114"/>
      <c r="BQ48" s="114"/>
      <c r="BR48" s="114"/>
      <c r="BS48" s="114"/>
      <c r="BT48" s="45">
        <f t="shared" si="63"/>
        <v>0</v>
      </c>
      <c r="BU48" s="48">
        <f t="shared" si="64"/>
        <v>1.0699999999999932</v>
      </c>
      <c r="BV48" s="114"/>
      <c r="BW48" s="118"/>
      <c r="BX48" s="118"/>
      <c r="BY48" s="46">
        <f t="shared" si="74"/>
        <v>1.0699999999999932</v>
      </c>
      <c r="BZ48" s="113"/>
      <c r="CA48" s="114"/>
      <c r="CB48" s="48">
        <f t="shared" si="69"/>
        <v>0</v>
      </c>
      <c r="CC48" s="76">
        <f t="shared" si="70"/>
        <v>1.0699999999999932</v>
      </c>
      <c r="CD48" s="115">
        <f t="shared" si="71"/>
        <v>0</v>
      </c>
      <c r="CE48" s="114">
        <f t="shared" si="72"/>
        <v>0</v>
      </c>
      <c r="CF48" s="49">
        <f t="shared" si="28"/>
        <v>1.0699999999999932</v>
      </c>
      <c r="CG48" s="116">
        <v>0</v>
      </c>
      <c r="CH48" s="49">
        <f t="shared" si="29"/>
        <v>-1.0699999999999932</v>
      </c>
    </row>
    <row r="49" spans="1:86" ht="15" thickBot="1" x14ac:dyDescent="0.25">
      <c r="A49" s="1">
        <v>19</v>
      </c>
      <c r="C49" s="7" t="s">
        <v>64</v>
      </c>
      <c r="D49" s="13">
        <v>1531</v>
      </c>
      <c r="E49" s="54"/>
      <c r="F49" s="55"/>
      <c r="G49" s="55"/>
      <c r="H49" s="55"/>
      <c r="I49" s="45">
        <f t="shared" si="43"/>
        <v>0</v>
      </c>
      <c r="J49" s="55"/>
      <c r="K49" s="55"/>
      <c r="L49" s="55"/>
      <c r="M49" s="55"/>
      <c r="N49" s="46">
        <f t="shared" si="44"/>
        <v>0</v>
      </c>
      <c r="O49" s="47"/>
      <c r="P49" s="55"/>
      <c r="Q49" s="55"/>
      <c r="R49" s="55"/>
      <c r="S49" s="45">
        <f t="shared" si="46"/>
        <v>0</v>
      </c>
      <c r="T49" s="48">
        <f t="shared" si="47"/>
        <v>0</v>
      </c>
      <c r="U49" s="55"/>
      <c r="V49" s="55"/>
      <c r="W49" s="55"/>
      <c r="X49" s="46">
        <f t="shared" si="66"/>
        <v>0</v>
      </c>
      <c r="Y49" s="47"/>
      <c r="Z49" s="55"/>
      <c r="AA49" s="55"/>
      <c r="AB49" s="55"/>
      <c r="AC49" s="45">
        <f t="shared" si="49"/>
        <v>0</v>
      </c>
      <c r="AD49" s="55"/>
      <c r="AE49" s="55"/>
      <c r="AF49" s="55"/>
      <c r="AG49" s="55"/>
      <c r="AH49" s="46">
        <f t="shared" si="50"/>
        <v>0</v>
      </c>
      <c r="AI49" s="47"/>
      <c r="AJ49" s="55"/>
      <c r="AK49" s="55"/>
      <c r="AL49" s="55"/>
      <c r="AM49" s="45">
        <f t="shared" si="52"/>
        <v>0</v>
      </c>
      <c r="AN49" s="55"/>
      <c r="AO49" s="55"/>
      <c r="AP49" s="55"/>
      <c r="AQ49" s="55"/>
      <c r="AR49" s="46">
        <f t="shared" si="54"/>
        <v>0</v>
      </c>
      <c r="AS49" s="119"/>
      <c r="AT49" s="118"/>
      <c r="AU49" s="118"/>
      <c r="AV49" s="118"/>
      <c r="AW49" s="45">
        <f t="shared" si="56"/>
        <v>0</v>
      </c>
      <c r="AX49" s="48">
        <f t="shared" si="57"/>
        <v>0</v>
      </c>
      <c r="AY49" s="118"/>
      <c r="AZ49" s="118"/>
      <c r="BA49" s="118"/>
      <c r="BB49" s="46">
        <f t="shared" si="58"/>
        <v>0</v>
      </c>
      <c r="BC49" s="47">
        <f t="shared" si="68"/>
        <v>0</v>
      </c>
      <c r="BD49" s="114"/>
      <c r="BE49" s="114"/>
      <c r="BF49" s="114"/>
      <c r="BG49" s="45">
        <f t="shared" si="59"/>
        <v>0</v>
      </c>
      <c r="BH49" s="48">
        <f t="shared" si="60"/>
        <v>0</v>
      </c>
      <c r="BI49" s="114"/>
      <c r="BJ49" s="114"/>
      <c r="BK49" s="114"/>
      <c r="BL49" s="46">
        <f t="shared" si="61"/>
        <v>0</v>
      </c>
      <c r="BM49" s="47">
        <f t="shared" si="73"/>
        <v>0</v>
      </c>
      <c r="BN49" s="114"/>
      <c r="BO49" s="114"/>
      <c r="BP49" s="114"/>
      <c r="BQ49" s="114"/>
      <c r="BR49" s="114"/>
      <c r="BS49" s="114"/>
      <c r="BT49" s="45">
        <f t="shared" si="63"/>
        <v>0</v>
      </c>
      <c r="BU49" s="48">
        <f t="shared" si="64"/>
        <v>0</v>
      </c>
      <c r="BV49" s="114"/>
      <c r="BW49" s="114"/>
      <c r="BX49" s="118"/>
      <c r="BY49" s="46">
        <f t="shared" si="74"/>
        <v>0</v>
      </c>
      <c r="BZ49" s="114"/>
      <c r="CA49" s="114"/>
      <c r="CB49" s="48">
        <f t="shared" ref="CB49:CB54" si="75">BT49-BZ49</f>
        <v>0</v>
      </c>
      <c r="CC49" s="76">
        <f t="shared" ref="CC49:CC54" si="76">BY49-CA49</f>
        <v>0</v>
      </c>
      <c r="CD49" s="115">
        <f t="shared" si="71"/>
        <v>0</v>
      </c>
      <c r="CE49" s="114">
        <f t="shared" si="72"/>
        <v>0</v>
      </c>
      <c r="CF49" s="49">
        <f t="shared" si="28"/>
        <v>0</v>
      </c>
      <c r="CG49" s="116"/>
      <c r="CH49" s="49">
        <f t="shared" si="29"/>
        <v>0</v>
      </c>
    </row>
    <row r="50" spans="1:86" ht="15" thickBot="1" x14ac:dyDescent="0.25">
      <c r="A50" s="1">
        <v>20</v>
      </c>
      <c r="C50" s="7" t="s">
        <v>65</v>
      </c>
      <c r="D50" s="13">
        <v>1532</v>
      </c>
      <c r="E50" s="54"/>
      <c r="F50" s="55"/>
      <c r="G50" s="55"/>
      <c r="H50" s="55"/>
      <c r="I50" s="45">
        <f t="shared" si="43"/>
        <v>0</v>
      </c>
      <c r="J50" s="55"/>
      <c r="K50" s="55"/>
      <c r="L50" s="55"/>
      <c r="M50" s="55"/>
      <c r="N50" s="46">
        <f t="shared" si="44"/>
        <v>0</v>
      </c>
      <c r="O50" s="47"/>
      <c r="P50" s="55"/>
      <c r="Q50" s="55"/>
      <c r="R50" s="55"/>
      <c r="S50" s="45">
        <f t="shared" si="46"/>
        <v>0</v>
      </c>
      <c r="T50" s="48">
        <f t="shared" si="47"/>
        <v>0</v>
      </c>
      <c r="U50" s="55"/>
      <c r="V50" s="55"/>
      <c r="W50" s="55"/>
      <c r="X50" s="46">
        <f t="shared" si="66"/>
        <v>0</v>
      </c>
      <c r="Y50" s="47"/>
      <c r="Z50" s="55"/>
      <c r="AA50" s="55"/>
      <c r="AB50" s="55"/>
      <c r="AC50" s="45">
        <f t="shared" si="49"/>
        <v>0</v>
      </c>
      <c r="AD50" s="55"/>
      <c r="AE50" s="55"/>
      <c r="AF50" s="55"/>
      <c r="AG50" s="55"/>
      <c r="AH50" s="46">
        <f t="shared" si="50"/>
        <v>0</v>
      </c>
      <c r="AI50" s="47"/>
      <c r="AJ50" s="55"/>
      <c r="AK50" s="55"/>
      <c r="AL50" s="55"/>
      <c r="AM50" s="45">
        <f t="shared" si="52"/>
        <v>0</v>
      </c>
      <c r="AN50" s="55"/>
      <c r="AO50" s="55"/>
      <c r="AP50" s="55"/>
      <c r="AQ50" s="55"/>
      <c r="AR50" s="46">
        <f t="shared" si="54"/>
        <v>0</v>
      </c>
      <c r="AS50" s="119"/>
      <c r="AT50" s="118"/>
      <c r="AU50" s="118"/>
      <c r="AV50" s="118"/>
      <c r="AW50" s="45">
        <f t="shared" si="56"/>
        <v>0</v>
      </c>
      <c r="AX50" s="48">
        <f t="shared" si="57"/>
        <v>0</v>
      </c>
      <c r="AY50" s="118"/>
      <c r="AZ50" s="118"/>
      <c r="BA50" s="118"/>
      <c r="BB50" s="46">
        <f t="shared" si="58"/>
        <v>0</v>
      </c>
      <c r="BC50" s="47">
        <f t="shared" si="68"/>
        <v>0</v>
      </c>
      <c r="BD50" s="114"/>
      <c r="BE50" s="114"/>
      <c r="BF50" s="114"/>
      <c r="BG50" s="45">
        <f t="shared" si="59"/>
        <v>0</v>
      </c>
      <c r="BH50" s="48">
        <f t="shared" si="60"/>
        <v>0</v>
      </c>
      <c r="BI50" s="114"/>
      <c r="BJ50" s="114"/>
      <c r="BK50" s="114"/>
      <c r="BL50" s="46">
        <f t="shared" si="61"/>
        <v>0</v>
      </c>
      <c r="BM50" s="47">
        <f t="shared" si="73"/>
        <v>0</v>
      </c>
      <c r="BN50" s="114"/>
      <c r="BO50" s="114"/>
      <c r="BP50" s="114"/>
      <c r="BQ50" s="114"/>
      <c r="BR50" s="114"/>
      <c r="BS50" s="114"/>
      <c r="BT50" s="45">
        <f t="shared" si="63"/>
        <v>0</v>
      </c>
      <c r="BU50" s="48">
        <f t="shared" si="64"/>
        <v>0</v>
      </c>
      <c r="BV50" s="114"/>
      <c r="BW50" s="114"/>
      <c r="BX50" s="118"/>
      <c r="BY50" s="46">
        <f t="shared" si="74"/>
        <v>0</v>
      </c>
      <c r="BZ50" s="114"/>
      <c r="CA50" s="114"/>
      <c r="CB50" s="48">
        <f t="shared" si="75"/>
        <v>0</v>
      </c>
      <c r="CC50" s="76">
        <f t="shared" si="76"/>
        <v>0</v>
      </c>
      <c r="CD50" s="115">
        <f t="shared" si="71"/>
        <v>0</v>
      </c>
      <c r="CE50" s="114">
        <f t="shared" si="72"/>
        <v>0</v>
      </c>
      <c r="CF50" s="49">
        <f t="shared" si="28"/>
        <v>0</v>
      </c>
      <c r="CG50" s="116"/>
      <c r="CH50" s="49">
        <f t="shared" si="29"/>
        <v>0</v>
      </c>
    </row>
    <row r="51" spans="1:86" ht="15" thickBot="1" x14ac:dyDescent="0.25">
      <c r="A51" s="1">
        <v>21</v>
      </c>
      <c r="C51" s="15" t="s">
        <v>41</v>
      </c>
      <c r="D51" s="13">
        <v>1533</v>
      </c>
      <c r="E51" s="54"/>
      <c r="F51" s="55"/>
      <c r="G51" s="55"/>
      <c r="H51" s="55"/>
      <c r="I51" s="45">
        <f t="shared" si="43"/>
        <v>0</v>
      </c>
      <c r="J51" s="55"/>
      <c r="K51" s="55"/>
      <c r="L51" s="55"/>
      <c r="M51" s="55"/>
      <c r="N51" s="46">
        <f t="shared" si="44"/>
        <v>0</v>
      </c>
      <c r="O51" s="47"/>
      <c r="P51" s="55"/>
      <c r="Q51" s="55"/>
      <c r="R51" s="55"/>
      <c r="S51" s="45">
        <f t="shared" si="46"/>
        <v>0</v>
      </c>
      <c r="T51" s="48">
        <f t="shared" si="47"/>
        <v>0</v>
      </c>
      <c r="U51" s="55"/>
      <c r="V51" s="55"/>
      <c r="W51" s="55"/>
      <c r="X51" s="46">
        <f t="shared" si="66"/>
        <v>0</v>
      </c>
      <c r="Y51" s="47"/>
      <c r="Z51" s="55"/>
      <c r="AA51" s="55"/>
      <c r="AB51" s="55"/>
      <c r="AC51" s="45">
        <f t="shared" si="49"/>
        <v>0</v>
      </c>
      <c r="AD51" s="55"/>
      <c r="AE51" s="55"/>
      <c r="AF51" s="55"/>
      <c r="AG51" s="55"/>
      <c r="AH51" s="46">
        <f t="shared" si="50"/>
        <v>0</v>
      </c>
      <c r="AI51" s="47"/>
      <c r="AJ51" s="55"/>
      <c r="AK51" s="55"/>
      <c r="AL51" s="55"/>
      <c r="AM51" s="45">
        <f t="shared" si="52"/>
        <v>0</v>
      </c>
      <c r="AN51" s="55"/>
      <c r="AO51" s="55"/>
      <c r="AP51" s="55"/>
      <c r="AQ51" s="55"/>
      <c r="AR51" s="46">
        <f t="shared" si="54"/>
        <v>0</v>
      </c>
      <c r="AS51" s="119"/>
      <c r="AT51" s="118"/>
      <c r="AU51" s="118"/>
      <c r="AV51" s="118"/>
      <c r="AW51" s="45">
        <f t="shared" si="56"/>
        <v>0</v>
      </c>
      <c r="AX51" s="48">
        <f t="shared" si="57"/>
        <v>0</v>
      </c>
      <c r="AY51" s="118"/>
      <c r="AZ51" s="118"/>
      <c r="BA51" s="118"/>
      <c r="BB51" s="46">
        <f t="shared" si="58"/>
        <v>0</v>
      </c>
      <c r="BC51" s="47">
        <f t="shared" si="68"/>
        <v>0</v>
      </c>
      <c r="BD51" s="114"/>
      <c r="BE51" s="114"/>
      <c r="BF51" s="114"/>
      <c r="BG51" s="45">
        <f t="shared" si="59"/>
        <v>0</v>
      </c>
      <c r="BH51" s="48">
        <f t="shared" si="60"/>
        <v>0</v>
      </c>
      <c r="BI51" s="114"/>
      <c r="BJ51" s="114"/>
      <c r="BK51" s="114"/>
      <c r="BL51" s="46">
        <f t="shared" si="61"/>
        <v>0</v>
      </c>
      <c r="BM51" s="47">
        <f t="shared" si="73"/>
        <v>0</v>
      </c>
      <c r="BN51" s="114"/>
      <c r="BO51" s="114"/>
      <c r="BP51" s="114"/>
      <c r="BQ51" s="114"/>
      <c r="BR51" s="114"/>
      <c r="BS51" s="114"/>
      <c r="BT51" s="45">
        <f t="shared" si="63"/>
        <v>0</v>
      </c>
      <c r="BU51" s="48">
        <f t="shared" si="64"/>
        <v>0</v>
      </c>
      <c r="BV51" s="114"/>
      <c r="BW51" s="114"/>
      <c r="BX51" s="118"/>
      <c r="BY51" s="46">
        <f t="shared" si="74"/>
        <v>0</v>
      </c>
      <c r="BZ51" s="114"/>
      <c r="CA51" s="114"/>
      <c r="CB51" s="48">
        <f t="shared" si="75"/>
        <v>0</v>
      </c>
      <c r="CC51" s="76">
        <f t="shared" si="76"/>
        <v>0</v>
      </c>
      <c r="CD51" s="115">
        <f t="shared" si="71"/>
        <v>0</v>
      </c>
      <c r="CE51" s="114">
        <f t="shared" si="72"/>
        <v>0</v>
      </c>
      <c r="CF51" s="49">
        <f t="shared" si="28"/>
        <v>0</v>
      </c>
      <c r="CG51" s="116"/>
      <c r="CH51" s="49">
        <f t="shared" si="29"/>
        <v>0</v>
      </c>
    </row>
    <row r="52" spans="1:86" ht="15" thickBot="1" x14ac:dyDescent="0.25">
      <c r="A52" s="1">
        <v>22</v>
      </c>
      <c r="C52" s="7" t="s">
        <v>32</v>
      </c>
      <c r="D52" s="13">
        <v>1534</v>
      </c>
      <c r="E52" s="54"/>
      <c r="F52" s="55"/>
      <c r="G52" s="55"/>
      <c r="H52" s="55"/>
      <c r="I52" s="45">
        <f t="shared" si="43"/>
        <v>0</v>
      </c>
      <c r="J52" s="55"/>
      <c r="K52" s="55"/>
      <c r="L52" s="55"/>
      <c r="M52" s="55"/>
      <c r="N52" s="46">
        <f t="shared" si="44"/>
        <v>0</v>
      </c>
      <c r="O52" s="47"/>
      <c r="P52" s="55"/>
      <c r="Q52" s="55"/>
      <c r="R52" s="55"/>
      <c r="S52" s="45">
        <f t="shared" si="46"/>
        <v>0</v>
      </c>
      <c r="T52" s="48">
        <f t="shared" si="47"/>
        <v>0</v>
      </c>
      <c r="U52" s="55"/>
      <c r="V52" s="55"/>
      <c r="W52" s="55"/>
      <c r="X52" s="46">
        <f t="shared" si="66"/>
        <v>0</v>
      </c>
      <c r="Y52" s="47"/>
      <c r="Z52" s="55"/>
      <c r="AA52" s="55"/>
      <c r="AB52" s="55"/>
      <c r="AC52" s="45">
        <f t="shared" si="49"/>
        <v>0</v>
      </c>
      <c r="AD52" s="55"/>
      <c r="AE52" s="55"/>
      <c r="AF52" s="55"/>
      <c r="AG52" s="55"/>
      <c r="AH52" s="46">
        <f t="shared" si="50"/>
        <v>0</v>
      </c>
      <c r="AI52" s="47"/>
      <c r="AJ52" s="55"/>
      <c r="AK52" s="55"/>
      <c r="AL52" s="55"/>
      <c r="AM52" s="45">
        <f t="shared" si="52"/>
        <v>0</v>
      </c>
      <c r="AN52" s="55"/>
      <c r="AO52" s="55"/>
      <c r="AP52" s="55"/>
      <c r="AQ52" s="55"/>
      <c r="AR52" s="46">
        <f t="shared" si="54"/>
        <v>0</v>
      </c>
      <c r="AS52" s="119"/>
      <c r="AT52" s="118"/>
      <c r="AU52" s="118"/>
      <c r="AV52" s="118"/>
      <c r="AW52" s="45">
        <f t="shared" si="56"/>
        <v>0</v>
      </c>
      <c r="AX52" s="48">
        <f t="shared" si="57"/>
        <v>0</v>
      </c>
      <c r="AY52" s="118"/>
      <c r="AZ52" s="118"/>
      <c r="BA52" s="118"/>
      <c r="BB52" s="46">
        <f t="shared" si="58"/>
        <v>0</v>
      </c>
      <c r="BC52" s="47">
        <f t="shared" si="68"/>
        <v>0</v>
      </c>
      <c r="BD52" s="114"/>
      <c r="BE52" s="114"/>
      <c r="BF52" s="114"/>
      <c r="BG52" s="45">
        <f t="shared" si="59"/>
        <v>0</v>
      </c>
      <c r="BH52" s="48">
        <f t="shared" si="60"/>
        <v>0</v>
      </c>
      <c r="BI52" s="114"/>
      <c r="BJ52" s="114"/>
      <c r="BK52" s="114"/>
      <c r="BL52" s="46">
        <f t="shared" si="61"/>
        <v>0</v>
      </c>
      <c r="BM52" s="47">
        <f t="shared" si="73"/>
        <v>0</v>
      </c>
      <c r="BN52" s="114"/>
      <c r="BO52" s="114"/>
      <c r="BP52" s="114"/>
      <c r="BQ52" s="114"/>
      <c r="BR52" s="114"/>
      <c r="BS52" s="114"/>
      <c r="BT52" s="45">
        <f t="shared" si="63"/>
        <v>0</v>
      </c>
      <c r="BU52" s="48">
        <f t="shared" si="64"/>
        <v>0</v>
      </c>
      <c r="BV52" s="114"/>
      <c r="BW52" s="114"/>
      <c r="BX52" s="118"/>
      <c r="BY52" s="46">
        <f t="shared" si="74"/>
        <v>0</v>
      </c>
      <c r="BZ52" s="114"/>
      <c r="CA52" s="114"/>
      <c r="CB52" s="48">
        <f t="shared" si="75"/>
        <v>0</v>
      </c>
      <c r="CC52" s="76">
        <f t="shared" si="76"/>
        <v>0</v>
      </c>
      <c r="CD52" s="115">
        <f t="shared" si="71"/>
        <v>0</v>
      </c>
      <c r="CE52" s="114">
        <f t="shared" si="72"/>
        <v>0</v>
      </c>
      <c r="CF52" s="49">
        <f t="shared" si="28"/>
        <v>0</v>
      </c>
      <c r="CG52" s="116"/>
      <c r="CH52" s="49">
        <f t="shared" si="29"/>
        <v>0</v>
      </c>
    </row>
    <row r="53" spans="1:86" ht="15" thickBot="1" x14ac:dyDescent="0.25">
      <c r="A53" s="1">
        <v>23</v>
      </c>
      <c r="C53" s="7" t="s">
        <v>33</v>
      </c>
      <c r="D53" s="13">
        <v>1535</v>
      </c>
      <c r="E53" s="54"/>
      <c r="F53" s="55"/>
      <c r="G53" s="55"/>
      <c r="H53" s="55"/>
      <c r="I53" s="45">
        <f t="shared" si="43"/>
        <v>0</v>
      </c>
      <c r="J53" s="55"/>
      <c r="K53" s="55"/>
      <c r="L53" s="55"/>
      <c r="M53" s="55"/>
      <c r="N53" s="46">
        <f t="shared" si="44"/>
        <v>0</v>
      </c>
      <c r="O53" s="47"/>
      <c r="P53" s="55"/>
      <c r="Q53" s="55"/>
      <c r="R53" s="55"/>
      <c r="S53" s="45">
        <f t="shared" si="46"/>
        <v>0</v>
      </c>
      <c r="T53" s="48">
        <f t="shared" si="47"/>
        <v>0</v>
      </c>
      <c r="U53" s="55"/>
      <c r="V53" s="55"/>
      <c r="W53" s="55"/>
      <c r="X53" s="46">
        <f t="shared" si="66"/>
        <v>0</v>
      </c>
      <c r="Y53" s="47"/>
      <c r="Z53" s="55"/>
      <c r="AA53" s="55"/>
      <c r="AB53" s="55"/>
      <c r="AC53" s="45">
        <f t="shared" si="49"/>
        <v>0</v>
      </c>
      <c r="AD53" s="55"/>
      <c r="AE53" s="55"/>
      <c r="AF53" s="55"/>
      <c r="AG53" s="55"/>
      <c r="AH53" s="46">
        <f t="shared" si="50"/>
        <v>0</v>
      </c>
      <c r="AI53" s="47"/>
      <c r="AJ53" s="55"/>
      <c r="AK53" s="55"/>
      <c r="AL53" s="55"/>
      <c r="AM53" s="45">
        <f t="shared" si="52"/>
        <v>0</v>
      </c>
      <c r="AN53" s="55"/>
      <c r="AO53" s="55"/>
      <c r="AP53" s="55"/>
      <c r="AQ53" s="55"/>
      <c r="AR53" s="46">
        <f t="shared" si="54"/>
        <v>0</v>
      </c>
      <c r="AS53" s="119"/>
      <c r="AT53" s="118"/>
      <c r="AU53" s="118"/>
      <c r="AV53" s="118"/>
      <c r="AW53" s="45">
        <f t="shared" si="56"/>
        <v>0</v>
      </c>
      <c r="AX53" s="48">
        <f t="shared" si="57"/>
        <v>0</v>
      </c>
      <c r="AY53" s="118"/>
      <c r="AZ53" s="118"/>
      <c r="BA53" s="118"/>
      <c r="BB53" s="46">
        <f t="shared" si="58"/>
        <v>0</v>
      </c>
      <c r="BC53" s="47">
        <f t="shared" si="68"/>
        <v>0</v>
      </c>
      <c r="BD53" s="114"/>
      <c r="BE53" s="114"/>
      <c r="BF53" s="114"/>
      <c r="BG53" s="45">
        <f t="shared" si="59"/>
        <v>0</v>
      </c>
      <c r="BH53" s="48">
        <f t="shared" si="60"/>
        <v>0</v>
      </c>
      <c r="BI53" s="114"/>
      <c r="BJ53" s="114"/>
      <c r="BK53" s="114"/>
      <c r="BL53" s="46">
        <f t="shared" si="61"/>
        <v>0</v>
      </c>
      <c r="BM53" s="47">
        <f t="shared" si="73"/>
        <v>0</v>
      </c>
      <c r="BN53" s="114"/>
      <c r="BO53" s="114"/>
      <c r="BP53" s="114"/>
      <c r="BQ53" s="114"/>
      <c r="BR53" s="114"/>
      <c r="BS53" s="114"/>
      <c r="BT53" s="45">
        <f t="shared" si="63"/>
        <v>0</v>
      </c>
      <c r="BU53" s="48">
        <f t="shared" si="64"/>
        <v>0</v>
      </c>
      <c r="BV53" s="114"/>
      <c r="BW53" s="114"/>
      <c r="BX53" s="118"/>
      <c r="BY53" s="46">
        <f t="shared" si="74"/>
        <v>0</v>
      </c>
      <c r="BZ53" s="114"/>
      <c r="CA53" s="114"/>
      <c r="CB53" s="48">
        <f t="shared" si="75"/>
        <v>0</v>
      </c>
      <c r="CC53" s="76">
        <f t="shared" si="76"/>
        <v>0</v>
      </c>
      <c r="CD53" s="115">
        <f t="shared" si="71"/>
        <v>0</v>
      </c>
      <c r="CE53" s="114">
        <f t="shared" si="72"/>
        <v>0</v>
      </c>
      <c r="CF53" s="49">
        <f t="shared" si="28"/>
        <v>0</v>
      </c>
      <c r="CG53" s="116"/>
      <c r="CH53" s="49">
        <f t="shared" si="29"/>
        <v>0</v>
      </c>
    </row>
    <row r="54" spans="1:86" ht="15" thickBot="1" x14ac:dyDescent="0.25">
      <c r="A54" s="1">
        <v>24</v>
      </c>
      <c r="C54" s="7" t="s">
        <v>39</v>
      </c>
      <c r="D54" s="13">
        <v>1536</v>
      </c>
      <c r="E54" s="54"/>
      <c r="F54" s="55"/>
      <c r="G54" s="55"/>
      <c r="H54" s="55"/>
      <c r="I54" s="45">
        <f t="shared" si="43"/>
        <v>0</v>
      </c>
      <c r="J54" s="55"/>
      <c r="K54" s="55"/>
      <c r="L54" s="55"/>
      <c r="M54" s="55"/>
      <c r="N54" s="46">
        <f t="shared" si="44"/>
        <v>0</v>
      </c>
      <c r="O54" s="47"/>
      <c r="P54" s="55"/>
      <c r="Q54" s="55"/>
      <c r="R54" s="55"/>
      <c r="S54" s="45">
        <f t="shared" si="46"/>
        <v>0</v>
      </c>
      <c r="T54" s="48">
        <f t="shared" si="47"/>
        <v>0</v>
      </c>
      <c r="U54" s="55"/>
      <c r="V54" s="55"/>
      <c r="W54" s="55"/>
      <c r="X54" s="46">
        <f t="shared" si="66"/>
        <v>0</v>
      </c>
      <c r="Y54" s="47"/>
      <c r="Z54" s="55"/>
      <c r="AA54" s="55"/>
      <c r="AB54" s="55"/>
      <c r="AC54" s="45">
        <f t="shared" si="49"/>
        <v>0</v>
      </c>
      <c r="AD54" s="55"/>
      <c r="AE54" s="55"/>
      <c r="AF54" s="55"/>
      <c r="AG54" s="55"/>
      <c r="AH54" s="46">
        <f t="shared" si="50"/>
        <v>0</v>
      </c>
      <c r="AI54" s="47"/>
      <c r="AJ54" s="55"/>
      <c r="AK54" s="55"/>
      <c r="AL54" s="55"/>
      <c r="AM54" s="45">
        <f t="shared" si="52"/>
        <v>0</v>
      </c>
      <c r="AN54" s="55"/>
      <c r="AO54" s="55"/>
      <c r="AP54" s="55"/>
      <c r="AQ54" s="55"/>
      <c r="AR54" s="46">
        <f t="shared" si="54"/>
        <v>0</v>
      </c>
      <c r="AS54" s="119"/>
      <c r="AT54" s="118"/>
      <c r="AU54" s="118"/>
      <c r="AV54" s="118"/>
      <c r="AW54" s="45">
        <f t="shared" si="56"/>
        <v>0</v>
      </c>
      <c r="AX54" s="48">
        <f t="shared" si="57"/>
        <v>0</v>
      </c>
      <c r="AY54" s="118"/>
      <c r="AZ54" s="118"/>
      <c r="BA54" s="118"/>
      <c r="BB54" s="46">
        <f t="shared" si="58"/>
        <v>0</v>
      </c>
      <c r="BC54" s="47">
        <f t="shared" si="68"/>
        <v>0</v>
      </c>
      <c r="BD54" s="114"/>
      <c r="BE54" s="114"/>
      <c r="BF54" s="114"/>
      <c r="BG54" s="45">
        <f t="shared" si="59"/>
        <v>0</v>
      </c>
      <c r="BH54" s="48">
        <f t="shared" si="60"/>
        <v>0</v>
      </c>
      <c r="BI54" s="114"/>
      <c r="BJ54" s="114"/>
      <c r="BK54" s="114"/>
      <c r="BL54" s="46">
        <f t="shared" si="61"/>
        <v>0</v>
      </c>
      <c r="BM54" s="47">
        <f t="shared" si="73"/>
        <v>0</v>
      </c>
      <c r="BN54" s="114"/>
      <c r="BO54" s="114"/>
      <c r="BP54" s="114"/>
      <c r="BQ54" s="114"/>
      <c r="BR54" s="114"/>
      <c r="BS54" s="114"/>
      <c r="BT54" s="45">
        <f t="shared" si="63"/>
        <v>0</v>
      </c>
      <c r="BU54" s="48">
        <f t="shared" si="64"/>
        <v>0</v>
      </c>
      <c r="BV54" s="114"/>
      <c r="BW54" s="114"/>
      <c r="BX54" s="118"/>
      <c r="BY54" s="46">
        <f t="shared" si="74"/>
        <v>0</v>
      </c>
      <c r="BZ54" s="114"/>
      <c r="CA54" s="114"/>
      <c r="CB54" s="48">
        <f t="shared" si="75"/>
        <v>0</v>
      </c>
      <c r="CC54" s="76">
        <f t="shared" si="76"/>
        <v>0</v>
      </c>
      <c r="CD54" s="115">
        <f t="shared" si="71"/>
        <v>0</v>
      </c>
      <c r="CE54" s="114">
        <f t="shared" si="72"/>
        <v>0</v>
      </c>
      <c r="CF54" s="49">
        <f t="shared" si="28"/>
        <v>0</v>
      </c>
      <c r="CG54" s="116"/>
      <c r="CH54" s="49">
        <f t="shared" si="29"/>
        <v>0</v>
      </c>
    </row>
    <row r="55" spans="1:86" ht="15" thickBot="1" x14ac:dyDescent="0.25">
      <c r="A55" s="1">
        <v>25</v>
      </c>
      <c r="C55" s="7" t="s">
        <v>5</v>
      </c>
      <c r="D55" s="13">
        <v>1548</v>
      </c>
      <c r="E55" s="120">
        <v>55297</v>
      </c>
      <c r="F55" s="119">
        <f>45351-1464</f>
        <v>43887</v>
      </c>
      <c r="G55" s="119"/>
      <c r="H55" s="119"/>
      <c r="I55" s="45">
        <f t="shared" si="43"/>
        <v>99184</v>
      </c>
      <c r="J55" s="119">
        <v>3465.69</v>
      </c>
      <c r="K55" s="119">
        <v>5298</v>
      </c>
      <c r="L55" s="119"/>
      <c r="M55" s="119"/>
      <c r="N55" s="46">
        <f t="shared" si="44"/>
        <v>8763.69</v>
      </c>
      <c r="O55" s="47">
        <f t="shared" ref="O55:O60" si="77">I55</f>
        <v>99184</v>
      </c>
      <c r="P55" s="119">
        <f>60903-5178</f>
        <v>55725</v>
      </c>
      <c r="Q55" s="119">
        <v>55297</v>
      </c>
      <c r="R55" s="119"/>
      <c r="S55" s="45">
        <f t="shared" si="46"/>
        <v>99612</v>
      </c>
      <c r="T55" s="48">
        <f t="shared" si="47"/>
        <v>8763.69</v>
      </c>
      <c r="U55" s="119">
        <v>4920</v>
      </c>
      <c r="V55" s="119">
        <v>8811</v>
      </c>
      <c r="W55" s="119"/>
      <c r="X55" s="46">
        <f t="shared" si="66"/>
        <v>4872.6900000000005</v>
      </c>
      <c r="Y55" s="47">
        <f>S55</f>
        <v>99612</v>
      </c>
      <c r="Z55" s="119">
        <v>52648</v>
      </c>
      <c r="AA55" s="119"/>
      <c r="AB55" s="119"/>
      <c r="AC55" s="45">
        <f t="shared" si="49"/>
        <v>152260</v>
      </c>
      <c r="AD55" s="48">
        <f>X55</f>
        <v>4872.6900000000005</v>
      </c>
      <c r="AE55" s="119">
        <v>9376</v>
      </c>
      <c r="AF55" s="119"/>
      <c r="AG55" s="119"/>
      <c r="AH55" s="46">
        <f t="shared" si="50"/>
        <v>14248.69</v>
      </c>
      <c r="AI55" s="47">
        <f>AC55</f>
        <v>152260</v>
      </c>
      <c r="AJ55" s="119">
        <v>57144</v>
      </c>
      <c r="AK55" s="119"/>
      <c r="AL55" s="119"/>
      <c r="AM55" s="45">
        <f t="shared" si="52"/>
        <v>209404</v>
      </c>
      <c r="AN55" s="48">
        <f>AH55</f>
        <v>14248.69</v>
      </c>
      <c r="AO55" s="119">
        <v>7015.52</v>
      </c>
      <c r="AP55" s="119"/>
      <c r="AQ55" s="119"/>
      <c r="AR55" s="46">
        <f t="shared" si="54"/>
        <v>21264.21</v>
      </c>
      <c r="AS55" s="47">
        <f>AM55</f>
        <v>209404</v>
      </c>
      <c r="AT55" s="118">
        <v>25923.09</v>
      </c>
      <c r="AU55" s="118">
        <v>152260</v>
      </c>
      <c r="AV55" s="118"/>
      <c r="AW55" s="45">
        <f t="shared" si="56"/>
        <v>83067.09</v>
      </c>
      <c r="AX55" s="48">
        <f t="shared" si="57"/>
        <v>21264.21</v>
      </c>
      <c r="AY55" s="114">
        <v>2084.52</v>
      </c>
      <c r="AZ55" s="114">
        <v>21551</v>
      </c>
      <c r="BA55" s="114"/>
      <c r="BB55" s="46">
        <f t="shared" si="58"/>
        <v>1797.7299999999996</v>
      </c>
      <c r="BC55" s="47">
        <f t="shared" si="68"/>
        <v>83067.09</v>
      </c>
      <c r="BD55" s="114">
        <v>14817.01</v>
      </c>
      <c r="BE55" s="114"/>
      <c r="BF55" s="114"/>
      <c r="BG55" s="45">
        <f t="shared" si="59"/>
        <v>97884.099999999991</v>
      </c>
      <c r="BH55" s="48">
        <f t="shared" si="60"/>
        <v>1797.7299999999996</v>
      </c>
      <c r="BI55" s="114">
        <v>728.19</v>
      </c>
      <c r="BJ55" s="119"/>
      <c r="BK55" s="119"/>
      <c r="BL55" s="46">
        <f t="shared" si="61"/>
        <v>2525.9199999999996</v>
      </c>
      <c r="BM55" s="47">
        <f t="shared" si="73"/>
        <v>97884.099999999991</v>
      </c>
      <c r="BN55" s="114">
        <v>33257.35</v>
      </c>
      <c r="BO55" s="114"/>
      <c r="BP55" s="114"/>
      <c r="BQ55" s="114"/>
      <c r="BR55" s="114"/>
      <c r="BS55" s="114"/>
      <c r="BT55" s="45">
        <f t="shared" si="63"/>
        <v>131141.44999999998</v>
      </c>
      <c r="BU55" s="48">
        <f t="shared" si="64"/>
        <v>2525.9199999999996</v>
      </c>
      <c r="BV55" s="114">
        <v>1654.69</v>
      </c>
      <c r="BW55" s="119"/>
      <c r="BX55" s="118"/>
      <c r="BY55" s="46">
        <f t="shared" si="74"/>
        <v>4180.6099999999997</v>
      </c>
      <c r="BZ55" s="113"/>
      <c r="CA55" s="114"/>
      <c r="CB55" s="48">
        <f t="shared" ref="CB55:CB60" si="78">BT55-BZ55</f>
        <v>131141.44999999998</v>
      </c>
      <c r="CC55" s="76">
        <f t="shared" ref="CC55:CC60" si="79">BY55-CA55</f>
        <v>4180.6099999999997</v>
      </c>
      <c r="CD55" s="115">
        <f t="shared" si="71"/>
        <v>1927.7793149999998</v>
      </c>
      <c r="CE55" s="114">
        <f t="shared" si="72"/>
        <v>642.59310499999992</v>
      </c>
      <c r="CF55" s="49">
        <f t="shared" si="28"/>
        <v>137892.43241999997</v>
      </c>
      <c r="CG55" s="116">
        <v>135322.04</v>
      </c>
      <c r="CH55" s="49">
        <f t="shared" si="29"/>
        <v>-1.9999999960418791E-2</v>
      </c>
    </row>
    <row r="56" spans="1:86" ht="15" thickBot="1" x14ac:dyDescent="0.25">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58"/>
        <v>0</v>
      </c>
      <c r="BC56" s="113"/>
      <c r="BD56" s="114"/>
      <c r="BE56" s="114"/>
      <c r="BF56" s="114"/>
      <c r="BG56" s="45">
        <f t="shared" si="59"/>
        <v>0</v>
      </c>
      <c r="BH56" s="48">
        <f t="shared" si="60"/>
        <v>0</v>
      </c>
      <c r="BI56" s="114"/>
      <c r="BJ56" s="114"/>
      <c r="BK56" s="114"/>
      <c r="BL56" s="46">
        <f>BH56+BI56-BJ56+BK56</f>
        <v>0</v>
      </c>
      <c r="BM56" s="47">
        <f t="shared" si="73"/>
        <v>0</v>
      </c>
      <c r="BN56" s="114"/>
      <c r="BO56" s="114"/>
      <c r="BP56" s="114"/>
      <c r="BQ56" s="114"/>
      <c r="BR56" s="114"/>
      <c r="BS56" s="114"/>
      <c r="BT56" s="45">
        <f>BM56+BN56-BO56+SUM(BP56:BS56)</f>
        <v>0</v>
      </c>
      <c r="BU56" s="48">
        <f>BL56</f>
        <v>0</v>
      </c>
      <c r="BV56" s="114"/>
      <c r="BW56" s="114"/>
      <c r="BX56" s="114"/>
      <c r="BY56" s="46">
        <f>BU56+BV56-BW56+BX56</f>
        <v>0</v>
      </c>
      <c r="BZ56" s="113"/>
      <c r="CA56" s="114"/>
      <c r="CB56" s="48">
        <f t="shared" si="78"/>
        <v>0</v>
      </c>
      <c r="CC56" s="76">
        <f t="shared" si="79"/>
        <v>0</v>
      </c>
      <c r="CD56" s="115">
        <f t="shared" si="71"/>
        <v>0</v>
      </c>
      <c r="CE56" s="114">
        <f t="shared" si="72"/>
        <v>0</v>
      </c>
      <c r="CF56" s="49">
        <f t="shared" si="28"/>
        <v>0</v>
      </c>
      <c r="CG56" s="116"/>
      <c r="CH56" s="49">
        <f>CG56-SUM(BT56,BY56)</f>
        <v>0</v>
      </c>
    </row>
    <row r="57" spans="1:86" ht="15" thickBot="1" x14ac:dyDescent="0.25">
      <c r="A57" s="1">
        <v>27</v>
      </c>
      <c r="C57" s="7" t="s">
        <v>18</v>
      </c>
      <c r="D57" s="13">
        <v>1572</v>
      </c>
      <c r="E57" s="113"/>
      <c r="F57" s="114"/>
      <c r="G57" s="114"/>
      <c r="H57" s="114"/>
      <c r="I57" s="45">
        <f t="shared" si="43"/>
        <v>0</v>
      </c>
      <c r="J57" s="114"/>
      <c r="K57" s="114"/>
      <c r="L57" s="114"/>
      <c r="M57" s="114"/>
      <c r="N57" s="46">
        <f t="shared" si="44"/>
        <v>0</v>
      </c>
      <c r="O57" s="47">
        <f t="shared" si="77"/>
        <v>0</v>
      </c>
      <c r="P57" s="114"/>
      <c r="Q57" s="114"/>
      <c r="R57" s="114"/>
      <c r="S57" s="45">
        <f t="shared" si="46"/>
        <v>0</v>
      </c>
      <c r="T57" s="48">
        <f t="shared" si="47"/>
        <v>0</v>
      </c>
      <c r="U57" s="114"/>
      <c r="V57" s="114"/>
      <c r="W57" s="114"/>
      <c r="X57" s="46">
        <f t="shared" si="66"/>
        <v>0</v>
      </c>
      <c r="Y57" s="47">
        <f>S57</f>
        <v>0</v>
      </c>
      <c r="Z57" s="114"/>
      <c r="AA57" s="114"/>
      <c r="AB57" s="114"/>
      <c r="AC57" s="45">
        <f t="shared" si="49"/>
        <v>0</v>
      </c>
      <c r="AD57" s="48">
        <f>X57</f>
        <v>0</v>
      </c>
      <c r="AE57" s="114"/>
      <c r="AF57" s="114"/>
      <c r="AG57" s="114"/>
      <c r="AH57" s="46">
        <f t="shared" si="50"/>
        <v>0</v>
      </c>
      <c r="AI57" s="47">
        <f>AC57</f>
        <v>0</v>
      </c>
      <c r="AJ57" s="114"/>
      <c r="AK57" s="114"/>
      <c r="AL57" s="114"/>
      <c r="AM57" s="45">
        <f t="shared" si="52"/>
        <v>0</v>
      </c>
      <c r="AN57" s="48">
        <f>AH57</f>
        <v>0</v>
      </c>
      <c r="AO57" s="114"/>
      <c r="AP57" s="114"/>
      <c r="AQ57" s="114"/>
      <c r="AR57" s="46">
        <f t="shared" si="54"/>
        <v>0</v>
      </c>
      <c r="AS57" s="47">
        <f>AM57</f>
        <v>0</v>
      </c>
      <c r="AT57" s="114"/>
      <c r="AU57" s="114"/>
      <c r="AV57" s="114"/>
      <c r="AW57" s="45">
        <f t="shared" si="56"/>
        <v>0</v>
      </c>
      <c r="AX57" s="48">
        <f>AR57</f>
        <v>0</v>
      </c>
      <c r="AY57" s="114"/>
      <c r="AZ57" s="114"/>
      <c r="BA57" s="114"/>
      <c r="BB57" s="46">
        <f t="shared" si="58"/>
        <v>0</v>
      </c>
      <c r="BC57" s="47">
        <f>AW57</f>
        <v>0</v>
      </c>
      <c r="BD57" s="114"/>
      <c r="BE57" s="114"/>
      <c r="BF57" s="114"/>
      <c r="BG57" s="45">
        <f t="shared" si="59"/>
        <v>0</v>
      </c>
      <c r="BH57" s="48">
        <f t="shared" si="60"/>
        <v>0</v>
      </c>
      <c r="BI57" s="114"/>
      <c r="BJ57" s="114"/>
      <c r="BK57" s="114"/>
      <c r="BL57" s="46">
        <f t="shared" si="61"/>
        <v>0</v>
      </c>
      <c r="BM57" s="47">
        <f>BG57</f>
        <v>0</v>
      </c>
      <c r="BN57" s="114"/>
      <c r="BO57" s="114"/>
      <c r="BP57" s="114"/>
      <c r="BQ57" s="114"/>
      <c r="BR57" s="114"/>
      <c r="BS57" s="114"/>
      <c r="BT57" s="45">
        <f t="shared" si="63"/>
        <v>0</v>
      </c>
      <c r="BU57" s="48">
        <f t="shared" si="64"/>
        <v>0</v>
      </c>
      <c r="BV57" s="114"/>
      <c r="BW57" s="114"/>
      <c r="BX57" s="114"/>
      <c r="BY57" s="46">
        <f>BU57+BV57-BW57+BX57</f>
        <v>0</v>
      </c>
      <c r="BZ57" s="113"/>
      <c r="CA57" s="114"/>
      <c r="CB57" s="48">
        <f t="shared" si="78"/>
        <v>0</v>
      </c>
      <c r="CC57" s="76">
        <f t="shared" si="79"/>
        <v>0</v>
      </c>
      <c r="CD57" s="115">
        <f t="shared" si="71"/>
        <v>0</v>
      </c>
      <c r="CE57" s="114">
        <f t="shared" si="72"/>
        <v>0</v>
      </c>
      <c r="CF57" s="49">
        <f t="shared" si="28"/>
        <v>0</v>
      </c>
      <c r="CG57" s="116"/>
      <c r="CH57" s="49">
        <f t="shared" si="29"/>
        <v>0</v>
      </c>
    </row>
    <row r="58" spans="1:86" ht="15" thickBot="1" x14ac:dyDescent="0.25">
      <c r="A58" s="1">
        <v>28</v>
      </c>
      <c r="C58" s="7" t="s">
        <v>6</v>
      </c>
      <c r="D58" s="13">
        <v>1574</v>
      </c>
      <c r="E58" s="113"/>
      <c r="F58" s="114"/>
      <c r="G58" s="114"/>
      <c r="H58" s="114"/>
      <c r="I58" s="45">
        <f t="shared" si="43"/>
        <v>0</v>
      </c>
      <c r="J58" s="114"/>
      <c r="K58" s="114"/>
      <c r="L58" s="114"/>
      <c r="M58" s="114"/>
      <c r="N58" s="46">
        <f t="shared" si="44"/>
        <v>0</v>
      </c>
      <c r="O58" s="47">
        <f t="shared" si="77"/>
        <v>0</v>
      </c>
      <c r="P58" s="114">
        <v>307201</v>
      </c>
      <c r="Q58" s="114"/>
      <c r="R58" s="114"/>
      <c r="S58" s="45">
        <f t="shared" si="46"/>
        <v>307201</v>
      </c>
      <c r="T58" s="48">
        <f t="shared" si="47"/>
        <v>0</v>
      </c>
      <c r="U58" s="114"/>
      <c r="V58" s="114"/>
      <c r="W58" s="114"/>
      <c r="X58" s="46">
        <f t="shared" si="66"/>
        <v>0</v>
      </c>
      <c r="Y58" s="47">
        <f>S58</f>
        <v>307201</v>
      </c>
      <c r="Z58" s="114"/>
      <c r="AA58" s="114"/>
      <c r="AB58" s="114">
        <v>-307201</v>
      </c>
      <c r="AC58" s="45">
        <f t="shared" si="49"/>
        <v>0</v>
      </c>
      <c r="AD58" s="48">
        <f>X58</f>
        <v>0</v>
      </c>
      <c r="AE58" s="114"/>
      <c r="AF58" s="114"/>
      <c r="AG58" s="114"/>
      <c r="AH58" s="46">
        <f t="shared" si="50"/>
        <v>0</v>
      </c>
      <c r="AI58" s="47">
        <f>AC58</f>
        <v>0</v>
      </c>
      <c r="AJ58" s="114"/>
      <c r="AK58" s="114"/>
      <c r="AL58" s="114"/>
      <c r="AM58" s="45">
        <f t="shared" si="52"/>
        <v>0</v>
      </c>
      <c r="AN58" s="48">
        <f>AH58</f>
        <v>0</v>
      </c>
      <c r="AO58" s="114"/>
      <c r="AP58" s="114"/>
      <c r="AQ58" s="114"/>
      <c r="AR58" s="46">
        <f t="shared" si="54"/>
        <v>0</v>
      </c>
      <c r="AS58" s="47">
        <f>AM58</f>
        <v>0</v>
      </c>
      <c r="AT58" s="114"/>
      <c r="AU58" s="114"/>
      <c r="AV58" s="114"/>
      <c r="AW58" s="45">
        <f t="shared" si="56"/>
        <v>0</v>
      </c>
      <c r="AX58" s="48">
        <f>AR58</f>
        <v>0</v>
      </c>
      <c r="AY58" s="114"/>
      <c r="AZ58" s="114"/>
      <c r="BA58" s="114"/>
      <c r="BB58" s="46">
        <f t="shared" si="58"/>
        <v>0</v>
      </c>
      <c r="BC58" s="47">
        <f>AW58</f>
        <v>0</v>
      </c>
      <c r="BD58" s="114"/>
      <c r="BE58" s="114"/>
      <c r="BF58" s="114"/>
      <c r="BG58" s="45">
        <f t="shared" si="59"/>
        <v>0</v>
      </c>
      <c r="BH58" s="48">
        <f t="shared" si="60"/>
        <v>0</v>
      </c>
      <c r="BI58" s="114"/>
      <c r="BJ58" s="114"/>
      <c r="BK58" s="114"/>
      <c r="BL58" s="46">
        <f t="shared" si="61"/>
        <v>0</v>
      </c>
      <c r="BM58" s="47">
        <f>BG58</f>
        <v>0</v>
      </c>
      <c r="BN58" s="114"/>
      <c r="BO58" s="114"/>
      <c r="BP58" s="114"/>
      <c r="BQ58" s="114"/>
      <c r="BR58" s="114"/>
      <c r="BS58" s="114"/>
      <c r="BT58" s="45">
        <f t="shared" si="63"/>
        <v>0</v>
      </c>
      <c r="BU58" s="48">
        <f t="shared" si="64"/>
        <v>0</v>
      </c>
      <c r="BV58" s="114"/>
      <c r="BW58" s="114"/>
      <c r="BX58" s="114"/>
      <c r="BY58" s="46">
        <f>BU58+BV58-BW58+BX58</f>
        <v>0</v>
      </c>
      <c r="BZ58" s="113"/>
      <c r="CA58" s="114"/>
      <c r="CB58" s="48">
        <f t="shared" si="78"/>
        <v>0</v>
      </c>
      <c r="CC58" s="76">
        <f t="shared" si="79"/>
        <v>0</v>
      </c>
      <c r="CD58" s="115">
        <f t="shared" si="71"/>
        <v>0</v>
      </c>
      <c r="CE58" s="114">
        <f t="shared" si="72"/>
        <v>0</v>
      </c>
      <c r="CF58" s="49">
        <f t="shared" si="28"/>
        <v>0</v>
      </c>
      <c r="CG58" s="116"/>
      <c r="CH58" s="49">
        <f t="shared" si="29"/>
        <v>0</v>
      </c>
    </row>
    <row r="59" spans="1:86" ht="15" thickBot="1" x14ac:dyDescent="0.25">
      <c r="A59" s="1">
        <v>29</v>
      </c>
      <c r="C59" s="15" t="s">
        <v>63</v>
      </c>
      <c r="D59" s="13">
        <v>1582</v>
      </c>
      <c r="E59" s="113">
        <v>133302</v>
      </c>
      <c r="F59" s="121">
        <v>55343</v>
      </c>
      <c r="G59" s="114"/>
      <c r="H59" s="114"/>
      <c r="I59" s="45">
        <f t="shared" si="43"/>
        <v>188645</v>
      </c>
      <c r="J59" s="114">
        <v>13553</v>
      </c>
      <c r="K59" s="114">
        <v>11179</v>
      </c>
      <c r="L59" s="114"/>
      <c r="M59" s="114"/>
      <c r="N59" s="46">
        <f t="shared" si="44"/>
        <v>24732</v>
      </c>
      <c r="O59" s="47">
        <f t="shared" si="77"/>
        <v>188645</v>
      </c>
      <c r="P59" s="114">
        <f>138003-133302</f>
        <v>4701</v>
      </c>
      <c r="Q59" s="114">
        <v>133302</v>
      </c>
      <c r="R59" s="114"/>
      <c r="S59" s="45">
        <f t="shared" si="46"/>
        <v>60044</v>
      </c>
      <c r="T59" s="48">
        <f t="shared" si="47"/>
        <v>24732</v>
      </c>
      <c r="U59" s="114">
        <v>6436</v>
      </c>
      <c r="V59" s="114">
        <v>26438</v>
      </c>
      <c r="W59" s="114"/>
      <c r="X59" s="46">
        <f t="shared" si="66"/>
        <v>4730</v>
      </c>
      <c r="Y59" s="47">
        <f>S59</f>
        <v>60044</v>
      </c>
      <c r="Z59" s="114"/>
      <c r="AA59" s="114"/>
      <c r="AB59" s="114"/>
      <c r="AC59" s="45">
        <f t="shared" si="49"/>
        <v>60044</v>
      </c>
      <c r="AD59" s="48">
        <f>X59</f>
        <v>4730</v>
      </c>
      <c r="AE59" s="114">
        <v>2839</v>
      </c>
      <c r="AF59" s="114"/>
      <c r="AG59" s="114"/>
      <c r="AH59" s="46">
        <f t="shared" si="50"/>
        <v>7569</v>
      </c>
      <c r="AI59" s="47">
        <f>AC59</f>
        <v>60044</v>
      </c>
      <c r="AJ59" s="114"/>
      <c r="AK59" s="114"/>
      <c r="AL59" s="114"/>
      <c r="AM59" s="45">
        <f t="shared" si="52"/>
        <v>60044</v>
      </c>
      <c r="AN59" s="48">
        <f>AH59</f>
        <v>7569</v>
      </c>
      <c r="AO59" s="114">
        <v>2389.75</v>
      </c>
      <c r="AP59" s="114"/>
      <c r="AQ59" s="114"/>
      <c r="AR59" s="46">
        <f t="shared" si="54"/>
        <v>9958.75</v>
      </c>
      <c r="AS59" s="47">
        <f>AM59</f>
        <v>60044</v>
      </c>
      <c r="AT59" s="114"/>
      <c r="AU59" s="114">
        <v>60044</v>
      </c>
      <c r="AV59" s="114"/>
      <c r="AW59" s="45">
        <f t="shared" si="56"/>
        <v>0</v>
      </c>
      <c r="AX59" s="48">
        <f>AR59</f>
        <v>9958.75</v>
      </c>
      <c r="AY59" s="114">
        <v>545</v>
      </c>
      <c r="AZ59" s="114">
        <v>10450</v>
      </c>
      <c r="BA59" s="114"/>
      <c r="BB59" s="46">
        <f t="shared" si="58"/>
        <v>53.75</v>
      </c>
      <c r="BC59" s="47">
        <f>AW59</f>
        <v>0</v>
      </c>
      <c r="BD59" s="114"/>
      <c r="BE59" s="114">
        <v>0.02</v>
      </c>
      <c r="BF59" s="114"/>
      <c r="BG59" s="45">
        <f t="shared" si="59"/>
        <v>-0.02</v>
      </c>
      <c r="BH59" s="48">
        <f t="shared" si="60"/>
        <v>53.75</v>
      </c>
      <c r="BI59" s="114">
        <v>-54</v>
      </c>
      <c r="BJ59" s="114"/>
      <c r="BK59" s="114"/>
      <c r="BL59" s="46">
        <f t="shared" si="61"/>
        <v>-0.25</v>
      </c>
      <c r="BM59" s="47">
        <f>BG59</f>
        <v>-0.02</v>
      </c>
      <c r="BN59" s="114"/>
      <c r="BO59" s="114"/>
      <c r="BP59" s="114"/>
      <c r="BQ59" s="114"/>
      <c r="BR59" s="114"/>
      <c r="BS59" s="114"/>
      <c r="BT59" s="45">
        <f t="shared" si="63"/>
        <v>-0.02</v>
      </c>
      <c r="BU59" s="48">
        <f t="shared" si="64"/>
        <v>-0.25</v>
      </c>
      <c r="BV59" s="114"/>
      <c r="BW59" s="114"/>
      <c r="BX59" s="114"/>
      <c r="BY59" s="46">
        <f>BU59+BV59-BW59+BX59</f>
        <v>-0.25</v>
      </c>
      <c r="BZ59" s="113"/>
      <c r="CA59" s="114"/>
      <c r="CB59" s="48">
        <f t="shared" si="78"/>
        <v>-0.02</v>
      </c>
      <c r="CC59" s="76">
        <f t="shared" si="79"/>
        <v>-0.25</v>
      </c>
      <c r="CD59" s="115">
        <f t="shared" si="71"/>
        <v>-2.9399999999999999E-4</v>
      </c>
      <c r="CE59" s="114">
        <f t="shared" si="72"/>
        <v>-9.7999999999999997E-5</v>
      </c>
      <c r="CF59" s="49">
        <f t="shared" si="28"/>
        <v>-0.27039200000000002</v>
      </c>
      <c r="CG59" s="116">
        <v>0</v>
      </c>
      <c r="CH59" s="49">
        <f t="shared" si="29"/>
        <v>0.27</v>
      </c>
    </row>
    <row r="60" spans="1:86" ht="15" thickBot="1" x14ac:dyDescent="0.25">
      <c r="A60" s="1">
        <v>30</v>
      </c>
      <c r="C60" s="9" t="s">
        <v>7</v>
      </c>
      <c r="D60" s="20">
        <v>2425</v>
      </c>
      <c r="E60" s="113"/>
      <c r="F60" s="114"/>
      <c r="G60" s="114"/>
      <c r="H60" s="114"/>
      <c r="I60" s="45">
        <f t="shared" si="43"/>
        <v>0</v>
      </c>
      <c r="J60" s="114"/>
      <c r="K60" s="114"/>
      <c r="L60" s="114"/>
      <c r="M60" s="114"/>
      <c r="N60" s="46">
        <f t="shared" si="44"/>
        <v>0</v>
      </c>
      <c r="O60" s="47">
        <f t="shared" si="77"/>
        <v>0</v>
      </c>
      <c r="P60" s="114"/>
      <c r="Q60" s="114"/>
      <c r="R60" s="114"/>
      <c r="S60" s="45">
        <f t="shared" si="46"/>
        <v>0</v>
      </c>
      <c r="T60" s="48">
        <f t="shared" si="47"/>
        <v>0</v>
      </c>
      <c r="U60" s="114"/>
      <c r="V60" s="114"/>
      <c r="W60" s="114"/>
      <c r="X60" s="46">
        <f t="shared" si="66"/>
        <v>0</v>
      </c>
      <c r="Y60" s="47">
        <f>S60</f>
        <v>0</v>
      </c>
      <c r="Z60" s="114"/>
      <c r="AA60" s="114"/>
      <c r="AB60" s="114"/>
      <c r="AC60" s="45">
        <f t="shared" si="49"/>
        <v>0</v>
      </c>
      <c r="AD60" s="48">
        <f>X60</f>
        <v>0</v>
      </c>
      <c r="AE60" s="114"/>
      <c r="AF60" s="114"/>
      <c r="AG60" s="114"/>
      <c r="AH60" s="46">
        <f t="shared" si="50"/>
        <v>0</v>
      </c>
      <c r="AI60" s="47">
        <f>AC60</f>
        <v>0</v>
      </c>
      <c r="AJ60" s="114"/>
      <c r="AK60" s="114"/>
      <c r="AL60" s="114"/>
      <c r="AM60" s="45">
        <f t="shared" si="52"/>
        <v>0</v>
      </c>
      <c r="AN60" s="48">
        <f>AH60</f>
        <v>0</v>
      </c>
      <c r="AO60" s="114"/>
      <c r="AP60" s="114"/>
      <c r="AQ60" s="114"/>
      <c r="AR60" s="46">
        <f t="shared" si="54"/>
        <v>0</v>
      </c>
      <c r="AS60" s="47">
        <f>AM60</f>
        <v>0</v>
      </c>
      <c r="AT60" s="114"/>
      <c r="AU60" s="114"/>
      <c r="AV60" s="114"/>
      <c r="AW60" s="45">
        <f t="shared" si="56"/>
        <v>0</v>
      </c>
      <c r="AX60" s="48">
        <f>AR60</f>
        <v>0</v>
      </c>
      <c r="AY60" s="114"/>
      <c r="AZ60" s="114"/>
      <c r="BA60" s="114"/>
      <c r="BB60" s="46">
        <f t="shared" si="58"/>
        <v>0</v>
      </c>
      <c r="BC60" s="47">
        <f>AW60</f>
        <v>0</v>
      </c>
      <c r="BD60" s="114"/>
      <c r="BE60" s="114"/>
      <c r="BF60" s="114"/>
      <c r="BG60" s="45">
        <f t="shared" si="59"/>
        <v>0</v>
      </c>
      <c r="BH60" s="48">
        <f t="shared" si="60"/>
        <v>0</v>
      </c>
      <c r="BI60" s="114"/>
      <c r="BJ60" s="114"/>
      <c r="BK60" s="114"/>
      <c r="BL60" s="46">
        <f t="shared" si="61"/>
        <v>0</v>
      </c>
      <c r="BM60" s="47">
        <f>BG60</f>
        <v>0</v>
      </c>
      <c r="BN60" s="114"/>
      <c r="BO60" s="114"/>
      <c r="BP60" s="114"/>
      <c r="BQ60" s="114"/>
      <c r="BR60" s="114"/>
      <c r="BS60" s="114"/>
      <c r="BT60" s="45">
        <f t="shared" si="63"/>
        <v>0</v>
      </c>
      <c r="BU60" s="48">
        <f t="shared" si="64"/>
        <v>0</v>
      </c>
      <c r="BV60" s="114"/>
      <c r="BW60" s="114"/>
      <c r="BX60" s="114"/>
      <c r="BY60" s="46">
        <f>BU60+BV60-BW60+BX60</f>
        <v>0</v>
      </c>
      <c r="BZ60" s="113"/>
      <c r="CA60" s="114"/>
      <c r="CB60" s="48">
        <f t="shared" si="78"/>
        <v>0</v>
      </c>
      <c r="CC60" s="76">
        <f t="shared" si="79"/>
        <v>0</v>
      </c>
      <c r="CD60" s="115">
        <f t="shared" si="71"/>
        <v>0</v>
      </c>
      <c r="CE60" s="114">
        <f t="shared" si="72"/>
        <v>0</v>
      </c>
      <c r="CF60" s="49">
        <f t="shared" si="28"/>
        <v>0</v>
      </c>
      <c r="CG60" s="116"/>
      <c r="CH60" s="49">
        <f t="shared" si="29"/>
        <v>0</v>
      </c>
    </row>
    <row r="61" spans="1:86" ht="14.25" x14ac:dyDescent="0.2">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6"/>
      <c r="CD61" s="51"/>
      <c r="CE61" s="51"/>
      <c r="CF61" s="49"/>
      <c r="CG61" s="52"/>
      <c r="CH61" s="49"/>
    </row>
    <row r="62" spans="1:86" ht="15" x14ac:dyDescent="0.25">
      <c r="C62" s="21" t="s">
        <v>34</v>
      </c>
      <c r="D62" s="9"/>
      <c r="E62" s="50">
        <f t="shared" ref="E62:K62" si="80">SUM(E40:E60)</f>
        <v>355644.26</v>
      </c>
      <c r="F62" s="45">
        <f t="shared" si="80"/>
        <v>622754</v>
      </c>
      <c r="G62" s="45">
        <f t="shared" si="80"/>
        <v>0</v>
      </c>
      <c r="H62" s="45">
        <f t="shared" si="80"/>
        <v>0</v>
      </c>
      <c r="I62" s="45">
        <f t="shared" si="80"/>
        <v>978398.26</v>
      </c>
      <c r="J62" s="45">
        <f t="shared" si="80"/>
        <v>41364.69</v>
      </c>
      <c r="K62" s="45">
        <f t="shared" si="80"/>
        <v>40939</v>
      </c>
      <c r="L62" s="45">
        <f>SUM(L40:L60)</f>
        <v>0</v>
      </c>
      <c r="M62" s="45">
        <f>SUM(M40:M60)</f>
        <v>0</v>
      </c>
      <c r="N62" s="45">
        <f>SUM(N40:N60)</f>
        <v>82303.69</v>
      </c>
      <c r="O62" s="50">
        <f t="shared" ref="O62:W62" si="81">SUM(O40:O60)</f>
        <v>978398.26</v>
      </c>
      <c r="P62" s="45">
        <f t="shared" si="81"/>
        <v>581436</v>
      </c>
      <c r="Q62" s="45">
        <f t="shared" si="81"/>
        <v>355644</v>
      </c>
      <c r="R62" s="45">
        <f t="shared" si="81"/>
        <v>0</v>
      </c>
      <c r="S62" s="45">
        <f t="shared" si="81"/>
        <v>1204190.26</v>
      </c>
      <c r="T62" s="45">
        <f t="shared" si="81"/>
        <v>82303.69</v>
      </c>
      <c r="U62" s="45">
        <f t="shared" si="81"/>
        <v>46183</v>
      </c>
      <c r="V62" s="45">
        <f t="shared" si="81"/>
        <v>74729</v>
      </c>
      <c r="W62" s="45">
        <f t="shared" si="81"/>
        <v>0</v>
      </c>
      <c r="X62" s="46">
        <f>SUM(X40:X60)</f>
        <v>53757.69</v>
      </c>
      <c r="Y62" s="50">
        <f t="shared" ref="Y62:BB62" si="82">SUM(Y40:Y60)</f>
        <v>1204190.26</v>
      </c>
      <c r="Z62" s="45">
        <f t="shared" si="82"/>
        <v>97223</v>
      </c>
      <c r="AA62" s="45">
        <f t="shared" si="82"/>
        <v>0</v>
      </c>
      <c r="AB62" s="45">
        <f t="shared" si="82"/>
        <v>-307201</v>
      </c>
      <c r="AC62" s="45">
        <f t="shared" si="82"/>
        <v>994212.26</v>
      </c>
      <c r="AD62" s="45">
        <f t="shared" si="82"/>
        <v>53757.69</v>
      </c>
      <c r="AE62" s="45">
        <f t="shared" si="82"/>
        <v>54031</v>
      </c>
      <c r="AF62" s="45">
        <f t="shared" si="82"/>
        <v>0</v>
      </c>
      <c r="AG62" s="45">
        <f t="shared" si="82"/>
        <v>0</v>
      </c>
      <c r="AH62" s="46">
        <f t="shared" si="82"/>
        <v>107788.69</v>
      </c>
      <c r="AI62" s="50">
        <f t="shared" si="82"/>
        <v>994212.26</v>
      </c>
      <c r="AJ62" s="45">
        <f t="shared" si="82"/>
        <v>105220</v>
      </c>
      <c r="AK62" s="45">
        <f t="shared" si="82"/>
        <v>0</v>
      </c>
      <c r="AL62" s="45">
        <f t="shared" si="82"/>
        <v>2985.93</v>
      </c>
      <c r="AM62" s="45">
        <f t="shared" si="82"/>
        <v>1102418.19</v>
      </c>
      <c r="AN62" s="45">
        <f t="shared" si="82"/>
        <v>107788.69</v>
      </c>
      <c r="AO62" s="45">
        <f t="shared" si="82"/>
        <v>41531.75</v>
      </c>
      <c r="AP62" s="45">
        <f>SUM(AP40:AP60)</f>
        <v>0</v>
      </c>
      <c r="AQ62" s="45">
        <f>SUM(AQ40:AQ60)</f>
        <v>0</v>
      </c>
      <c r="AR62" s="46">
        <f t="shared" si="82"/>
        <v>149320.44</v>
      </c>
      <c r="AS62" s="50">
        <f t="shared" si="82"/>
        <v>1102418.19</v>
      </c>
      <c r="AT62" s="45">
        <f t="shared" si="82"/>
        <v>49086.81</v>
      </c>
      <c r="AU62" s="45">
        <f t="shared" si="82"/>
        <v>994212</v>
      </c>
      <c r="AV62" s="45">
        <f t="shared" si="82"/>
        <v>0</v>
      </c>
      <c r="AW62" s="45">
        <f t="shared" si="82"/>
        <v>157293</v>
      </c>
      <c r="AX62" s="45">
        <f t="shared" si="82"/>
        <v>149320.44</v>
      </c>
      <c r="AY62" s="45">
        <f t="shared" si="82"/>
        <v>10377.01</v>
      </c>
      <c r="AZ62" s="45">
        <f t="shared" si="82"/>
        <v>155623</v>
      </c>
      <c r="BA62" s="45">
        <f t="shared" si="82"/>
        <v>0</v>
      </c>
      <c r="BB62" s="46">
        <f t="shared" si="82"/>
        <v>4074.4500000000012</v>
      </c>
      <c r="BC62" s="50">
        <f t="shared" ref="BC62:BL62" si="83">SUM(BC40:BC60)</f>
        <v>157293</v>
      </c>
      <c r="BD62" s="45">
        <f t="shared" si="83"/>
        <v>49451.44</v>
      </c>
      <c r="BE62" s="45">
        <f t="shared" si="83"/>
        <v>0.02</v>
      </c>
      <c r="BF62" s="45">
        <f t="shared" si="83"/>
        <v>0</v>
      </c>
      <c r="BG62" s="45">
        <f t="shared" si="83"/>
        <v>206744.42</v>
      </c>
      <c r="BH62" s="45">
        <f t="shared" si="83"/>
        <v>4074.4500000000012</v>
      </c>
      <c r="BI62" s="45">
        <f t="shared" si="83"/>
        <v>1394.83</v>
      </c>
      <c r="BJ62" s="45">
        <f t="shared" si="83"/>
        <v>0</v>
      </c>
      <c r="BK62" s="45">
        <f t="shared" si="83"/>
        <v>0</v>
      </c>
      <c r="BL62" s="46">
        <f t="shared" si="83"/>
        <v>5469.2800000000007</v>
      </c>
      <c r="BM62" s="50">
        <f t="shared" ref="BM62:BY62" si="84">SUM(BM40:BM60)</f>
        <v>206744.42</v>
      </c>
      <c r="BN62" s="45">
        <f t="shared" si="84"/>
        <v>66164.320000000007</v>
      </c>
      <c r="BO62" s="45">
        <f t="shared" si="84"/>
        <v>0</v>
      </c>
      <c r="BP62" s="45">
        <f t="shared" si="84"/>
        <v>0</v>
      </c>
      <c r="BQ62" s="45">
        <f t="shared" si="84"/>
        <v>0</v>
      </c>
      <c r="BR62" s="45">
        <f t="shared" si="84"/>
        <v>0</v>
      </c>
      <c r="BS62" s="45">
        <f t="shared" si="84"/>
        <v>0</v>
      </c>
      <c r="BT62" s="45">
        <f t="shared" si="84"/>
        <v>272908.74</v>
      </c>
      <c r="BU62" s="45">
        <f t="shared" si="84"/>
        <v>5469.2800000000007</v>
      </c>
      <c r="BV62" s="45">
        <f t="shared" si="84"/>
        <v>3497.73</v>
      </c>
      <c r="BW62" s="45">
        <f t="shared" si="84"/>
        <v>0</v>
      </c>
      <c r="BX62" s="45">
        <f t="shared" si="84"/>
        <v>0</v>
      </c>
      <c r="BY62" s="46">
        <f t="shared" si="84"/>
        <v>8967.010000000002</v>
      </c>
      <c r="BZ62" s="50">
        <f t="shared" ref="BZ62:CG62" si="85">SUM(BZ40:BZ60)</f>
        <v>0</v>
      </c>
      <c r="CA62" s="45">
        <f t="shared" si="85"/>
        <v>0</v>
      </c>
      <c r="CB62" s="45">
        <f t="shared" si="85"/>
        <v>272908.74</v>
      </c>
      <c r="CC62" s="46">
        <f t="shared" si="85"/>
        <v>8967.010000000002</v>
      </c>
      <c r="CD62" s="45">
        <f t="shared" si="85"/>
        <v>4011.7584779999997</v>
      </c>
      <c r="CE62" s="45">
        <f t="shared" si="85"/>
        <v>1337.2528259999999</v>
      </c>
      <c r="CF62" s="49">
        <f t="shared" si="28"/>
        <v>287224.76130399999</v>
      </c>
      <c r="CG62" s="53">
        <f t="shared" si="85"/>
        <v>281878.68000000005</v>
      </c>
      <c r="CH62" s="49">
        <f t="shared" si="29"/>
        <v>2.9300000000512227</v>
      </c>
    </row>
    <row r="63" spans="1:86" ht="15" thickBot="1" x14ac:dyDescent="0.25">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6"/>
      <c r="CD63" s="51"/>
      <c r="CE63" s="51"/>
      <c r="CF63" s="49"/>
      <c r="CG63" s="52"/>
      <c r="CH63" s="49"/>
    </row>
    <row r="64" spans="1:86" ht="15" thickBot="1" x14ac:dyDescent="0.25">
      <c r="A64" s="1">
        <v>31</v>
      </c>
      <c r="C64" s="9" t="s">
        <v>16</v>
      </c>
      <c r="D64" s="13">
        <v>1562</v>
      </c>
      <c r="E64" s="113"/>
      <c r="F64" s="121"/>
      <c r="G64" s="114"/>
      <c r="H64" s="114"/>
      <c r="I64" s="45">
        <f>E64+F64-G64+H64</f>
        <v>0</v>
      </c>
      <c r="J64" s="114"/>
      <c r="K64" s="114"/>
      <c r="L64" s="114"/>
      <c r="M64" s="114"/>
      <c r="N64" s="46">
        <f>J64+K64-L64+M64</f>
        <v>0</v>
      </c>
      <c r="O64" s="47">
        <f>I64</f>
        <v>0</v>
      </c>
      <c r="P64" s="114"/>
      <c r="Q64" s="114"/>
      <c r="R64" s="114"/>
      <c r="S64" s="45">
        <f>O64+P64-Q64+R64</f>
        <v>0</v>
      </c>
      <c r="T64" s="48">
        <f>N64</f>
        <v>0</v>
      </c>
      <c r="U64" s="114"/>
      <c r="V64" s="114"/>
      <c r="W64" s="114"/>
      <c r="X64" s="46">
        <f>T64+U64-V64+W64</f>
        <v>0</v>
      </c>
      <c r="Y64" s="47">
        <f>S64</f>
        <v>0</v>
      </c>
      <c r="Z64" s="114"/>
      <c r="AA64" s="114"/>
      <c r="AB64" s="114"/>
      <c r="AC64" s="45">
        <f>Y64+Z64-AA64+AB64</f>
        <v>0</v>
      </c>
      <c r="AD64" s="48">
        <f>X64</f>
        <v>0</v>
      </c>
      <c r="AE64" s="114"/>
      <c r="AF64" s="114"/>
      <c r="AG64" s="114"/>
      <c r="AH64" s="46">
        <f>AD64+AE64-AF64+AG64</f>
        <v>0</v>
      </c>
      <c r="AI64" s="47">
        <f>AC64</f>
        <v>0</v>
      </c>
      <c r="AJ64" s="114"/>
      <c r="AK64" s="114"/>
      <c r="AL64" s="114"/>
      <c r="AM64" s="45">
        <f>AI64+AJ64-AK64+AL64</f>
        <v>0</v>
      </c>
      <c r="AN64" s="48">
        <f>AH64</f>
        <v>0</v>
      </c>
      <c r="AO64" s="114"/>
      <c r="AP64" s="114"/>
      <c r="AQ64" s="114"/>
      <c r="AR64" s="46">
        <f>AN64+AO64-AP64+AQ64</f>
        <v>0</v>
      </c>
      <c r="AS64" s="47">
        <f>AM64</f>
        <v>0</v>
      </c>
      <c r="AT64" s="114"/>
      <c r="AU64" s="114"/>
      <c r="AV64" s="114"/>
      <c r="AW64" s="45">
        <f>AS64+AT64-AU64+AV64</f>
        <v>0</v>
      </c>
      <c r="AX64" s="48">
        <f>AR64</f>
        <v>0</v>
      </c>
      <c r="AY64" s="114"/>
      <c r="AZ64" s="114"/>
      <c r="BA64" s="114"/>
      <c r="BB64" s="46">
        <f>AX64+AY64-AZ64+BA64</f>
        <v>0</v>
      </c>
      <c r="BC64" s="47">
        <f>AW64</f>
        <v>0</v>
      </c>
      <c r="BD64" s="114"/>
      <c r="BE64" s="114"/>
      <c r="BF64" s="114"/>
      <c r="BG64" s="45">
        <f>BC64+BD64-BE64+SUM(BF64:BF64)</f>
        <v>0</v>
      </c>
      <c r="BH64" s="48">
        <f>BB64</f>
        <v>0</v>
      </c>
      <c r="BI64" s="114"/>
      <c r="BJ64" s="114"/>
      <c r="BK64" s="114"/>
      <c r="BL64" s="46">
        <f>BH64+BI64-BJ64+BK64</f>
        <v>0</v>
      </c>
      <c r="BM64" s="47">
        <f>BG64</f>
        <v>0</v>
      </c>
      <c r="BN64" s="114"/>
      <c r="BO64" s="114"/>
      <c r="BP64" s="114"/>
      <c r="BQ64" s="114"/>
      <c r="BR64" s="114"/>
      <c r="BS64" s="114"/>
      <c r="BT64" s="45">
        <f>BM64+BN64-BO64+SUM(BP64:BS64)</f>
        <v>0</v>
      </c>
      <c r="BU64" s="48">
        <f>BL64</f>
        <v>0</v>
      </c>
      <c r="BV64" s="114"/>
      <c r="BW64" s="114"/>
      <c r="BX64" s="114"/>
      <c r="BY64" s="46">
        <f>BU64+BV64-BW64+BX64</f>
        <v>0</v>
      </c>
      <c r="BZ64" s="113"/>
      <c r="CA64" s="114"/>
      <c r="CB64" s="48">
        <f>BT64-BZ64</f>
        <v>0</v>
      </c>
      <c r="CC64" s="76">
        <f>BY64-CA64</f>
        <v>0</v>
      </c>
      <c r="CD64" s="115"/>
      <c r="CE64" s="114"/>
      <c r="CF64" s="49">
        <f t="shared" si="28"/>
        <v>0</v>
      </c>
      <c r="CG64" s="116"/>
      <c r="CH64" s="49">
        <f t="shared" si="29"/>
        <v>0</v>
      </c>
    </row>
    <row r="65" spans="1:86" ht="29.25" thickBot="1" x14ac:dyDescent="0.25">
      <c r="A65" s="1">
        <v>32</v>
      </c>
      <c r="C65" s="69" t="s">
        <v>71</v>
      </c>
      <c r="D65" s="70">
        <v>1592</v>
      </c>
      <c r="E65" s="113"/>
      <c r="F65" s="114"/>
      <c r="G65" s="114"/>
      <c r="H65" s="114"/>
      <c r="I65" s="45">
        <f>E65+F65-G65+H65</f>
        <v>0</v>
      </c>
      <c r="J65" s="114"/>
      <c r="K65" s="114"/>
      <c r="L65" s="114"/>
      <c r="M65" s="114"/>
      <c r="N65" s="46">
        <f>J65+K65-L65+M65</f>
        <v>0</v>
      </c>
      <c r="O65" s="47">
        <f>I65</f>
        <v>0</v>
      </c>
      <c r="P65" s="114"/>
      <c r="Q65" s="114"/>
      <c r="R65" s="114"/>
      <c r="S65" s="45">
        <f>O65+P65-Q65+R65</f>
        <v>0</v>
      </c>
      <c r="T65" s="48">
        <f>N65</f>
        <v>0</v>
      </c>
      <c r="U65" s="114"/>
      <c r="V65" s="114"/>
      <c r="W65" s="114"/>
      <c r="X65" s="46">
        <f>T65+U65-V65+W65</f>
        <v>0</v>
      </c>
      <c r="Y65" s="47">
        <f>S65</f>
        <v>0</v>
      </c>
      <c r="Z65" s="114"/>
      <c r="AA65" s="114"/>
      <c r="AB65" s="114"/>
      <c r="AC65" s="45">
        <f>Y65+Z65-AA65+AB65</f>
        <v>0</v>
      </c>
      <c r="AD65" s="48">
        <f>X65</f>
        <v>0</v>
      </c>
      <c r="AE65" s="114"/>
      <c r="AF65" s="114"/>
      <c r="AG65" s="114"/>
      <c r="AH65" s="46">
        <f>AD65+AE65-AF65+AG65</f>
        <v>0</v>
      </c>
      <c r="AI65" s="47">
        <f>AC65</f>
        <v>0</v>
      </c>
      <c r="AJ65" s="114"/>
      <c r="AK65" s="114"/>
      <c r="AL65" s="114"/>
      <c r="AM65" s="45">
        <f>AI65+AJ65-AK65+AL65</f>
        <v>0</v>
      </c>
      <c r="AN65" s="48">
        <f>AH65</f>
        <v>0</v>
      </c>
      <c r="AO65" s="114"/>
      <c r="AP65" s="114"/>
      <c r="AQ65" s="114"/>
      <c r="AR65" s="46">
        <f>AN65+AO65-AP65+AQ65</f>
        <v>0</v>
      </c>
      <c r="AS65" s="47">
        <f>AM65</f>
        <v>0</v>
      </c>
      <c r="AT65" s="114"/>
      <c r="AU65" s="114"/>
      <c r="AV65" s="114"/>
      <c r="AW65" s="45">
        <f>AS65+AT65-AU65+AV65</f>
        <v>0</v>
      </c>
      <c r="AX65" s="48">
        <f>AR65</f>
        <v>0</v>
      </c>
      <c r="AY65" s="114"/>
      <c r="AZ65" s="114"/>
      <c r="BA65" s="114"/>
      <c r="BB65" s="46">
        <f>AX65+AY65-AZ65+BA65</f>
        <v>0</v>
      </c>
      <c r="BC65" s="47">
        <f>AW65</f>
        <v>0</v>
      </c>
      <c r="BD65" s="114"/>
      <c r="BE65" s="114"/>
      <c r="BF65" s="114"/>
      <c r="BG65" s="45">
        <f>BC65+BD65-BE65+SUM(BF65:BF65)</f>
        <v>0</v>
      </c>
      <c r="BH65" s="48">
        <f>BB65</f>
        <v>0</v>
      </c>
      <c r="BI65" s="114"/>
      <c r="BJ65" s="114"/>
      <c r="BK65" s="114"/>
      <c r="BL65" s="46">
        <f>BH65+BI65-BJ65+BK65</f>
        <v>0</v>
      </c>
      <c r="BM65" s="47">
        <f>BG65</f>
        <v>0</v>
      </c>
      <c r="BN65" s="114"/>
      <c r="BO65" s="114"/>
      <c r="BP65" s="114"/>
      <c r="BQ65" s="114"/>
      <c r="BR65" s="114"/>
      <c r="BS65" s="114"/>
      <c r="BT65" s="45">
        <f>BM65+BN65-BO65+SUM(BP65:BS65)</f>
        <v>0</v>
      </c>
      <c r="BU65" s="48">
        <f>BL65</f>
        <v>0</v>
      </c>
      <c r="BV65" s="114"/>
      <c r="BW65" s="114"/>
      <c r="BX65" s="114"/>
      <c r="BY65" s="46">
        <f>BU65+BV65-BW65+BX65</f>
        <v>0</v>
      </c>
      <c r="BZ65" s="113"/>
      <c r="CA65" s="114"/>
      <c r="CB65" s="48">
        <f>BT65-BZ65</f>
        <v>0</v>
      </c>
      <c r="CC65" s="76">
        <f>BY65-CA65</f>
        <v>0</v>
      </c>
      <c r="CD65" s="115">
        <f>CB65*0.0147</f>
        <v>0</v>
      </c>
      <c r="CE65" s="114">
        <f>CB65*0.0049</f>
        <v>0</v>
      </c>
      <c r="CF65" s="49">
        <f t="shared" si="28"/>
        <v>0</v>
      </c>
      <c r="CG65" s="116"/>
      <c r="CH65" s="49">
        <f t="shared" si="29"/>
        <v>0</v>
      </c>
    </row>
    <row r="66" spans="1:86" ht="29.25" thickBot="1" x14ac:dyDescent="0.25">
      <c r="A66" s="1">
        <v>33</v>
      </c>
      <c r="C66" s="69" t="s">
        <v>70</v>
      </c>
      <c r="D66" s="70">
        <v>1592</v>
      </c>
      <c r="E66" s="113"/>
      <c r="F66" s="114"/>
      <c r="G66" s="114"/>
      <c r="H66" s="114"/>
      <c r="I66" s="45">
        <f>E66+F66-G66+H66</f>
        <v>0</v>
      </c>
      <c r="J66" s="114"/>
      <c r="K66" s="114"/>
      <c r="L66" s="114"/>
      <c r="M66" s="114"/>
      <c r="N66" s="46">
        <f>J66+K66-L66+M66</f>
        <v>0</v>
      </c>
      <c r="O66" s="47">
        <f>I66</f>
        <v>0</v>
      </c>
      <c r="P66" s="114"/>
      <c r="Q66" s="114"/>
      <c r="R66" s="114"/>
      <c r="S66" s="45">
        <f>O66+P66-Q66+R66</f>
        <v>0</v>
      </c>
      <c r="T66" s="48">
        <f>N66</f>
        <v>0</v>
      </c>
      <c r="U66" s="114"/>
      <c r="V66" s="114"/>
      <c r="W66" s="114"/>
      <c r="X66" s="46">
        <f>T66+U66-V66+W66</f>
        <v>0</v>
      </c>
      <c r="Y66" s="47">
        <f>S66</f>
        <v>0</v>
      </c>
      <c r="Z66" s="114"/>
      <c r="AA66" s="114"/>
      <c r="AB66" s="114"/>
      <c r="AC66" s="45">
        <f>Y66+Z66-AA66+AB66</f>
        <v>0</v>
      </c>
      <c r="AD66" s="48">
        <f>X66</f>
        <v>0</v>
      </c>
      <c r="AE66" s="114"/>
      <c r="AF66" s="114"/>
      <c r="AG66" s="114"/>
      <c r="AH66" s="46">
        <f>AD66+AE66-AF66+AG66</f>
        <v>0</v>
      </c>
      <c r="AI66" s="47">
        <f>AC66</f>
        <v>0</v>
      </c>
      <c r="AJ66" s="114"/>
      <c r="AK66" s="114"/>
      <c r="AL66" s="114"/>
      <c r="AM66" s="45">
        <f>AI66+AJ66-AK66+AL66</f>
        <v>0</v>
      </c>
      <c r="AN66" s="48">
        <f>AH66</f>
        <v>0</v>
      </c>
      <c r="AO66" s="114"/>
      <c r="AP66" s="114"/>
      <c r="AQ66" s="114"/>
      <c r="AR66" s="46">
        <f>AN66+AO66-AP66+AQ66</f>
        <v>0</v>
      </c>
      <c r="AS66" s="47">
        <f>AM66</f>
        <v>0</v>
      </c>
      <c r="AT66" s="114"/>
      <c r="AU66" s="114"/>
      <c r="AV66" s="114"/>
      <c r="AW66" s="45">
        <f>AS66+AT66-AU66+AV66</f>
        <v>0</v>
      </c>
      <c r="AX66" s="48">
        <f>AR66</f>
        <v>0</v>
      </c>
      <c r="AY66" s="114"/>
      <c r="AZ66" s="114"/>
      <c r="BA66" s="114"/>
      <c r="BB66" s="46">
        <f>AX66+AY66-AZ66+BA66</f>
        <v>0</v>
      </c>
      <c r="BC66" s="47">
        <f>AW66</f>
        <v>0</v>
      </c>
      <c r="BD66" s="114">
        <f>-35133.27*0.5</f>
        <v>-17566.634999999998</v>
      </c>
      <c r="BE66" s="114"/>
      <c r="BF66" s="114"/>
      <c r="BG66" s="45">
        <f>BC66+BD66-BE66+SUM(BF66:BF66)</f>
        <v>-17566.634999999998</v>
      </c>
      <c r="BH66" s="48">
        <f>BB66</f>
        <v>0</v>
      </c>
      <c r="BI66" s="114">
        <f>-63.57*0.5</f>
        <v>-31.785</v>
      </c>
      <c r="BJ66" s="114"/>
      <c r="BK66" s="114"/>
      <c r="BL66" s="46">
        <f>BH66+BI66-BJ66+BK66</f>
        <v>-31.785</v>
      </c>
      <c r="BM66" s="47">
        <f>BG66</f>
        <v>-17566.634999999998</v>
      </c>
      <c r="BN66" s="114">
        <f>-144794.58*0.5</f>
        <v>-72397.289999999994</v>
      </c>
      <c r="BO66" s="114"/>
      <c r="BP66" s="114"/>
      <c r="BQ66" s="114"/>
      <c r="BR66" s="114"/>
      <c r="BS66" s="114"/>
      <c r="BT66" s="45">
        <f>BM66+BN66-BO66+SUM(BP66:BS66)</f>
        <v>-89963.924999999988</v>
      </c>
      <c r="BU66" s="48">
        <f>BL66</f>
        <v>-31.785</v>
      </c>
      <c r="BV66" s="114">
        <f>-1350.44*0.5</f>
        <v>-675.22</v>
      </c>
      <c r="BW66" s="114"/>
      <c r="BX66" s="114"/>
      <c r="BY66" s="46">
        <f>BU66+BV66-BW66+BX66</f>
        <v>-707.005</v>
      </c>
      <c r="BZ66" s="113"/>
      <c r="CA66" s="114"/>
      <c r="CB66" s="79">
        <f>BT66-BZ66</f>
        <v>-89963.924999999988</v>
      </c>
      <c r="CC66" s="80">
        <f>BY66-CA66</f>
        <v>-707.005</v>
      </c>
      <c r="CD66" s="187">
        <f>CB66*0.0147</f>
        <v>-1322.4696974999997</v>
      </c>
      <c r="CE66" s="188">
        <f>CB66*0.0049</f>
        <v>-440.8232324999999</v>
      </c>
      <c r="CF66" s="49">
        <f t="shared" si="28"/>
        <v>-92434.222929999989</v>
      </c>
      <c r="CG66" s="116"/>
      <c r="CH66" s="49">
        <f t="shared" si="29"/>
        <v>90670.93</v>
      </c>
    </row>
    <row r="67" spans="1:86" ht="14.25" x14ac:dyDescent="0.2">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6"/>
      <c r="CD67" s="51"/>
      <c r="CE67" s="51"/>
      <c r="CF67" s="49"/>
      <c r="CG67" s="52"/>
      <c r="CH67" s="49">
        <f t="shared" si="29"/>
        <v>0</v>
      </c>
    </row>
    <row r="68" spans="1:86" ht="15" x14ac:dyDescent="0.25">
      <c r="C68" s="21" t="s">
        <v>59</v>
      </c>
      <c r="D68" s="9"/>
      <c r="E68" s="50">
        <f>+E62+E35+E64+E65+E66</f>
        <v>355644.26</v>
      </c>
      <c r="F68" s="45">
        <f t="shared" ref="F68:BQ68" si="86">+F62+F35+F64+F65+F66</f>
        <v>-2240286</v>
      </c>
      <c r="G68" s="45">
        <f t="shared" si="86"/>
        <v>0</v>
      </c>
      <c r="H68" s="45">
        <f t="shared" si="86"/>
        <v>0</v>
      </c>
      <c r="I68" s="45">
        <f t="shared" si="86"/>
        <v>-1884641.74</v>
      </c>
      <c r="J68" s="45">
        <f t="shared" si="86"/>
        <v>41364.69</v>
      </c>
      <c r="K68" s="45">
        <f t="shared" si="86"/>
        <v>-139150</v>
      </c>
      <c r="L68" s="45">
        <f t="shared" si="86"/>
        <v>0</v>
      </c>
      <c r="M68" s="45">
        <f t="shared" si="86"/>
        <v>0</v>
      </c>
      <c r="N68" s="46">
        <f t="shared" si="86"/>
        <v>-97785.31</v>
      </c>
      <c r="O68" s="50">
        <f t="shared" si="86"/>
        <v>-1884641.74</v>
      </c>
      <c r="P68" s="45">
        <f t="shared" si="86"/>
        <v>660401</v>
      </c>
      <c r="Q68" s="45">
        <f t="shared" si="86"/>
        <v>355644</v>
      </c>
      <c r="R68" s="45">
        <f t="shared" si="86"/>
        <v>286263</v>
      </c>
      <c r="S68" s="45">
        <f t="shared" si="86"/>
        <v>-1293621.74</v>
      </c>
      <c r="T68" s="45">
        <f t="shared" si="86"/>
        <v>-97785.31</v>
      </c>
      <c r="U68" s="45">
        <f t="shared" si="86"/>
        <v>-54701</v>
      </c>
      <c r="V68" s="45">
        <f t="shared" si="86"/>
        <v>74729</v>
      </c>
      <c r="W68" s="45">
        <f t="shared" si="86"/>
        <v>275664</v>
      </c>
      <c r="X68" s="46">
        <f t="shared" si="86"/>
        <v>48448.69</v>
      </c>
      <c r="Y68" s="50">
        <f t="shared" si="86"/>
        <v>-1293621.74</v>
      </c>
      <c r="Z68" s="45">
        <f t="shared" si="86"/>
        <v>-140510</v>
      </c>
      <c r="AA68" s="45">
        <f t="shared" si="86"/>
        <v>0</v>
      </c>
      <c r="AB68" s="45">
        <f t="shared" si="86"/>
        <v>-307201</v>
      </c>
      <c r="AC68" s="45">
        <f t="shared" si="86"/>
        <v>-1741332.74</v>
      </c>
      <c r="AD68" s="45">
        <f t="shared" si="86"/>
        <v>48448.69</v>
      </c>
      <c r="AE68" s="45">
        <f t="shared" si="86"/>
        <v>-98690</v>
      </c>
      <c r="AF68" s="45">
        <f t="shared" si="86"/>
        <v>0</v>
      </c>
      <c r="AG68" s="45">
        <f t="shared" si="86"/>
        <v>0</v>
      </c>
      <c r="AH68" s="46">
        <f t="shared" si="86"/>
        <v>-50241.31</v>
      </c>
      <c r="AI68" s="50">
        <f t="shared" si="86"/>
        <v>-1741332.74</v>
      </c>
      <c r="AJ68" s="45">
        <f t="shared" si="86"/>
        <v>-1142076</v>
      </c>
      <c r="AK68" s="45">
        <f t="shared" si="86"/>
        <v>0</v>
      </c>
      <c r="AL68" s="45">
        <f t="shared" si="86"/>
        <v>2985.93</v>
      </c>
      <c r="AM68" s="45">
        <f t="shared" si="86"/>
        <v>-2880422.81</v>
      </c>
      <c r="AN68" s="45">
        <f t="shared" si="86"/>
        <v>-50241.31</v>
      </c>
      <c r="AO68" s="45">
        <f t="shared" si="86"/>
        <v>-116406.25</v>
      </c>
      <c r="AP68" s="45">
        <f t="shared" si="86"/>
        <v>0</v>
      </c>
      <c r="AQ68" s="45">
        <f t="shared" si="86"/>
        <v>0</v>
      </c>
      <c r="AR68" s="46">
        <f t="shared" si="86"/>
        <v>-166647.56</v>
      </c>
      <c r="AS68" s="50">
        <f t="shared" si="86"/>
        <v>-2880422.81</v>
      </c>
      <c r="AT68" s="45">
        <f t="shared" si="86"/>
        <v>3203331.81</v>
      </c>
      <c r="AU68" s="45">
        <f t="shared" si="86"/>
        <v>0</v>
      </c>
      <c r="AV68" s="45">
        <f t="shared" si="86"/>
        <v>0</v>
      </c>
      <c r="AW68" s="45">
        <f t="shared" si="86"/>
        <v>322909</v>
      </c>
      <c r="AX68" s="45">
        <f t="shared" si="86"/>
        <v>-166647.56</v>
      </c>
      <c r="AY68" s="45">
        <f t="shared" si="86"/>
        <v>-22737.989999999998</v>
      </c>
      <c r="AZ68" s="45">
        <f t="shared" si="86"/>
        <v>0</v>
      </c>
      <c r="BA68" s="45">
        <f t="shared" si="86"/>
        <v>0</v>
      </c>
      <c r="BB68" s="46">
        <f t="shared" si="86"/>
        <v>-189385.55</v>
      </c>
      <c r="BC68" s="50">
        <f t="shared" si="86"/>
        <v>322909</v>
      </c>
      <c r="BD68" s="45">
        <f t="shared" si="86"/>
        <v>-379362.19500000001</v>
      </c>
      <c r="BE68" s="45">
        <f t="shared" si="86"/>
        <v>0.02</v>
      </c>
      <c r="BF68" s="45">
        <f t="shared" si="86"/>
        <v>0</v>
      </c>
      <c r="BG68" s="45">
        <f t="shared" si="86"/>
        <v>-56453.214999999982</v>
      </c>
      <c r="BH68" s="45">
        <f t="shared" si="86"/>
        <v>-189385.55</v>
      </c>
      <c r="BI68" s="45">
        <f t="shared" si="86"/>
        <v>-4381.9549999999999</v>
      </c>
      <c r="BJ68" s="45">
        <f t="shared" si="86"/>
        <v>0</v>
      </c>
      <c r="BK68" s="45">
        <f t="shared" si="86"/>
        <v>0</v>
      </c>
      <c r="BL68" s="46">
        <f t="shared" si="86"/>
        <v>-193767.505</v>
      </c>
      <c r="BM68" s="50">
        <f t="shared" si="86"/>
        <v>-56453.214999999982</v>
      </c>
      <c r="BN68" s="45">
        <f t="shared" si="86"/>
        <v>-1360295.0499999996</v>
      </c>
      <c r="BO68" s="45">
        <f t="shared" si="86"/>
        <v>2710993</v>
      </c>
      <c r="BP68" s="45">
        <f t="shared" si="86"/>
        <v>0</v>
      </c>
      <c r="BQ68" s="45">
        <f t="shared" si="86"/>
        <v>0</v>
      </c>
      <c r="BR68" s="45">
        <f t="shared" ref="BR68:CH68" si="87">+BR62+BR35+BR64+BR65+BR66</f>
        <v>0</v>
      </c>
      <c r="BS68" s="45">
        <f t="shared" si="87"/>
        <v>0</v>
      </c>
      <c r="BT68" s="45">
        <f t="shared" si="87"/>
        <v>-4127741.2649999997</v>
      </c>
      <c r="BU68" s="45">
        <f t="shared" si="87"/>
        <v>-193767.505</v>
      </c>
      <c r="BV68" s="45">
        <f t="shared" si="87"/>
        <v>-16479.570000000003</v>
      </c>
      <c r="BW68" s="45">
        <f t="shared" si="87"/>
        <v>14166</v>
      </c>
      <c r="BX68" s="45">
        <f t="shared" si="87"/>
        <v>0</v>
      </c>
      <c r="BY68" s="46">
        <f t="shared" si="87"/>
        <v>-224413.07500000001</v>
      </c>
      <c r="BZ68" s="50">
        <f t="shared" si="87"/>
        <v>-2058311</v>
      </c>
      <c r="CA68" s="45">
        <f t="shared" si="87"/>
        <v>-39167</v>
      </c>
      <c r="CB68" s="45">
        <f t="shared" si="87"/>
        <v>-2069430.2649999997</v>
      </c>
      <c r="CC68" s="46">
        <f t="shared" si="87"/>
        <v>-185246.07500000001</v>
      </c>
      <c r="CD68" s="45">
        <f t="shared" si="87"/>
        <v>-30420.624895499997</v>
      </c>
      <c r="CE68" s="45">
        <f t="shared" si="87"/>
        <v>-10140.208298499998</v>
      </c>
      <c r="CF68" s="49">
        <f t="shared" si="87"/>
        <v>-2295237.1731940005</v>
      </c>
      <c r="CG68" s="52">
        <f t="shared" si="87"/>
        <v>-4261081.91</v>
      </c>
      <c r="CH68" s="49">
        <f t="shared" si="87"/>
        <v>91072.43000000024</v>
      </c>
    </row>
    <row r="69" spans="1:86" ht="14.25" x14ac:dyDescent="0.2">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6"/>
      <c r="CD69" s="51"/>
      <c r="CE69" s="51"/>
      <c r="CF69" s="49"/>
      <c r="CG69" s="52"/>
      <c r="CH69" s="49"/>
    </row>
    <row r="70" spans="1:86" ht="15" thickBot="1" x14ac:dyDescent="0.25">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6"/>
      <c r="CD70" s="51"/>
      <c r="CE70" s="51"/>
      <c r="CF70" s="49"/>
      <c r="CG70" s="52"/>
      <c r="CH70" s="49"/>
    </row>
    <row r="71" spans="1:86" ht="18" thickBot="1" x14ac:dyDescent="0.3">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22"/>
      <c r="BD71" s="123"/>
      <c r="BE71" s="123"/>
      <c r="BF71" s="123"/>
      <c r="BG71" s="45">
        <f>BC71+BD71-BE71+SUM(BF71:BF71)</f>
        <v>0</v>
      </c>
      <c r="BH71" s="123"/>
      <c r="BI71" s="123"/>
      <c r="BJ71" s="123"/>
      <c r="BK71" s="123"/>
      <c r="BL71" s="46">
        <f>BH71+BI71-BJ71+BK71</f>
        <v>0</v>
      </c>
      <c r="BM71" s="47">
        <f>BG71</f>
        <v>0</v>
      </c>
      <c r="BN71" s="123"/>
      <c r="BO71" s="123"/>
      <c r="BP71" s="123"/>
      <c r="BQ71" s="123"/>
      <c r="BR71" s="123"/>
      <c r="BS71" s="123"/>
      <c r="BT71" s="45">
        <f>BM71+BN71-BO71+SUM(BP71:BS71)</f>
        <v>0</v>
      </c>
      <c r="BU71" s="45">
        <f>BL71</f>
        <v>0</v>
      </c>
      <c r="BV71" s="123"/>
      <c r="BW71" s="123"/>
      <c r="BX71" s="114"/>
      <c r="BY71" s="46">
        <f>BU71+BV71-BW71+BX71</f>
        <v>0</v>
      </c>
      <c r="BZ71" s="123"/>
      <c r="CA71" s="123"/>
      <c r="CB71" s="79">
        <f>BT71-BZ71</f>
        <v>0</v>
      </c>
      <c r="CC71" s="80">
        <f>BY71-CA71</f>
        <v>0</v>
      </c>
      <c r="CD71" s="124"/>
      <c r="CE71" s="123"/>
      <c r="CF71" s="49">
        <f t="shared" si="28"/>
        <v>0</v>
      </c>
      <c r="CG71" s="125"/>
      <c r="CH71" s="49">
        <f t="shared" si="29"/>
        <v>0</v>
      </c>
    </row>
    <row r="72" spans="1:86" ht="15" thickBot="1" x14ac:dyDescent="0.25">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6"/>
      <c r="CD72" s="51"/>
      <c r="CE72" s="51"/>
      <c r="CF72" s="49"/>
      <c r="CG72" s="52"/>
      <c r="CH72" s="49">
        <f t="shared" si="29"/>
        <v>0</v>
      </c>
    </row>
    <row r="73" spans="1:86" ht="15.75" thickBot="1" x14ac:dyDescent="0.3">
      <c r="C73" s="135" t="s">
        <v>168</v>
      </c>
      <c r="D73" s="134">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22"/>
      <c r="BD73" s="123"/>
      <c r="BE73" s="123"/>
      <c r="BF73" s="123"/>
      <c r="BG73" s="45">
        <f>BC73+BD73-BE73+SUM(BF73:BF73)</f>
        <v>0</v>
      </c>
      <c r="BH73" s="123"/>
      <c r="BI73" s="123"/>
      <c r="BJ73" s="123"/>
      <c r="BK73" s="123"/>
      <c r="BL73" s="46">
        <f>BH73+BI73-BJ73+BK73</f>
        <v>0</v>
      </c>
      <c r="BM73" s="47">
        <f>BG73</f>
        <v>0</v>
      </c>
      <c r="BN73" s="123">
        <v>39255.11</v>
      </c>
      <c r="BO73" s="123"/>
      <c r="BP73" s="123"/>
      <c r="BQ73" s="123"/>
      <c r="BR73" s="123"/>
      <c r="BS73" s="123"/>
      <c r="BT73" s="45">
        <f>BM73+BN73-BO73+SUM(BP73:BS73)</f>
        <v>39255.11</v>
      </c>
      <c r="BU73" s="45">
        <f>BL73</f>
        <v>0</v>
      </c>
      <c r="BV73" s="123">
        <v>290.19</v>
      </c>
      <c r="BW73" s="123"/>
      <c r="BX73" s="114"/>
      <c r="BY73" s="46">
        <f>BU73+BV73-BW73+BX73</f>
        <v>290.19</v>
      </c>
      <c r="BZ73" s="123"/>
      <c r="CA73" s="123"/>
      <c r="CB73" s="79">
        <f>BT73-BZ73</f>
        <v>39255.11</v>
      </c>
      <c r="CC73" s="80">
        <f>BY73-CA73</f>
        <v>290.19</v>
      </c>
      <c r="CD73" s="124">
        <f>CB73*0.0147</f>
        <v>577.050117</v>
      </c>
      <c r="CE73" s="123">
        <f>CB73*0.0049</f>
        <v>192.35003900000001</v>
      </c>
      <c r="CF73" s="49">
        <f>SUM(CB73:CE73)</f>
        <v>40314.700155999999</v>
      </c>
      <c r="CG73" s="125"/>
      <c r="CH73" s="49">
        <f>CG73-SUM(BT73,BY73)</f>
        <v>-39545.300000000003</v>
      </c>
    </row>
    <row r="74" spans="1:86" ht="15" x14ac:dyDescent="0.25">
      <c r="C74" s="135"/>
      <c r="D74" s="136"/>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6"/>
      <c r="CD74" s="51"/>
      <c r="CE74" s="51"/>
      <c r="CF74" s="49"/>
      <c r="CG74" s="52"/>
      <c r="CH74" s="49"/>
    </row>
    <row r="75" spans="1:86" ht="15" x14ac:dyDescent="0.25">
      <c r="C75" s="135"/>
      <c r="D75" s="136"/>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6"/>
      <c r="CD75" s="51"/>
      <c r="CE75" s="51"/>
      <c r="CF75" s="49"/>
      <c r="CG75" s="52"/>
      <c r="CH75" s="49"/>
    </row>
    <row r="76" spans="1:86" ht="15" x14ac:dyDescent="0.25">
      <c r="C76" s="25" t="s">
        <v>169</v>
      </c>
      <c r="D76" s="22"/>
      <c r="E76" s="50">
        <f>E71+E68+E73</f>
        <v>355644.26</v>
      </c>
      <c r="F76" s="45">
        <f t="shared" ref="F76:BQ76" si="88">F71+F68+F73</f>
        <v>-2240286</v>
      </c>
      <c r="G76" s="45">
        <f t="shared" si="88"/>
        <v>0</v>
      </c>
      <c r="H76" s="45">
        <f t="shared" si="88"/>
        <v>0</v>
      </c>
      <c r="I76" s="45">
        <f t="shared" si="88"/>
        <v>-1884641.74</v>
      </c>
      <c r="J76" s="45">
        <f t="shared" si="88"/>
        <v>41364.69</v>
      </c>
      <c r="K76" s="45">
        <f t="shared" si="88"/>
        <v>-139150</v>
      </c>
      <c r="L76" s="45">
        <f t="shared" si="88"/>
        <v>0</v>
      </c>
      <c r="M76" s="45">
        <f t="shared" si="88"/>
        <v>0</v>
      </c>
      <c r="N76" s="45">
        <f t="shared" si="88"/>
        <v>-97785.31</v>
      </c>
      <c r="O76" s="50">
        <f t="shared" si="88"/>
        <v>-1884641.74</v>
      </c>
      <c r="P76" s="45">
        <f t="shared" si="88"/>
        <v>660401</v>
      </c>
      <c r="Q76" s="45">
        <f t="shared" si="88"/>
        <v>355644</v>
      </c>
      <c r="R76" s="45">
        <f t="shared" si="88"/>
        <v>286263</v>
      </c>
      <c r="S76" s="45">
        <f t="shared" si="88"/>
        <v>-1293621.74</v>
      </c>
      <c r="T76" s="45">
        <f t="shared" si="88"/>
        <v>-97785.31</v>
      </c>
      <c r="U76" s="45">
        <f t="shared" si="88"/>
        <v>-54701</v>
      </c>
      <c r="V76" s="45">
        <f t="shared" si="88"/>
        <v>74729</v>
      </c>
      <c r="W76" s="45">
        <f t="shared" si="88"/>
        <v>275664</v>
      </c>
      <c r="X76" s="45">
        <f t="shared" si="88"/>
        <v>48448.69</v>
      </c>
      <c r="Y76" s="50">
        <f t="shared" si="88"/>
        <v>-1293621.74</v>
      </c>
      <c r="Z76" s="45">
        <f t="shared" si="88"/>
        <v>-140510</v>
      </c>
      <c r="AA76" s="45">
        <f t="shared" si="88"/>
        <v>0</v>
      </c>
      <c r="AB76" s="45">
        <f t="shared" si="88"/>
        <v>-307201</v>
      </c>
      <c r="AC76" s="45">
        <f t="shared" si="88"/>
        <v>-1741332.74</v>
      </c>
      <c r="AD76" s="45">
        <f t="shared" si="88"/>
        <v>48448.69</v>
      </c>
      <c r="AE76" s="45">
        <f t="shared" si="88"/>
        <v>-98690</v>
      </c>
      <c r="AF76" s="45">
        <f t="shared" si="88"/>
        <v>0</v>
      </c>
      <c r="AG76" s="45">
        <f t="shared" si="88"/>
        <v>0</v>
      </c>
      <c r="AH76" s="45">
        <f t="shared" si="88"/>
        <v>-50241.31</v>
      </c>
      <c r="AI76" s="50">
        <f t="shared" si="88"/>
        <v>-1741332.74</v>
      </c>
      <c r="AJ76" s="45">
        <f t="shared" si="88"/>
        <v>-1142076</v>
      </c>
      <c r="AK76" s="45">
        <f t="shared" si="88"/>
        <v>0</v>
      </c>
      <c r="AL76" s="45">
        <f t="shared" si="88"/>
        <v>2985.93</v>
      </c>
      <c r="AM76" s="45">
        <f t="shared" si="88"/>
        <v>-2880422.81</v>
      </c>
      <c r="AN76" s="45">
        <f t="shared" si="88"/>
        <v>-50241.31</v>
      </c>
      <c r="AO76" s="45">
        <f t="shared" si="88"/>
        <v>-116406.25</v>
      </c>
      <c r="AP76" s="45">
        <f t="shared" si="88"/>
        <v>0</v>
      </c>
      <c r="AQ76" s="45">
        <f t="shared" si="88"/>
        <v>0</v>
      </c>
      <c r="AR76" s="45">
        <f t="shared" si="88"/>
        <v>-166647.56</v>
      </c>
      <c r="AS76" s="50">
        <f t="shared" si="88"/>
        <v>-2880422.81</v>
      </c>
      <c r="AT76" s="45">
        <f t="shared" si="88"/>
        <v>3203331.81</v>
      </c>
      <c r="AU76" s="45">
        <f t="shared" si="88"/>
        <v>0</v>
      </c>
      <c r="AV76" s="45">
        <f t="shared" si="88"/>
        <v>0</v>
      </c>
      <c r="AW76" s="45">
        <f t="shared" si="88"/>
        <v>322909</v>
      </c>
      <c r="AX76" s="45">
        <f t="shared" si="88"/>
        <v>-166647.56</v>
      </c>
      <c r="AY76" s="45">
        <f t="shared" si="88"/>
        <v>-22737.989999999998</v>
      </c>
      <c r="AZ76" s="45">
        <f t="shared" si="88"/>
        <v>0</v>
      </c>
      <c r="BA76" s="45">
        <f t="shared" si="88"/>
        <v>0</v>
      </c>
      <c r="BB76" s="45">
        <f t="shared" si="88"/>
        <v>-189385.55</v>
      </c>
      <c r="BC76" s="50">
        <f t="shared" si="88"/>
        <v>322909</v>
      </c>
      <c r="BD76" s="45">
        <f t="shared" si="88"/>
        <v>-379362.19500000001</v>
      </c>
      <c r="BE76" s="45">
        <f t="shared" si="88"/>
        <v>0.02</v>
      </c>
      <c r="BF76" s="45">
        <f t="shared" si="88"/>
        <v>0</v>
      </c>
      <c r="BG76" s="45">
        <f t="shared" si="88"/>
        <v>-56453.214999999982</v>
      </c>
      <c r="BH76" s="45">
        <f t="shared" si="88"/>
        <v>-189385.55</v>
      </c>
      <c r="BI76" s="45">
        <f t="shared" si="88"/>
        <v>-4381.9549999999999</v>
      </c>
      <c r="BJ76" s="45">
        <f t="shared" si="88"/>
        <v>0</v>
      </c>
      <c r="BK76" s="45">
        <f t="shared" si="88"/>
        <v>0</v>
      </c>
      <c r="BL76" s="45">
        <f t="shared" si="88"/>
        <v>-193767.505</v>
      </c>
      <c r="BM76" s="50">
        <f t="shared" si="88"/>
        <v>-56453.214999999982</v>
      </c>
      <c r="BN76" s="45">
        <f t="shared" si="88"/>
        <v>-1321039.9399999995</v>
      </c>
      <c r="BO76" s="45">
        <f t="shared" si="88"/>
        <v>2710993</v>
      </c>
      <c r="BP76" s="45">
        <f t="shared" si="88"/>
        <v>0</v>
      </c>
      <c r="BQ76" s="45">
        <f t="shared" si="88"/>
        <v>0</v>
      </c>
      <c r="BR76" s="45">
        <f t="shared" ref="BR76:CH76" si="89">BR71+BR68+BR73</f>
        <v>0</v>
      </c>
      <c r="BS76" s="45">
        <f t="shared" si="89"/>
        <v>0</v>
      </c>
      <c r="BT76" s="45">
        <f t="shared" si="89"/>
        <v>-4088486.1549999998</v>
      </c>
      <c r="BU76" s="45">
        <f t="shared" si="89"/>
        <v>-193767.505</v>
      </c>
      <c r="BV76" s="45">
        <f t="shared" si="89"/>
        <v>-16189.380000000003</v>
      </c>
      <c r="BW76" s="45">
        <f t="shared" si="89"/>
        <v>14166</v>
      </c>
      <c r="BX76" s="45">
        <f t="shared" si="89"/>
        <v>0</v>
      </c>
      <c r="BY76" s="45">
        <f t="shared" si="89"/>
        <v>-224122.88500000001</v>
      </c>
      <c r="BZ76" s="50">
        <f t="shared" si="89"/>
        <v>-2058311</v>
      </c>
      <c r="CA76" s="45">
        <f t="shared" si="89"/>
        <v>-39167</v>
      </c>
      <c r="CB76" s="45">
        <f t="shared" si="89"/>
        <v>-2030175.1549999996</v>
      </c>
      <c r="CC76" s="45">
        <f t="shared" si="89"/>
        <v>-184955.88500000001</v>
      </c>
      <c r="CD76" s="50">
        <f t="shared" si="89"/>
        <v>-29843.574778499999</v>
      </c>
      <c r="CE76" s="45">
        <f t="shared" si="89"/>
        <v>-9947.8582594999971</v>
      </c>
      <c r="CF76" s="45">
        <f t="shared" si="89"/>
        <v>-2254922.4730380005</v>
      </c>
      <c r="CG76" s="50">
        <f t="shared" si="89"/>
        <v>-4261081.91</v>
      </c>
      <c r="CH76" s="53">
        <f t="shared" si="89"/>
        <v>51527.130000000237</v>
      </c>
    </row>
    <row r="77" spans="1:86" ht="15" thickBot="1" x14ac:dyDescent="0.25">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6"/>
      <c r="CD77" s="51"/>
      <c r="CE77" s="51"/>
      <c r="CF77" s="49"/>
      <c r="CG77" s="52"/>
      <c r="CH77" s="49"/>
    </row>
    <row r="78" spans="1:86" ht="17.25" thickBot="1" x14ac:dyDescent="0.25">
      <c r="A78" s="1">
        <v>35</v>
      </c>
      <c r="C78" s="7" t="s">
        <v>129</v>
      </c>
      <c r="D78" s="13">
        <v>1555</v>
      </c>
      <c r="E78" s="120"/>
      <c r="F78" s="119"/>
      <c r="G78" s="119"/>
      <c r="H78" s="119"/>
      <c r="I78" s="45">
        <f>E78+F78-G78+H78</f>
        <v>0</v>
      </c>
      <c r="J78" s="119"/>
      <c r="K78" s="119"/>
      <c r="L78" s="119"/>
      <c r="M78" s="119"/>
      <c r="N78" s="46">
        <f>J78+K78-L78+M78</f>
        <v>0</v>
      </c>
      <c r="O78" s="47">
        <f>I78</f>
        <v>0</v>
      </c>
      <c r="P78" s="119"/>
      <c r="Q78" s="119"/>
      <c r="R78" s="119"/>
      <c r="S78" s="45">
        <f>O78+P78-Q78+R78</f>
        <v>0</v>
      </c>
      <c r="T78" s="48">
        <f>N78</f>
        <v>0</v>
      </c>
      <c r="U78" s="119"/>
      <c r="V78" s="119"/>
      <c r="W78" s="119"/>
      <c r="X78" s="46">
        <f>T78+U78-V78+W78</f>
        <v>0</v>
      </c>
      <c r="Y78" s="47">
        <f>S78</f>
        <v>0</v>
      </c>
      <c r="Z78" s="119"/>
      <c r="AA78" s="119"/>
      <c r="AB78" s="119"/>
      <c r="AC78" s="45">
        <f>Y78+Z78-AA78+AB78</f>
        <v>0</v>
      </c>
      <c r="AD78" s="48">
        <f>X78</f>
        <v>0</v>
      </c>
      <c r="AE78" s="119"/>
      <c r="AF78" s="119"/>
      <c r="AG78" s="119"/>
      <c r="AH78" s="46">
        <f>AD78+AE78-AF78+AG78</f>
        <v>0</v>
      </c>
      <c r="AI78" s="47">
        <f>AC78</f>
        <v>0</v>
      </c>
      <c r="AJ78" s="119"/>
      <c r="AK78" s="119"/>
      <c r="AL78" s="119"/>
      <c r="AM78" s="45">
        <f>AI78+AJ78-AK78+AL78</f>
        <v>0</v>
      </c>
      <c r="AN78" s="48">
        <f>AH78</f>
        <v>0</v>
      </c>
      <c r="AO78" s="119"/>
      <c r="AP78" s="119"/>
      <c r="AQ78" s="119"/>
      <c r="AR78" s="46">
        <f>AN78+AO78-AP78+AQ78</f>
        <v>0</v>
      </c>
      <c r="AS78" s="47">
        <f>AM78</f>
        <v>0</v>
      </c>
      <c r="AT78" s="118"/>
      <c r="AU78" s="118"/>
      <c r="AV78" s="118"/>
      <c r="AW78" s="45">
        <f>AS78+AT78-AU78+AV78</f>
        <v>0</v>
      </c>
      <c r="AX78" s="48">
        <f>AR78</f>
        <v>0</v>
      </c>
      <c r="AY78" s="114"/>
      <c r="AZ78" s="114"/>
      <c r="BA78" s="114"/>
      <c r="BB78" s="46">
        <f>AX78+AY78-AZ78+BA78</f>
        <v>0</v>
      </c>
      <c r="BC78" s="47">
        <f>AW78</f>
        <v>0</v>
      </c>
      <c r="BD78" s="114"/>
      <c r="BE78" s="114"/>
      <c r="BF78" s="114"/>
      <c r="BG78" s="45">
        <f>BC78+BD78-BE78+SUM(BF78:BF78)</f>
        <v>0</v>
      </c>
      <c r="BH78" s="48">
        <f>BB78</f>
        <v>0</v>
      </c>
      <c r="BI78" s="114"/>
      <c r="BJ78" s="119"/>
      <c r="BK78" s="119"/>
      <c r="BL78" s="46">
        <f>BH78+BI78-BJ78+BK78</f>
        <v>0</v>
      </c>
      <c r="BM78" s="47">
        <f>BG78</f>
        <v>0</v>
      </c>
      <c r="BN78" s="114"/>
      <c r="BO78" s="114"/>
      <c r="BP78" s="114"/>
      <c r="BQ78" s="114"/>
      <c r="BR78" s="114"/>
      <c r="BS78" s="114"/>
      <c r="BT78" s="45">
        <f>BM78+BN78-BO78+SUM(BP78:BS78)</f>
        <v>0</v>
      </c>
      <c r="BU78" s="48">
        <f>BL78</f>
        <v>0</v>
      </c>
      <c r="BV78" s="114"/>
      <c r="BW78" s="119"/>
      <c r="BX78" s="119"/>
      <c r="BY78" s="46">
        <f>BU78+BV78-BW78+BX78</f>
        <v>0</v>
      </c>
      <c r="BZ78" s="113"/>
      <c r="CA78" s="114"/>
      <c r="CB78" s="48">
        <f>BT78-BZ78</f>
        <v>0</v>
      </c>
      <c r="CC78" s="76">
        <f>BY78-CA78</f>
        <v>0</v>
      </c>
      <c r="CD78" s="115">
        <f>CB78*0.0147</f>
        <v>0</v>
      </c>
      <c r="CE78" s="114">
        <f>CB78*0.0049</f>
        <v>0</v>
      </c>
      <c r="CF78" s="49">
        <f t="shared" si="28"/>
        <v>0</v>
      </c>
      <c r="CG78" s="116"/>
      <c r="CH78" s="49">
        <f>CG78-SUM(BT78,BY78)</f>
        <v>0</v>
      </c>
    </row>
    <row r="79" spans="1:86" ht="17.25" thickBot="1" x14ac:dyDescent="0.25">
      <c r="A79" s="1">
        <v>36</v>
      </c>
      <c r="C79" s="7" t="s">
        <v>130</v>
      </c>
      <c r="D79" s="13">
        <v>1555</v>
      </c>
      <c r="E79" s="120"/>
      <c r="F79" s="119"/>
      <c r="G79" s="119"/>
      <c r="H79" s="119"/>
      <c r="I79" s="45">
        <f>E79+F79-G79+H79</f>
        <v>0</v>
      </c>
      <c r="J79" s="119"/>
      <c r="K79" s="119"/>
      <c r="L79" s="119"/>
      <c r="M79" s="119"/>
      <c r="N79" s="46">
        <f>J79+K79-L79+M79</f>
        <v>0</v>
      </c>
      <c r="O79" s="47">
        <f>I79</f>
        <v>0</v>
      </c>
      <c r="P79" s="119"/>
      <c r="Q79" s="119"/>
      <c r="R79" s="119"/>
      <c r="S79" s="45">
        <f>O79+P79-Q79+R79</f>
        <v>0</v>
      </c>
      <c r="T79" s="48">
        <f>N79</f>
        <v>0</v>
      </c>
      <c r="U79" s="119"/>
      <c r="V79" s="119"/>
      <c r="W79" s="119"/>
      <c r="X79" s="46">
        <f>T79+U79-V79+W79</f>
        <v>0</v>
      </c>
      <c r="Y79" s="47">
        <f>S79</f>
        <v>0</v>
      </c>
      <c r="Z79" s="119"/>
      <c r="AA79" s="119"/>
      <c r="AB79" s="119"/>
      <c r="AC79" s="45">
        <f>Y79+Z79-AA79+AB79</f>
        <v>0</v>
      </c>
      <c r="AD79" s="48">
        <f>X79</f>
        <v>0</v>
      </c>
      <c r="AE79" s="119"/>
      <c r="AF79" s="119"/>
      <c r="AG79" s="119"/>
      <c r="AH79" s="46">
        <f>AD79+AE79-AF79+AG79</f>
        <v>0</v>
      </c>
      <c r="AI79" s="47">
        <f>AC79</f>
        <v>0</v>
      </c>
      <c r="AJ79" s="119"/>
      <c r="AK79" s="119"/>
      <c r="AL79" s="119"/>
      <c r="AM79" s="45">
        <f>AI79+AJ79-AK79+AL79</f>
        <v>0</v>
      </c>
      <c r="AN79" s="48">
        <f>AH79</f>
        <v>0</v>
      </c>
      <c r="AO79" s="119"/>
      <c r="AP79" s="119"/>
      <c r="AQ79" s="119"/>
      <c r="AR79" s="46">
        <f>AN79+AO79-AP79+AQ79</f>
        <v>0</v>
      </c>
      <c r="AS79" s="47">
        <f>AM79</f>
        <v>0</v>
      </c>
      <c r="AT79" s="118"/>
      <c r="AU79" s="118"/>
      <c r="AV79" s="118"/>
      <c r="AW79" s="45">
        <f>AS79+AT79-AU79+AV79</f>
        <v>0</v>
      </c>
      <c r="AX79" s="48">
        <f>AR79</f>
        <v>0</v>
      </c>
      <c r="AY79" s="114"/>
      <c r="AZ79" s="114"/>
      <c r="BA79" s="114"/>
      <c r="BB79" s="46">
        <f>AX79+AY79-AZ79+BA79</f>
        <v>0</v>
      </c>
      <c r="BC79" s="47">
        <f>AW79</f>
        <v>0</v>
      </c>
      <c r="BD79" s="114"/>
      <c r="BE79" s="114"/>
      <c r="BF79" s="114"/>
      <c r="BG79" s="45">
        <f>BC79+BD79-BE79+SUM(BF79:BF79)</f>
        <v>0</v>
      </c>
      <c r="BH79" s="48">
        <f>BB79</f>
        <v>0</v>
      </c>
      <c r="BI79" s="114"/>
      <c r="BJ79" s="119"/>
      <c r="BK79" s="119"/>
      <c r="BL79" s="46">
        <f>BH79+BI79-BJ79+BK79</f>
        <v>0</v>
      </c>
      <c r="BM79" s="47">
        <f>BG79</f>
        <v>0</v>
      </c>
      <c r="BN79" s="114"/>
      <c r="BO79" s="114"/>
      <c r="BP79" s="114"/>
      <c r="BQ79" s="114"/>
      <c r="BR79" s="114"/>
      <c r="BS79" s="114"/>
      <c r="BT79" s="45">
        <f>BM79+BN79-BO79+SUM(BP79:BS79)</f>
        <v>0</v>
      </c>
      <c r="BU79" s="48">
        <f>BL79</f>
        <v>0</v>
      </c>
      <c r="BV79" s="114"/>
      <c r="BW79" s="119"/>
      <c r="BX79" s="119"/>
      <c r="BY79" s="46">
        <f>BU79+BV79-BW79+BX79</f>
        <v>0</v>
      </c>
      <c r="BZ79" s="113"/>
      <c r="CA79" s="114"/>
      <c r="CB79" s="48">
        <f>BT79-BZ79</f>
        <v>0</v>
      </c>
      <c r="CC79" s="76">
        <f>BY79-CA79</f>
        <v>0</v>
      </c>
      <c r="CD79" s="115">
        <f>CB79*0.0147</f>
        <v>0</v>
      </c>
      <c r="CE79" s="114">
        <f>CB79*0.0049</f>
        <v>0</v>
      </c>
      <c r="CF79" s="49">
        <f t="shared" si="28"/>
        <v>0</v>
      </c>
      <c r="CG79" s="116"/>
      <c r="CH79" s="49">
        <f>CG79-SUM(BT79,BY79)</f>
        <v>0</v>
      </c>
    </row>
    <row r="80" spans="1:86" ht="17.25" thickBot="1" x14ac:dyDescent="0.25">
      <c r="A80" s="1">
        <v>37</v>
      </c>
      <c r="C80" s="7" t="s">
        <v>131</v>
      </c>
      <c r="D80" s="13">
        <v>1555</v>
      </c>
      <c r="E80" s="113"/>
      <c r="F80" s="114"/>
      <c r="G80" s="114"/>
      <c r="H80" s="114"/>
      <c r="I80" s="45">
        <f>E80+F80-G80+H80</f>
        <v>0</v>
      </c>
      <c r="J80" s="114"/>
      <c r="K80" s="114"/>
      <c r="L80" s="114"/>
      <c r="M80" s="114"/>
      <c r="N80" s="46">
        <f>J80+K80-L80+M80</f>
        <v>0</v>
      </c>
      <c r="O80" s="47">
        <f>I80</f>
        <v>0</v>
      </c>
      <c r="P80" s="114"/>
      <c r="Q80" s="114"/>
      <c r="R80" s="114"/>
      <c r="S80" s="45">
        <f>O80+P80-Q80+R80</f>
        <v>0</v>
      </c>
      <c r="T80" s="48">
        <f>N80</f>
        <v>0</v>
      </c>
      <c r="U80" s="114"/>
      <c r="V80" s="114"/>
      <c r="W80" s="114"/>
      <c r="X80" s="46">
        <f>T80+U80-V80+W80</f>
        <v>0</v>
      </c>
      <c r="Y80" s="47">
        <f>S80</f>
        <v>0</v>
      </c>
      <c r="Z80" s="114"/>
      <c r="AA80" s="114"/>
      <c r="AB80" s="114"/>
      <c r="AC80" s="45">
        <f>Y80+Z80-AA80+AB80</f>
        <v>0</v>
      </c>
      <c r="AD80" s="48">
        <f>X80</f>
        <v>0</v>
      </c>
      <c r="AE80" s="114"/>
      <c r="AF80" s="114"/>
      <c r="AG80" s="114"/>
      <c r="AH80" s="46">
        <f>AD80+AE80-AF80+AG80</f>
        <v>0</v>
      </c>
      <c r="AI80" s="47">
        <f>AC80</f>
        <v>0</v>
      </c>
      <c r="AJ80" s="114"/>
      <c r="AK80" s="114"/>
      <c r="AL80" s="114"/>
      <c r="AM80" s="45">
        <f>AI80+AJ80-AK80+AL80</f>
        <v>0</v>
      </c>
      <c r="AN80" s="48">
        <f>AH80</f>
        <v>0</v>
      </c>
      <c r="AO80" s="114"/>
      <c r="AP80" s="114"/>
      <c r="AQ80" s="114"/>
      <c r="AR80" s="46">
        <f>AN80+AO80-AP80+AQ80</f>
        <v>0</v>
      </c>
      <c r="AS80" s="47">
        <f>AM80</f>
        <v>0</v>
      </c>
      <c r="AT80" s="118">
        <v>2022184.17</v>
      </c>
      <c r="AU80" s="118"/>
      <c r="AV80" s="118"/>
      <c r="AW80" s="45">
        <f>AS80+AT80-AU80+AV80</f>
        <v>2022184.17</v>
      </c>
      <c r="AX80" s="48">
        <f>AR80</f>
        <v>0</v>
      </c>
      <c r="AY80" s="114">
        <v>0</v>
      </c>
      <c r="AZ80" s="114"/>
      <c r="BA80" s="114"/>
      <c r="BB80" s="46">
        <f>AX80+AY80-AZ80+BA80</f>
        <v>0</v>
      </c>
      <c r="BC80" s="47">
        <f>AW80</f>
        <v>2022184.17</v>
      </c>
      <c r="BD80" s="114">
        <v>-17413</v>
      </c>
      <c r="BE80" s="114"/>
      <c r="BF80" s="114"/>
      <c r="BG80" s="45">
        <f>BC80+BD80-BE80+SUM(BF80:BF80)</f>
        <v>2004771.17</v>
      </c>
      <c r="BH80" s="48">
        <f>BB80</f>
        <v>0</v>
      </c>
      <c r="BI80" s="114"/>
      <c r="BJ80" s="114"/>
      <c r="BK80" s="114"/>
      <c r="BL80" s="46">
        <f>BH80+BI80-BJ80+BK80</f>
        <v>0</v>
      </c>
      <c r="BM80" s="47">
        <f>BG80</f>
        <v>2004771.17</v>
      </c>
      <c r="BN80" s="114">
        <v>-226017</v>
      </c>
      <c r="BO80" s="114"/>
      <c r="BP80" s="114"/>
      <c r="BQ80" s="114"/>
      <c r="BR80" s="114"/>
      <c r="BS80" s="114"/>
      <c r="BT80" s="45">
        <f>BM80+BN80-BO80+SUM(BP80:BS80)</f>
        <v>1778754.17</v>
      </c>
      <c r="BU80" s="48">
        <f>BL80</f>
        <v>0</v>
      </c>
      <c r="BV80" s="114"/>
      <c r="BW80" s="114"/>
      <c r="BX80" s="114"/>
      <c r="BY80" s="46">
        <f>BU80+BV80-BW80+BX80</f>
        <v>0</v>
      </c>
      <c r="BZ80" s="113"/>
      <c r="CA80" s="114"/>
      <c r="CB80" s="48">
        <f>BT80-BZ80</f>
        <v>1778754.17</v>
      </c>
      <c r="CC80" s="76">
        <f>BY80-CA80</f>
        <v>0</v>
      </c>
      <c r="CD80" s="115"/>
      <c r="CE80" s="114"/>
      <c r="CF80" s="49">
        <f t="shared" si="28"/>
        <v>1778754.17</v>
      </c>
      <c r="CG80" s="116">
        <v>1778754.17</v>
      </c>
      <c r="CH80" s="49">
        <f>CG80-SUM(BT80,BY80)</f>
        <v>0</v>
      </c>
    </row>
    <row r="81" spans="1:86" ht="17.25" thickBot="1" x14ac:dyDescent="0.25">
      <c r="A81" s="1">
        <v>38</v>
      </c>
      <c r="C81" s="7" t="s">
        <v>132</v>
      </c>
      <c r="D81" s="13">
        <v>1556</v>
      </c>
      <c r="E81" s="113"/>
      <c r="F81" s="114"/>
      <c r="G81" s="114"/>
      <c r="H81" s="114"/>
      <c r="I81" s="45">
        <f>E81+F81-G81+H81</f>
        <v>0</v>
      </c>
      <c r="J81" s="114"/>
      <c r="K81" s="114"/>
      <c r="L81" s="114"/>
      <c r="M81" s="114"/>
      <c r="N81" s="46">
        <f>J81+K81-L81+M81</f>
        <v>0</v>
      </c>
      <c r="O81" s="47">
        <f>I81</f>
        <v>0</v>
      </c>
      <c r="P81" s="114"/>
      <c r="Q81" s="114"/>
      <c r="R81" s="114"/>
      <c r="S81" s="45">
        <f>O81+P81-Q81+R81</f>
        <v>0</v>
      </c>
      <c r="T81" s="48">
        <f>N81</f>
        <v>0</v>
      </c>
      <c r="U81" s="114"/>
      <c r="V81" s="114"/>
      <c r="W81" s="114"/>
      <c r="X81" s="46">
        <f>T81+U81-V81+W81</f>
        <v>0</v>
      </c>
      <c r="Y81" s="47">
        <f>S81</f>
        <v>0</v>
      </c>
      <c r="Z81" s="114"/>
      <c r="AA81" s="114"/>
      <c r="AB81" s="114"/>
      <c r="AC81" s="45">
        <f>Y81+Z81-AA81+AB81</f>
        <v>0</v>
      </c>
      <c r="AD81" s="48">
        <f>X81</f>
        <v>0</v>
      </c>
      <c r="AE81" s="114"/>
      <c r="AF81" s="114"/>
      <c r="AG81" s="114"/>
      <c r="AH81" s="46">
        <f>AD81+AE81-AF81+AG81</f>
        <v>0</v>
      </c>
      <c r="AI81" s="47">
        <f>AC81</f>
        <v>0</v>
      </c>
      <c r="AJ81" s="114"/>
      <c r="AK81" s="114"/>
      <c r="AL81" s="114"/>
      <c r="AM81" s="45">
        <f>AI81+AJ81-AK81+AL81</f>
        <v>0</v>
      </c>
      <c r="AN81" s="48">
        <f>AH81</f>
        <v>0</v>
      </c>
      <c r="AO81" s="114"/>
      <c r="AP81" s="114"/>
      <c r="AQ81" s="114"/>
      <c r="AR81" s="46">
        <f>AN81+AO81-AP81+AQ81</f>
        <v>0</v>
      </c>
      <c r="AS81" s="47">
        <f>AM81</f>
        <v>0</v>
      </c>
      <c r="AT81" s="114"/>
      <c r="AU81" s="114"/>
      <c r="AV81" s="114"/>
      <c r="AW81" s="45">
        <f>AS81+AT81-AU81+AV81</f>
        <v>0</v>
      </c>
      <c r="AX81" s="48">
        <f>AR81</f>
        <v>0</v>
      </c>
      <c r="AY81" s="114"/>
      <c r="AZ81" s="114"/>
      <c r="BA81" s="114"/>
      <c r="BB81" s="46">
        <f>AX81+AY81-AZ81+BA81</f>
        <v>0</v>
      </c>
      <c r="BC81" s="47">
        <f>AW81</f>
        <v>0</v>
      </c>
      <c r="BD81" s="114"/>
      <c r="BE81" s="114"/>
      <c r="BF81" s="114"/>
      <c r="BG81" s="45">
        <f>BC81+BD81-BE81+SUM(BF81:BF81)</f>
        <v>0</v>
      </c>
      <c r="BH81" s="48">
        <f>BB81</f>
        <v>0</v>
      </c>
      <c r="BI81" s="114"/>
      <c r="BJ81" s="114"/>
      <c r="BK81" s="114"/>
      <c r="BL81" s="46">
        <f>BH81+BI81-BJ81+BK81</f>
        <v>0</v>
      </c>
      <c r="BM81" s="47">
        <f>BG81</f>
        <v>0</v>
      </c>
      <c r="BN81" s="114"/>
      <c r="BO81" s="114"/>
      <c r="BP81" s="114"/>
      <c r="BQ81" s="114"/>
      <c r="BR81" s="114"/>
      <c r="BS81" s="114"/>
      <c r="BT81" s="45">
        <f>BM81+BN81-BO81+SUM(BP81:BS81)</f>
        <v>0</v>
      </c>
      <c r="BU81" s="48">
        <f>BL81</f>
        <v>0</v>
      </c>
      <c r="BV81" s="114"/>
      <c r="BW81" s="114"/>
      <c r="BX81" s="114"/>
      <c r="BY81" s="46">
        <f>BU81+BV81-BW81+BX81</f>
        <v>0</v>
      </c>
      <c r="BZ81" s="113"/>
      <c r="CA81" s="114"/>
      <c r="CB81" s="48">
        <f>BT81-BZ81</f>
        <v>0</v>
      </c>
      <c r="CC81" s="76">
        <f>BY81-CA81</f>
        <v>0</v>
      </c>
      <c r="CD81" s="115">
        <f>CB81*0.0147</f>
        <v>0</v>
      </c>
      <c r="CE81" s="114">
        <f>CB81*0.0049</f>
        <v>0</v>
      </c>
      <c r="CF81" s="49">
        <f t="shared" si="28"/>
        <v>0</v>
      </c>
      <c r="CG81" s="116"/>
      <c r="CH81" s="49">
        <f>CG81-SUM(BT81,BY81)</f>
        <v>0</v>
      </c>
    </row>
    <row r="82" spans="1:86" ht="14.25" x14ac:dyDescent="0.2">
      <c r="C82" s="7"/>
      <c r="D82" s="13"/>
      <c r="E82" s="50"/>
      <c r="F82" s="45"/>
      <c r="G82" s="45"/>
      <c r="H82" s="45"/>
      <c r="I82" s="45"/>
      <c r="J82" s="45"/>
      <c r="K82" s="45"/>
      <c r="L82" s="45"/>
      <c r="M82" s="45"/>
      <c r="N82" s="45"/>
      <c r="O82" s="92"/>
      <c r="P82" s="45"/>
      <c r="Q82" s="45"/>
      <c r="R82" s="45"/>
      <c r="S82" s="45"/>
      <c r="T82" s="45"/>
      <c r="U82" s="45"/>
      <c r="V82" s="45"/>
      <c r="W82" s="45"/>
      <c r="X82" s="45"/>
      <c r="Y82" s="92"/>
      <c r="Z82" s="45"/>
      <c r="AA82" s="45"/>
      <c r="AB82" s="45"/>
      <c r="AC82" s="45"/>
      <c r="AD82" s="45"/>
      <c r="AE82" s="45"/>
      <c r="AF82" s="45"/>
      <c r="AG82" s="45"/>
      <c r="AH82" s="45"/>
      <c r="AI82" s="92"/>
      <c r="AJ82" s="45"/>
      <c r="AK82" s="45"/>
      <c r="AL82" s="45"/>
      <c r="AM82" s="45"/>
      <c r="AN82" s="45"/>
      <c r="AO82" s="45"/>
      <c r="AP82" s="45"/>
      <c r="AQ82" s="45"/>
      <c r="AR82" s="45"/>
      <c r="AS82" s="89"/>
      <c r="AT82" s="45"/>
      <c r="AU82" s="45"/>
      <c r="AV82" s="45"/>
      <c r="AW82" s="45"/>
      <c r="AX82" s="45"/>
      <c r="AY82" s="45"/>
      <c r="AZ82" s="45"/>
      <c r="BA82" s="45"/>
      <c r="BB82" s="45"/>
      <c r="BC82" s="92"/>
      <c r="BD82" s="45"/>
      <c r="BE82" s="45"/>
      <c r="BF82" s="45"/>
      <c r="BG82" s="45"/>
      <c r="BH82" s="45"/>
      <c r="BI82" s="45"/>
      <c r="BJ82" s="45"/>
      <c r="BK82" s="45"/>
      <c r="BL82" s="45"/>
      <c r="BM82" s="92"/>
      <c r="BN82" s="45"/>
      <c r="BO82" s="45"/>
      <c r="BP82" s="45"/>
      <c r="BQ82" s="45"/>
      <c r="BR82" s="45"/>
      <c r="BS82" s="45"/>
      <c r="BT82" s="45"/>
      <c r="BU82" s="45"/>
      <c r="BV82" s="45"/>
      <c r="BW82" s="45"/>
      <c r="BX82" s="45"/>
      <c r="BY82" s="45"/>
      <c r="BZ82" s="92"/>
      <c r="CA82" s="45"/>
      <c r="CB82" s="45"/>
      <c r="CC82" s="45"/>
      <c r="CD82" s="92"/>
      <c r="CE82" s="45"/>
      <c r="CF82" s="49"/>
      <c r="CG82" s="45"/>
      <c r="CH82" s="53"/>
    </row>
    <row r="83" spans="1:86" ht="15.75" thickBot="1" x14ac:dyDescent="0.3">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1"/>
      <c r="CD83" s="51"/>
      <c r="CE83" s="51"/>
      <c r="CF83" s="49"/>
      <c r="CG83" s="52"/>
      <c r="CH83" s="49"/>
    </row>
    <row r="84" spans="1:86" ht="17.25" thickBot="1" x14ac:dyDescent="0.25">
      <c r="A84" s="1">
        <v>39</v>
      </c>
      <c r="C84" s="7" t="s">
        <v>120</v>
      </c>
      <c r="D84" s="13">
        <v>1563</v>
      </c>
      <c r="E84" s="113"/>
      <c r="F84" s="114"/>
      <c r="G84" s="114"/>
      <c r="H84" s="114"/>
      <c r="I84" s="45">
        <f>E84+F84-G84+H84</f>
        <v>0</v>
      </c>
      <c r="J84" s="114"/>
      <c r="K84" s="114"/>
      <c r="L84" s="114"/>
      <c r="M84" s="114"/>
      <c r="N84" s="46">
        <f>J84+K84-L84+M84</f>
        <v>0</v>
      </c>
      <c r="O84" s="47">
        <f>I84</f>
        <v>0</v>
      </c>
      <c r="P84" s="114"/>
      <c r="Q84" s="114"/>
      <c r="R84" s="114"/>
      <c r="S84" s="45">
        <f>O84+P84-Q84+R84</f>
        <v>0</v>
      </c>
      <c r="T84" s="48">
        <f>N84</f>
        <v>0</v>
      </c>
      <c r="U84" s="114"/>
      <c r="V84" s="114"/>
      <c r="W84" s="114"/>
      <c r="X84" s="46">
        <f>T84+U84-V84+W84</f>
        <v>0</v>
      </c>
      <c r="Y84" s="47">
        <f>S84</f>
        <v>0</v>
      </c>
      <c r="Z84" s="114"/>
      <c r="AA84" s="114"/>
      <c r="AB84" s="114"/>
      <c r="AC84" s="45">
        <f>Y84+Z84-AA84+AB84</f>
        <v>0</v>
      </c>
      <c r="AD84" s="48">
        <f>X84</f>
        <v>0</v>
      </c>
      <c r="AE84" s="114"/>
      <c r="AF84" s="114"/>
      <c r="AG84" s="114"/>
      <c r="AH84" s="46">
        <f>AD84+AE84-AF84+AG84</f>
        <v>0</v>
      </c>
      <c r="AI84" s="47">
        <f>AC84</f>
        <v>0</v>
      </c>
      <c r="AJ84" s="114"/>
      <c r="AK84" s="114"/>
      <c r="AL84" s="114"/>
      <c r="AM84" s="45">
        <f>AI84+AJ84-AK84+AL84</f>
        <v>0</v>
      </c>
      <c r="AN84" s="48">
        <f>AH84</f>
        <v>0</v>
      </c>
      <c r="AO84" s="114"/>
      <c r="AP84" s="114"/>
      <c r="AQ84" s="114"/>
      <c r="AR84" s="46">
        <f>AN84+AO84-AP84+AQ84</f>
        <v>0</v>
      </c>
      <c r="AS84" s="47">
        <f>AM84</f>
        <v>0</v>
      </c>
      <c r="AT84" s="114"/>
      <c r="AU84" s="114"/>
      <c r="AV84" s="114"/>
      <c r="AW84" s="45">
        <f>AS84+AT84-AU84+AV84</f>
        <v>0</v>
      </c>
      <c r="AX84" s="48">
        <f>AR84</f>
        <v>0</v>
      </c>
      <c r="AY84" s="114"/>
      <c r="AZ84" s="114"/>
      <c r="BA84" s="114"/>
      <c r="BB84" s="46">
        <f>AX84+AY84-AZ84+BA84</f>
        <v>0</v>
      </c>
      <c r="BC84" s="47">
        <f>AW84</f>
        <v>0</v>
      </c>
      <c r="BD84" s="114"/>
      <c r="BE84" s="114"/>
      <c r="BF84" s="114"/>
      <c r="BG84" s="45">
        <f>BC84+BD84-BE84+SUM(BF84:BF84)</f>
        <v>0</v>
      </c>
      <c r="BH84" s="48">
        <f>BB84</f>
        <v>0</v>
      </c>
      <c r="BI84" s="114"/>
      <c r="BJ84" s="114"/>
      <c r="BK84" s="114"/>
      <c r="BL84" s="46">
        <f>BH84+BI84-BJ84+BK84</f>
        <v>0</v>
      </c>
      <c r="BM84" s="47">
        <f>BG84</f>
        <v>0</v>
      </c>
      <c r="BN84" s="114"/>
      <c r="BO84" s="114"/>
      <c r="BP84" s="114"/>
      <c r="BQ84" s="114"/>
      <c r="BR84" s="114"/>
      <c r="BS84" s="114"/>
      <c r="BT84" s="45">
        <f>BM84+BN84-BO84+SUM(BP84:BS84)</f>
        <v>0</v>
      </c>
      <c r="BU84" s="48">
        <f>BL84</f>
        <v>0</v>
      </c>
      <c r="BV84" s="114"/>
      <c r="BW84" s="114"/>
      <c r="BX84" s="114"/>
      <c r="BY84" s="46">
        <f>BU84+BV84-BW84+BX84</f>
        <v>0</v>
      </c>
      <c r="BZ84" s="113"/>
      <c r="CA84" s="114"/>
      <c r="CB84" s="48">
        <f>BT84-BZ84</f>
        <v>0</v>
      </c>
      <c r="CC84" s="76">
        <f>BY84-CA84</f>
        <v>0</v>
      </c>
      <c r="CD84" s="115">
        <f>CB84*0.0147</f>
        <v>0</v>
      </c>
      <c r="CE84" s="114">
        <f>CB84*0.0049</f>
        <v>0</v>
      </c>
      <c r="CF84" s="49">
        <f t="shared" si="28"/>
        <v>0</v>
      </c>
      <c r="CG84" s="116"/>
      <c r="CH84" s="49">
        <f t="shared" si="29"/>
        <v>0</v>
      </c>
    </row>
    <row r="85" spans="1:86" ht="17.25" thickBot="1" x14ac:dyDescent="0.25">
      <c r="A85" s="1">
        <v>40</v>
      </c>
      <c r="C85" s="69" t="s">
        <v>124</v>
      </c>
      <c r="D85" s="70">
        <v>1575</v>
      </c>
      <c r="E85" s="113"/>
      <c r="F85" s="114"/>
      <c r="G85" s="114"/>
      <c r="H85" s="114"/>
      <c r="I85" s="45">
        <f>E85+F85-G85+H85</f>
        <v>0</v>
      </c>
      <c r="J85" s="114"/>
      <c r="K85" s="114"/>
      <c r="L85" s="114"/>
      <c r="M85" s="114"/>
      <c r="N85" s="46">
        <f>J85+K85-L85+M85</f>
        <v>0</v>
      </c>
      <c r="O85" s="47">
        <f>I85</f>
        <v>0</v>
      </c>
      <c r="P85" s="114"/>
      <c r="Q85" s="114"/>
      <c r="R85" s="114"/>
      <c r="S85" s="45">
        <f>O85+P85-Q85+R85</f>
        <v>0</v>
      </c>
      <c r="T85" s="48">
        <f>N85</f>
        <v>0</v>
      </c>
      <c r="U85" s="114"/>
      <c r="V85" s="114"/>
      <c r="W85" s="114"/>
      <c r="X85" s="46">
        <f>T85+U85-V85+W85</f>
        <v>0</v>
      </c>
      <c r="Y85" s="47">
        <f>S85</f>
        <v>0</v>
      </c>
      <c r="Z85" s="114"/>
      <c r="AA85" s="114"/>
      <c r="AB85" s="114"/>
      <c r="AC85" s="45">
        <f>Y85+Z85-AA85+AB85</f>
        <v>0</v>
      </c>
      <c r="AD85" s="48">
        <f>X85</f>
        <v>0</v>
      </c>
      <c r="AE85" s="114"/>
      <c r="AF85" s="114"/>
      <c r="AG85" s="114"/>
      <c r="AH85" s="46">
        <f>AD85+AE85-AF85+AG85</f>
        <v>0</v>
      </c>
      <c r="AI85" s="47">
        <f>AC85</f>
        <v>0</v>
      </c>
      <c r="AJ85" s="114"/>
      <c r="AK85" s="114"/>
      <c r="AL85" s="114"/>
      <c r="AM85" s="45">
        <f>AI85+AJ85-AK85+AL85</f>
        <v>0</v>
      </c>
      <c r="AN85" s="48">
        <f>AH85</f>
        <v>0</v>
      </c>
      <c r="AO85" s="114"/>
      <c r="AP85" s="114"/>
      <c r="AQ85" s="114"/>
      <c r="AR85" s="46">
        <f>AN85+AO85-AP85+AQ85</f>
        <v>0</v>
      </c>
      <c r="AS85" s="47">
        <f>AM85</f>
        <v>0</v>
      </c>
      <c r="AT85" s="114"/>
      <c r="AU85" s="114"/>
      <c r="AV85" s="114"/>
      <c r="AW85" s="45">
        <f>AS85+AT85-AU85+AV85</f>
        <v>0</v>
      </c>
      <c r="AX85" s="48">
        <f>AR85</f>
        <v>0</v>
      </c>
      <c r="AY85" s="114"/>
      <c r="AZ85" s="114"/>
      <c r="BA85" s="114"/>
      <c r="BB85" s="46">
        <f>AX85+AY85-AZ85+BA85</f>
        <v>0</v>
      </c>
      <c r="BC85" s="47">
        <f>AW85</f>
        <v>0</v>
      </c>
      <c r="BD85" s="114"/>
      <c r="BE85" s="114"/>
      <c r="BF85" s="114"/>
      <c r="BG85" s="45">
        <f>BC85+BD85-BE85+SUM(BF85:BF85)</f>
        <v>0</v>
      </c>
      <c r="BH85" s="48">
        <f>BB85</f>
        <v>0</v>
      </c>
      <c r="BI85" s="114"/>
      <c r="BJ85" s="114"/>
      <c r="BK85" s="114"/>
      <c r="BL85" s="46">
        <f>BH85+BI85-BJ85+BK85</f>
        <v>0</v>
      </c>
      <c r="BM85" s="47">
        <f>BG85</f>
        <v>0</v>
      </c>
      <c r="BN85" s="114"/>
      <c r="BO85" s="114"/>
      <c r="BP85" s="114"/>
      <c r="BQ85" s="114"/>
      <c r="BR85" s="114"/>
      <c r="BS85" s="114"/>
      <c r="BT85" s="45">
        <f>BM85+BN85-BO85+SUM(BP85:BS85)</f>
        <v>0</v>
      </c>
      <c r="BU85" s="48">
        <f>BL85</f>
        <v>0</v>
      </c>
      <c r="BV85" s="114"/>
      <c r="BW85" s="114"/>
      <c r="BX85" s="114"/>
      <c r="BY85" s="46">
        <f>BU85+BV85-BW85+BX85</f>
        <v>0</v>
      </c>
      <c r="BZ85" s="113"/>
      <c r="CA85" s="114"/>
      <c r="CB85" s="48">
        <f>BT85-BZ85</f>
        <v>0</v>
      </c>
      <c r="CC85" s="76">
        <f>BY85-CA85</f>
        <v>0</v>
      </c>
      <c r="CD85" s="115">
        <f>CB85*0.0147</f>
        <v>0</v>
      </c>
      <c r="CE85" s="114">
        <f>CB85*0.0049</f>
        <v>0</v>
      </c>
      <c r="CF85" s="49">
        <f t="shared" si="28"/>
        <v>0</v>
      </c>
      <c r="CG85" s="116"/>
      <c r="CH85" s="49">
        <f>CG85-SUM(BT85,BY85)</f>
        <v>0</v>
      </c>
    </row>
    <row r="86" spans="1:86" ht="29.25" thickBot="1" x14ac:dyDescent="0.25">
      <c r="A86" s="1">
        <v>41</v>
      </c>
      <c r="C86" s="69" t="s">
        <v>72</v>
      </c>
      <c r="D86" s="70">
        <v>1592</v>
      </c>
      <c r="E86" s="113"/>
      <c r="F86" s="114"/>
      <c r="G86" s="114"/>
      <c r="H86" s="114"/>
      <c r="I86" s="45">
        <f>E86+F86-G86+H86</f>
        <v>0</v>
      </c>
      <c r="J86" s="114"/>
      <c r="K86" s="114"/>
      <c r="L86" s="114"/>
      <c r="M86" s="114"/>
      <c r="N86" s="46">
        <f>J86+K86-L86+M86</f>
        <v>0</v>
      </c>
      <c r="O86" s="47">
        <f>I86</f>
        <v>0</v>
      </c>
      <c r="P86" s="114"/>
      <c r="Q86" s="114"/>
      <c r="R86" s="114"/>
      <c r="S86" s="45">
        <f>O86+P86-Q86+R86</f>
        <v>0</v>
      </c>
      <c r="T86" s="48">
        <f>N86</f>
        <v>0</v>
      </c>
      <c r="U86" s="114"/>
      <c r="V86" s="114"/>
      <c r="W86" s="114"/>
      <c r="X86" s="46">
        <f>T86+U86-V86+W86</f>
        <v>0</v>
      </c>
      <c r="Y86" s="47">
        <f>S86</f>
        <v>0</v>
      </c>
      <c r="Z86" s="114"/>
      <c r="AA86" s="114"/>
      <c r="AB86" s="114"/>
      <c r="AC86" s="45">
        <f>Y86+Z86-AA86+AB86</f>
        <v>0</v>
      </c>
      <c r="AD86" s="48">
        <f>X86</f>
        <v>0</v>
      </c>
      <c r="AE86" s="114"/>
      <c r="AF86" s="114"/>
      <c r="AG86" s="114"/>
      <c r="AH86" s="46">
        <f>AD86+AE86-AF86+AG86</f>
        <v>0</v>
      </c>
      <c r="AI86" s="47">
        <f>AC86</f>
        <v>0</v>
      </c>
      <c r="AJ86" s="114"/>
      <c r="AK86" s="114"/>
      <c r="AL86" s="114"/>
      <c r="AM86" s="45">
        <f>AI86+AJ86-AK86+AL86</f>
        <v>0</v>
      </c>
      <c r="AN86" s="48">
        <f>AH86</f>
        <v>0</v>
      </c>
      <c r="AO86" s="114"/>
      <c r="AP86" s="114"/>
      <c r="AQ86" s="114"/>
      <c r="AR86" s="46">
        <f>AN86+AO86-AP86+AQ86</f>
        <v>0</v>
      </c>
      <c r="AS86" s="47">
        <f>AM86</f>
        <v>0</v>
      </c>
      <c r="AT86" s="114"/>
      <c r="AU86" s="114"/>
      <c r="AV86" s="114"/>
      <c r="AW86" s="45">
        <f>AS86+AT86-AU86+AV86</f>
        <v>0</v>
      </c>
      <c r="AX86" s="48">
        <f>AR86</f>
        <v>0</v>
      </c>
      <c r="AY86" s="114"/>
      <c r="AZ86" s="114"/>
      <c r="BA86" s="114"/>
      <c r="BB86" s="46">
        <f>AX86+AY86-AZ86+BA86</f>
        <v>0</v>
      </c>
      <c r="BC86" s="47">
        <f>AW86</f>
        <v>0</v>
      </c>
      <c r="BD86" s="114"/>
      <c r="BE86" s="114"/>
      <c r="BF86" s="114"/>
      <c r="BG86" s="45">
        <f>BC86+BD86-BE86+SUM(BF86:BF86)</f>
        <v>0</v>
      </c>
      <c r="BH86" s="48">
        <f>BB86</f>
        <v>0</v>
      </c>
      <c r="BI86" s="114"/>
      <c r="BJ86" s="114"/>
      <c r="BK86" s="114"/>
      <c r="BL86" s="46">
        <f>BH86+BI86-BJ86+BK86</f>
        <v>0</v>
      </c>
      <c r="BM86" s="47">
        <f>BG86</f>
        <v>0</v>
      </c>
      <c r="BN86" s="114"/>
      <c r="BO86" s="114"/>
      <c r="BP86" s="114"/>
      <c r="BQ86" s="114"/>
      <c r="BR86" s="114"/>
      <c r="BS86" s="114"/>
      <c r="BT86" s="45">
        <f>BM86+BN86-BO86+SUM(BP86:BS86)</f>
        <v>0</v>
      </c>
      <c r="BU86" s="48">
        <f>BL86</f>
        <v>0</v>
      </c>
      <c r="BV86" s="114"/>
      <c r="BW86" s="114"/>
      <c r="BX86" s="114"/>
      <c r="BY86" s="46">
        <f>BU86+BV86-BW86+BX86</f>
        <v>0</v>
      </c>
      <c r="BZ86" s="113"/>
      <c r="CA86" s="114"/>
      <c r="CB86" s="48">
        <f>BT86-BZ86</f>
        <v>0</v>
      </c>
      <c r="CC86" s="76">
        <f>BY86-CA86</f>
        <v>0</v>
      </c>
      <c r="CD86" s="115">
        <f>CB86*0.0147</f>
        <v>0</v>
      </c>
      <c r="CE86" s="114">
        <f>CB86*0.0049</f>
        <v>0</v>
      </c>
      <c r="CF86" s="49">
        <f t="shared" si="28"/>
        <v>0</v>
      </c>
      <c r="CG86" s="116"/>
      <c r="CH86" s="49">
        <f t="shared" si="29"/>
        <v>0</v>
      </c>
    </row>
    <row r="87" spans="1:86" ht="15" thickBot="1" x14ac:dyDescent="0.25">
      <c r="C87" s="69" t="s">
        <v>224</v>
      </c>
      <c r="D87" s="70"/>
      <c r="E87" s="122"/>
      <c r="F87" s="123"/>
      <c r="G87" s="123"/>
      <c r="H87" s="123"/>
      <c r="I87" s="45"/>
      <c r="J87" s="123"/>
      <c r="K87" s="123"/>
      <c r="L87" s="123"/>
      <c r="M87" s="123"/>
      <c r="N87" s="46"/>
      <c r="O87" s="184"/>
      <c r="P87" s="123"/>
      <c r="Q87" s="123"/>
      <c r="R87" s="123"/>
      <c r="S87" s="45"/>
      <c r="T87" s="185"/>
      <c r="U87" s="123"/>
      <c r="V87" s="123"/>
      <c r="W87" s="123"/>
      <c r="X87" s="46"/>
      <c r="Y87" s="184"/>
      <c r="Z87" s="123"/>
      <c r="AA87" s="123"/>
      <c r="AB87" s="123"/>
      <c r="AC87" s="45"/>
      <c r="AD87" s="185"/>
      <c r="AE87" s="123"/>
      <c r="AF87" s="123"/>
      <c r="AG87" s="123"/>
      <c r="AH87" s="46"/>
      <c r="AI87" s="184"/>
      <c r="AJ87" s="123"/>
      <c r="AK87" s="123"/>
      <c r="AL87" s="123"/>
      <c r="AM87" s="45"/>
      <c r="AN87" s="185"/>
      <c r="AO87" s="123"/>
      <c r="AP87" s="123"/>
      <c r="AQ87" s="123"/>
      <c r="AR87" s="46"/>
      <c r="AS87" s="184"/>
      <c r="AT87" s="123"/>
      <c r="AU87" s="123"/>
      <c r="AV87" s="123"/>
      <c r="AW87" s="45"/>
      <c r="AX87" s="186"/>
      <c r="AY87" s="123"/>
      <c r="AZ87" s="123"/>
      <c r="BA87" s="123"/>
      <c r="BB87" s="46"/>
      <c r="BC87" s="184"/>
      <c r="BD87" s="123"/>
      <c r="BE87" s="123"/>
      <c r="BF87" s="123"/>
      <c r="BG87" s="45"/>
      <c r="BH87" s="185"/>
      <c r="BI87" s="123"/>
      <c r="BJ87" s="123"/>
      <c r="BK87" s="123"/>
      <c r="BL87" s="46"/>
      <c r="BM87" s="184"/>
      <c r="BN87" s="123">
        <v>-1721045</v>
      </c>
      <c r="BO87" s="123">
        <v>-2710993</v>
      </c>
      <c r="BP87" s="123"/>
      <c r="BQ87" s="123"/>
      <c r="BR87" s="123"/>
      <c r="BS87" s="123"/>
      <c r="BT87" s="45">
        <f>BM87+BN87-BO87+SUM(BP87:BS87)</f>
        <v>989948</v>
      </c>
      <c r="BU87" s="48">
        <f>BL87</f>
        <v>0</v>
      </c>
      <c r="BV87" s="123">
        <v>17978</v>
      </c>
      <c r="BW87" s="123">
        <v>-14166</v>
      </c>
      <c r="BX87" s="123"/>
      <c r="BY87" s="46">
        <f>BU87+BV87-BW87+BX87</f>
        <v>32144</v>
      </c>
      <c r="BZ87" s="117"/>
      <c r="CA87" s="118"/>
      <c r="CB87" s="48">
        <f>BT87-BZ87</f>
        <v>989948</v>
      </c>
      <c r="CC87" s="76">
        <f>BY87-CA87</f>
        <v>32144</v>
      </c>
      <c r="CD87" s="115">
        <f>CB87*0.0147</f>
        <v>14552.2356</v>
      </c>
      <c r="CE87" s="114">
        <f>CB87*0.0049</f>
        <v>4850.7452000000003</v>
      </c>
      <c r="CF87" s="49"/>
      <c r="CG87" s="125">
        <v>1022092</v>
      </c>
      <c r="CH87" s="49">
        <f t="shared" si="29"/>
        <v>0</v>
      </c>
    </row>
    <row r="88" spans="1:86" ht="17.25" thickBot="1" x14ac:dyDescent="0.25">
      <c r="A88" s="1">
        <v>42</v>
      </c>
      <c r="C88" s="7" t="s">
        <v>225</v>
      </c>
      <c r="D88" s="13">
        <v>1595</v>
      </c>
      <c r="E88" s="126"/>
      <c r="F88" s="127"/>
      <c r="G88" s="127"/>
      <c r="H88" s="127"/>
      <c r="I88" s="62">
        <f>E88+F88-G88+H88</f>
        <v>0</v>
      </c>
      <c r="J88" s="127"/>
      <c r="K88" s="127"/>
      <c r="L88" s="127"/>
      <c r="M88" s="127"/>
      <c r="N88" s="63">
        <f>J88+K88-L88+M88</f>
        <v>0</v>
      </c>
      <c r="O88" s="71">
        <f>I88</f>
        <v>0</v>
      </c>
      <c r="P88" s="127"/>
      <c r="Q88" s="127"/>
      <c r="R88" s="127"/>
      <c r="S88" s="62">
        <f>O88+P88-Q88+R88</f>
        <v>0</v>
      </c>
      <c r="T88" s="72">
        <f>N88</f>
        <v>0</v>
      </c>
      <c r="U88" s="127"/>
      <c r="V88" s="127"/>
      <c r="W88" s="127"/>
      <c r="X88" s="64">
        <f>T88+U88-V88+W88</f>
        <v>0</v>
      </c>
      <c r="Y88" s="71">
        <f>S88</f>
        <v>0</v>
      </c>
      <c r="Z88" s="127"/>
      <c r="AA88" s="127"/>
      <c r="AB88" s="127"/>
      <c r="AC88" s="64">
        <f>Y88+Z88-AA88+AB88</f>
        <v>0</v>
      </c>
      <c r="AD88" s="72">
        <f>X88</f>
        <v>0</v>
      </c>
      <c r="AE88" s="127"/>
      <c r="AF88" s="127"/>
      <c r="AG88" s="127"/>
      <c r="AH88" s="64">
        <f>AD88+AE88-AF88+AG88</f>
        <v>0</v>
      </c>
      <c r="AI88" s="71">
        <f>AC88</f>
        <v>0</v>
      </c>
      <c r="AJ88" s="127"/>
      <c r="AK88" s="127"/>
      <c r="AL88" s="127"/>
      <c r="AM88" s="64">
        <f>AI88+AJ88-AK88+AL88</f>
        <v>0</v>
      </c>
      <c r="AN88" s="72">
        <f>AH88</f>
        <v>0</v>
      </c>
      <c r="AO88" s="127"/>
      <c r="AP88" s="127"/>
      <c r="AQ88" s="127"/>
      <c r="AR88" s="64">
        <f>AN88+AO88-AP88+AQ88</f>
        <v>0</v>
      </c>
      <c r="AS88" s="71">
        <f>AM88</f>
        <v>0</v>
      </c>
      <c r="AT88" s="127">
        <v>443253</v>
      </c>
      <c r="AU88" s="127">
        <v>1757096</v>
      </c>
      <c r="AV88" s="127"/>
      <c r="AW88" s="93">
        <f>AS88+AT88-AU88+AV88</f>
        <v>-1313843</v>
      </c>
      <c r="AX88" s="94">
        <f>AR88</f>
        <v>0</v>
      </c>
      <c r="AY88" s="127">
        <v>-3640</v>
      </c>
      <c r="AZ88" s="127">
        <v>382227</v>
      </c>
      <c r="BA88" s="127"/>
      <c r="BB88" s="64">
        <f>AX88+AY88-AZ88+BA88</f>
        <v>-385867</v>
      </c>
      <c r="BC88" s="71">
        <f>AW88</f>
        <v>-1313843</v>
      </c>
      <c r="BD88" s="127">
        <v>1647065</v>
      </c>
      <c r="BE88" s="127">
        <v>1231535</v>
      </c>
      <c r="BF88" s="127"/>
      <c r="BG88" s="62">
        <f>BC88+BD88-BE88+SUM(BF88:BF88)</f>
        <v>-898313</v>
      </c>
      <c r="BH88" s="72">
        <f>BB88</f>
        <v>-385867</v>
      </c>
      <c r="BI88" s="127">
        <v>-11041</v>
      </c>
      <c r="BJ88" s="127">
        <v>-205730</v>
      </c>
      <c r="BK88" s="127"/>
      <c r="BL88" s="63">
        <f>BH88+BI88-BJ88+BK88</f>
        <v>-191178</v>
      </c>
      <c r="BM88" s="71">
        <f>BG88</f>
        <v>-898313</v>
      </c>
      <c r="BN88" s="127">
        <v>-786314</v>
      </c>
      <c r="BO88" s="127">
        <v>-2710993</v>
      </c>
      <c r="BP88" s="127"/>
      <c r="BQ88" s="127"/>
      <c r="BR88" s="127"/>
      <c r="BS88" s="127"/>
      <c r="BT88" s="62">
        <f>BM88+BN88-BO88+SUM(BP88:BS88)</f>
        <v>1026366</v>
      </c>
      <c r="BU88" s="72">
        <f>BL88</f>
        <v>-191178</v>
      </c>
      <c r="BV88" s="127">
        <v>14982</v>
      </c>
      <c r="BW88" s="127">
        <v>-14166</v>
      </c>
      <c r="BX88" s="127"/>
      <c r="BY88" s="63">
        <f>BU88+BV88-BW88+BX88</f>
        <v>-162030</v>
      </c>
      <c r="BZ88" s="128"/>
      <c r="CA88" s="129"/>
      <c r="CB88" s="90">
        <f>BT88-BZ88</f>
        <v>1026366</v>
      </c>
      <c r="CC88" s="91">
        <f>BY88-CA88</f>
        <v>-162030</v>
      </c>
      <c r="CD88" s="128">
        <f>CB88*0.0147</f>
        <v>15087.5802</v>
      </c>
      <c r="CE88" s="129">
        <f>CB88*0.0049</f>
        <v>5029.1934000000001</v>
      </c>
      <c r="CF88" s="138">
        <f t="shared" si="28"/>
        <v>884452.77359999996</v>
      </c>
      <c r="CG88" s="130">
        <v>864336.45</v>
      </c>
      <c r="CH88" s="137">
        <f t="shared" si="29"/>
        <v>0.44999999995343387</v>
      </c>
    </row>
    <row r="89" spans="1:86" x14ac:dyDescent="0.2">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row>
    <row r="91" spans="1:86" ht="30.75" customHeight="1" x14ac:dyDescent="0.2">
      <c r="B91" s="2"/>
      <c r="C91" s="279" t="s">
        <v>79</v>
      </c>
      <c r="D91" s="279"/>
      <c r="E91" s="279"/>
      <c r="F91" s="279"/>
      <c r="G91" s="279"/>
      <c r="H91" s="279"/>
    </row>
    <row r="92" spans="1:86" ht="16.5" x14ac:dyDescent="0.2">
      <c r="B92" s="26">
        <v>1</v>
      </c>
      <c r="C92" s="27" t="s">
        <v>56</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row>
    <row r="93" spans="1:86" ht="16.5" x14ac:dyDescent="0.2">
      <c r="B93" s="30" t="s">
        <v>99</v>
      </c>
      <c r="C93" s="27" t="s">
        <v>69</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c r="CH93" s="75"/>
    </row>
    <row r="94" spans="1:86" ht="16.5" x14ac:dyDescent="0.2">
      <c r="B94" s="26">
        <v>2</v>
      </c>
      <c r="C94" s="1" t="s">
        <v>58</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row>
    <row r="95" spans="1:86" ht="16.5" x14ac:dyDescent="0.2">
      <c r="B95" s="26">
        <v>3</v>
      </c>
      <c r="C95" s="27" t="s">
        <v>57</v>
      </c>
      <c r="E95" s="2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row>
    <row r="96" spans="1:86" ht="16.5" x14ac:dyDescent="0.2">
      <c r="B96" s="26">
        <v>4</v>
      </c>
      <c r="C96" s="27" t="s">
        <v>20</v>
      </c>
      <c r="E96" s="7"/>
      <c r="F96" s="7"/>
      <c r="G96" s="7"/>
      <c r="H96" s="14"/>
      <c r="I96" s="7"/>
      <c r="J96" s="7"/>
      <c r="K96" s="14"/>
      <c r="L96" s="14"/>
      <c r="M96" s="14"/>
      <c r="N96" s="14"/>
      <c r="O96" s="29"/>
      <c r="P96" s="29"/>
      <c r="Q96" s="29"/>
      <c r="R96" s="29"/>
      <c r="V96" s="14"/>
      <c r="W96" s="14"/>
      <c r="AF96" s="14"/>
      <c r="AG96" s="14"/>
      <c r="AP96" s="14"/>
      <c r="AQ96" s="14"/>
      <c r="AZ96" s="14"/>
      <c r="BA96" s="14"/>
      <c r="BJ96" s="14"/>
      <c r="BK96" s="14"/>
      <c r="BW96" s="14"/>
      <c r="BX96" s="14"/>
      <c r="BZ96" s="14"/>
      <c r="CA96" s="14"/>
      <c r="CB96" s="14"/>
      <c r="CC96" s="14"/>
    </row>
    <row r="97" spans="2:81" ht="16.5" x14ac:dyDescent="0.2">
      <c r="B97" s="26">
        <v>5</v>
      </c>
      <c r="C97" s="27" t="s">
        <v>21</v>
      </c>
      <c r="E97" s="7"/>
      <c r="F97" s="7"/>
      <c r="G97" s="7"/>
      <c r="H97" s="14"/>
      <c r="I97" s="7"/>
      <c r="J97" s="7"/>
      <c r="K97" s="14"/>
      <c r="L97" s="14"/>
      <c r="M97" s="14"/>
      <c r="N97" s="14"/>
      <c r="O97" s="31"/>
      <c r="P97" s="31"/>
      <c r="Q97" s="31"/>
      <c r="R97" s="31"/>
      <c r="V97" s="14"/>
      <c r="W97" s="14"/>
      <c r="AF97" s="14"/>
      <c r="AG97" s="14"/>
      <c r="AP97" s="14"/>
      <c r="AQ97" s="14"/>
      <c r="AZ97" s="14"/>
      <c r="BA97" s="14"/>
      <c r="BJ97" s="14"/>
      <c r="BK97" s="14"/>
      <c r="BW97" s="14"/>
      <c r="BX97" s="14"/>
      <c r="BZ97" s="14"/>
      <c r="CA97" s="14"/>
      <c r="CB97" s="14"/>
      <c r="CC97" s="14"/>
    </row>
    <row r="98" spans="2:81" ht="16.5" customHeight="1" x14ac:dyDescent="0.2">
      <c r="B98" s="26">
        <v>6</v>
      </c>
      <c r="C98" s="268" t="s">
        <v>140</v>
      </c>
      <c r="D98" s="269"/>
      <c r="E98" s="269"/>
      <c r="F98" s="269"/>
      <c r="G98" s="269"/>
      <c r="H98" s="269"/>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row>
    <row r="99" spans="2:81" ht="19.5" customHeight="1" x14ac:dyDescent="0.2">
      <c r="B99" s="26"/>
      <c r="C99" s="269"/>
      <c r="D99" s="269"/>
      <c r="E99" s="269"/>
      <c r="F99" s="269"/>
      <c r="G99" s="269"/>
      <c r="H99" s="269"/>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row>
    <row r="100" spans="2:81" ht="3.75" customHeight="1" x14ac:dyDescent="0.2">
      <c r="B100" s="26"/>
      <c r="C100" s="269"/>
      <c r="D100" s="269"/>
      <c r="E100" s="269"/>
      <c r="F100" s="269"/>
      <c r="G100" s="269"/>
      <c r="H100" s="269"/>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row>
    <row r="101" spans="2:81" ht="16.5" x14ac:dyDescent="0.2">
      <c r="B101" s="26">
        <v>7</v>
      </c>
      <c r="C101" s="27" t="s">
        <v>142</v>
      </c>
      <c r="E101" s="7"/>
      <c r="F101" s="7"/>
      <c r="G101" s="7"/>
      <c r="H101" s="14"/>
      <c r="I101" s="7"/>
      <c r="J101" s="7"/>
      <c r="K101" s="14"/>
      <c r="L101" s="14"/>
      <c r="M101" s="14"/>
      <c r="N101" s="14"/>
      <c r="O101" s="28"/>
      <c r="P101" s="28"/>
      <c r="Q101" s="28"/>
      <c r="R101" s="28"/>
      <c r="V101" s="14"/>
      <c r="W101" s="14"/>
      <c r="AF101" s="14"/>
      <c r="AG101" s="14"/>
      <c r="AP101" s="14"/>
      <c r="AQ101" s="14"/>
      <c r="AZ101" s="14"/>
      <c r="BA101" s="14"/>
      <c r="BJ101" s="14"/>
      <c r="BK101" s="14"/>
      <c r="BW101" s="14"/>
      <c r="BX101" s="14"/>
      <c r="BZ101" s="14"/>
      <c r="CA101" s="14"/>
      <c r="CB101" s="14"/>
      <c r="CC101" s="14"/>
    </row>
    <row r="102" spans="2:81" ht="16.5" x14ac:dyDescent="0.2">
      <c r="B102" s="26"/>
      <c r="C102" s="27" t="s">
        <v>141</v>
      </c>
      <c r="E102" s="7"/>
      <c r="F102" s="7"/>
      <c r="G102" s="7"/>
      <c r="H102" s="14"/>
      <c r="I102" s="7"/>
      <c r="J102" s="7"/>
      <c r="K102" s="14"/>
      <c r="L102" s="14"/>
      <c r="M102" s="14"/>
      <c r="N102" s="14"/>
      <c r="O102" s="29"/>
      <c r="P102" s="29"/>
      <c r="Q102" s="29"/>
      <c r="R102" s="29"/>
      <c r="V102" s="14"/>
      <c r="W102" s="14"/>
      <c r="AF102" s="14"/>
      <c r="AG102" s="14"/>
      <c r="AP102" s="14"/>
      <c r="AQ102" s="14"/>
      <c r="AZ102" s="14"/>
      <c r="BA102" s="14"/>
      <c r="BJ102" s="14"/>
      <c r="BK102" s="14"/>
      <c r="BW102" s="14"/>
      <c r="BX102" s="14"/>
      <c r="BZ102" s="14"/>
      <c r="CA102" s="14"/>
      <c r="CB102" s="14"/>
      <c r="CC102" s="14"/>
    </row>
    <row r="103" spans="2:81" ht="16.5" x14ac:dyDescent="0.2">
      <c r="B103" s="26">
        <v>8</v>
      </c>
      <c r="C103" s="27" t="s">
        <v>93</v>
      </c>
    </row>
    <row r="104" spans="2:81" x14ac:dyDescent="0.2">
      <c r="C104" s="27" t="s">
        <v>143</v>
      </c>
    </row>
    <row r="105" spans="2:81" ht="14.25" x14ac:dyDescent="0.2">
      <c r="C105" s="27" t="s">
        <v>94</v>
      </c>
      <c r="D105" s="13"/>
    </row>
    <row r="106" spans="2:81" ht="16.5" x14ac:dyDescent="0.2">
      <c r="B106" s="26">
        <v>9</v>
      </c>
      <c r="C106" s="27" t="s">
        <v>95</v>
      </c>
    </row>
    <row r="107" spans="2:81" x14ac:dyDescent="0.2">
      <c r="C107" s="27" t="s">
        <v>96</v>
      </c>
    </row>
    <row r="108" spans="2:81" ht="16.5" x14ac:dyDescent="0.2">
      <c r="B108" s="26">
        <v>10</v>
      </c>
      <c r="C108" s="27" t="s">
        <v>97</v>
      </c>
    </row>
    <row r="109" spans="2:81" ht="16.5" x14ac:dyDescent="0.2">
      <c r="B109" s="26">
        <v>11</v>
      </c>
      <c r="C109" s="27" t="s">
        <v>136</v>
      </c>
    </row>
    <row r="110" spans="2:81" x14ac:dyDescent="0.2">
      <c r="C110" s="27" t="s">
        <v>137</v>
      </c>
    </row>
  </sheetData>
  <mergeCells count="95">
    <mergeCell ref="C91:H91"/>
    <mergeCell ref="AD20:AD22"/>
    <mergeCell ref="BZ19:CC19"/>
    <mergeCell ref="CB20:CB22"/>
    <mergeCell ref="CC20:CC22"/>
    <mergeCell ref="AK20:AK22"/>
    <mergeCell ref="BC19:BL19"/>
    <mergeCell ref="X20:X22"/>
    <mergeCell ref="Y20:Y22"/>
    <mergeCell ref="Z20:Z22"/>
    <mergeCell ref="AS19:BB19"/>
    <mergeCell ref="AS20:AS22"/>
    <mergeCell ref="AT20:AT22"/>
    <mergeCell ref="E19:N19"/>
    <mergeCell ref="Y19:AH19"/>
    <mergeCell ref="AI19:AR19"/>
    <mergeCell ref="CG20:CG22"/>
    <mergeCell ref="CH20:CH22"/>
    <mergeCell ref="CD19:CF19"/>
    <mergeCell ref="CF20:CF22"/>
    <mergeCell ref="CE20:CE22"/>
    <mergeCell ref="CD20:CD22"/>
    <mergeCell ref="E20:E22"/>
    <mergeCell ref="O19:X19"/>
    <mergeCell ref="O20:O22"/>
    <mergeCell ref="P20:P22"/>
    <mergeCell ref="Q20:Q22"/>
    <mergeCell ref="R20:R22"/>
    <mergeCell ref="I20:I22"/>
    <mergeCell ref="T20:T22"/>
    <mergeCell ref="U20:U22"/>
    <mergeCell ref="M20:M22"/>
    <mergeCell ref="V20:V22"/>
    <mergeCell ref="W20:W22"/>
    <mergeCell ref="H20:H22"/>
    <mergeCell ref="AH20:AH22"/>
    <mergeCell ref="AN20:AN22"/>
    <mergeCell ref="AA20:AA22"/>
    <mergeCell ref="AB20:AB22"/>
    <mergeCell ref="AF20:AF22"/>
    <mergeCell ref="AJ20:AJ22"/>
    <mergeCell ref="AI20:AI22"/>
    <mergeCell ref="AG20:AG22"/>
    <mergeCell ref="BK20:BK22"/>
    <mergeCell ref="BF20:BF22"/>
    <mergeCell ref="BG20:BG22"/>
    <mergeCell ref="AM20:AM22"/>
    <mergeCell ref="BH20:BH22"/>
    <mergeCell ref="BE20:BE22"/>
    <mergeCell ref="AY20:AY22"/>
    <mergeCell ref="AX20:AX22"/>
    <mergeCell ref="AU20:AU22"/>
    <mergeCell ref="AV20:AV22"/>
    <mergeCell ref="C98:H100"/>
    <mergeCell ref="C20:C22"/>
    <mergeCell ref="D20:D22"/>
    <mergeCell ref="BB20:BB22"/>
    <mergeCell ref="AZ20:AZ22"/>
    <mergeCell ref="BA20:BA22"/>
    <mergeCell ref="AW20:AW22"/>
    <mergeCell ref="F20:F22"/>
    <mergeCell ref="G20:G22"/>
    <mergeCell ref="J20:J22"/>
    <mergeCell ref="K20:K22"/>
    <mergeCell ref="N20:N22"/>
    <mergeCell ref="L20:L22"/>
    <mergeCell ref="AE20:AE22"/>
    <mergeCell ref="AC20:AC22"/>
    <mergeCell ref="S20:S22"/>
    <mergeCell ref="CA20:CA22"/>
    <mergeCell ref="AL20:AL22"/>
    <mergeCell ref="AP20:AP22"/>
    <mergeCell ref="AQ20:AQ22"/>
    <mergeCell ref="AO20:AO22"/>
    <mergeCell ref="AR20:AR22"/>
    <mergeCell ref="BZ20:BZ22"/>
    <mergeCell ref="BW20:BW22"/>
    <mergeCell ref="BX20:BX22"/>
    <mergeCell ref="BY20:BY22"/>
    <mergeCell ref="BI20:BI22"/>
    <mergeCell ref="BV20:BV22"/>
    <mergeCell ref="BL20:BL22"/>
    <mergeCell ref="BJ20:BJ22"/>
    <mergeCell ref="BC20:BC22"/>
    <mergeCell ref="BD20:BD22"/>
    <mergeCell ref="BM19:BY19"/>
    <mergeCell ref="BM20:BM22"/>
    <mergeCell ref="BN20:BN22"/>
    <mergeCell ref="BO20:BO22"/>
    <mergeCell ref="BP20:BP22"/>
    <mergeCell ref="BQ20:BQ22"/>
    <mergeCell ref="BR20:BR22"/>
    <mergeCell ref="BS20:BS22"/>
    <mergeCell ref="BT20:BT22"/>
    <mergeCell ref="BU20:BU22"/>
  </mergeCells>
  <phoneticPr fontId="13" type="noConversion"/>
  <pageMargins left="0.35433070866141736" right="0.39370078740157483" top="0.62992125984251968" bottom="0.98425196850393704" header="0.31496062992125984" footer="0.51181102362204722"/>
  <pageSetup scale="42" orientation="landscape" r:id="rId1"/>
  <headerFooter alignWithMargins="0">
    <oddFooter>&amp;L&amp;Z&amp;F&amp;R&amp;D</oddFooter>
  </headerFooter>
  <rowBreaks count="1" manualBreakCount="1">
    <brk id="69" max="16383" man="1"/>
  </rowBreaks>
  <colBreaks count="6" manualBreakCount="6">
    <brk id="14" max="1048575" man="1"/>
    <brk id="24" max="1048575" man="1"/>
    <brk id="34" max="1048575" man="1"/>
    <brk id="44" max="1048575" man="1"/>
    <brk id="54" max="1048575" man="1"/>
    <brk id="6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8"/>
  <sheetViews>
    <sheetView showGridLines="0" topLeftCell="C26" zoomScaleNormal="115" workbookViewId="0">
      <selection activeCell="F2" sqref="F2"/>
    </sheetView>
  </sheetViews>
  <sheetFormatPr defaultColWidth="9.140625" defaultRowHeight="12.75" x14ac:dyDescent="0.2"/>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86" t="s">
        <v>159</v>
      </c>
      <c r="C16" s="286"/>
      <c r="D16" s="286"/>
      <c r="E16" s="286"/>
    </row>
    <row r="18" spans="1:6" ht="38.25" customHeight="1" thickBot="1" x14ac:dyDescent="0.25">
      <c r="B18"/>
      <c r="C18"/>
      <c r="D18"/>
    </row>
    <row r="19" spans="1:6" ht="29.25" thickBot="1" x14ac:dyDescent="0.5">
      <c r="C19" s="42"/>
      <c r="D19" s="37"/>
      <c r="E19" s="38"/>
      <c r="F19" s="37"/>
    </row>
    <row r="20" spans="1:6" ht="14.25" customHeight="1" x14ac:dyDescent="0.2">
      <c r="C20" s="284" t="s">
        <v>40</v>
      </c>
      <c r="D20" s="266" t="s">
        <v>0</v>
      </c>
      <c r="E20" s="273" t="s">
        <v>90</v>
      </c>
      <c r="F20" s="265" t="s">
        <v>50</v>
      </c>
    </row>
    <row r="21" spans="1:6" ht="24.75" customHeight="1" x14ac:dyDescent="0.2">
      <c r="C21" s="284"/>
      <c r="D21" s="266"/>
      <c r="E21" s="274"/>
      <c r="F21" s="266"/>
    </row>
    <row r="22" spans="1:6" ht="36.75" customHeight="1" thickBot="1" x14ac:dyDescent="0.25">
      <c r="B22" s="32"/>
      <c r="C22" s="285"/>
      <c r="D22" s="267"/>
      <c r="E22" s="283"/>
      <c r="F22" s="267"/>
    </row>
    <row r="23" spans="1:6" ht="33.75" customHeight="1" x14ac:dyDescent="0.2">
      <c r="C23" s="68" t="s">
        <v>60</v>
      </c>
      <c r="D23" s="36"/>
      <c r="E23" s="41"/>
      <c r="F23" s="12"/>
    </row>
    <row r="24" spans="1:6" ht="30.75" hidden="1" customHeight="1" x14ac:dyDescent="0.2">
      <c r="A24" s="1">
        <v>1</v>
      </c>
      <c r="C24" s="83" t="s">
        <v>62</v>
      </c>
      <c r="D24" s="82">
        <v>1550</v>
      </c>
      <c r="E24" s="65">
        <f>IF(ISERROR(VLOOKUP($A24, '2. 2013 Continuity Schedule'!$A$20:$CH$90, MATCH('3. Appendix A'!$E$20, '2. 2013 Continuity Schedule'!$A$20:$CH$20,0),FALSE)), 0, VLOOKUP($A24, '2. 2013 Continuity Schedule'!$A$20:$CH$90, MATCH('3. Appendix A'!$E$20, '2. 2013 Continuity Schedule'!$A$20:$CH$20,0),FALSE))</f>
        <v>0</v>
      </c>
      <c r="F24" s="73"/>
    </row>
    <row r="25" spans="1:6" ht="30.75" customHeight="1" x14ac:dyDescent="0.2">
      <c r="A25" s="1">
        <v>2</v>
      </c>
      <c r="C25" s="83" t="s">
        <v>1</v>
      </c>
      <c r="D25" s="82">
        <v>1580</v>
      </c>
      <c r="E25" s="65">
        <f>IF(ISERROR(VLOOKUP($A25, '2. 2013 Continuity Schedule'!$A$20:$CH$90, MATCH('3. Appendix A'!$E$20, '2. 2013 Continuity Schedule'!$A$20:$CH$20,0),FALSE)), 0, VLOOKUP($A25, '2. 2013 Continuity Schedule'!$A$20:$CH$90, MATCH('3. Appendix A'!$E$20, '2. 2013 Continuity Schedule'!$A$20:$CH$20,0),FALSE))</f>
        <v>-7.4899999997578561</v>
      </c>
      <c r="F25" s="73"/>
    </row>
    <row r="26" spans="1:6" ht="30.75" customHeight="1" x14ac:dyDescent="0.2">
      <c r="A26" s="1">
        <v>3</v>
      </c>
      <c r="C26" s="83" t="s">
        <v>2</v>
      </c>
      <c r="D26" s="82">
        <v>1584</v>
      </c>
      <c r="E26" s="65">
        <f>IF(ISERROR(VLOOKUP($A26, '2. 2013 Continuity Schedule'!$A$20:$CH$90, MATCH('3. Appendix A'!$E$20, '2. 2013 Continuity Schedule'!$A$20:$CH$20,0),FALSE)), 0, VLOOKUP($A26, '2. 2013 Continuity Schedule'!$A$20:$CH$90, MATCH('3. Appendix A'!$E$20, '2. 2013 Continuity Schedule'!$A$20:$CH$20,0),FALSE))</f>
        <v>0.96999999997206032</v>
      </c>
      <c r="F26" s="73"/>
    </row>
    <row r="27" spans="1:6" ht="30.75" customHeight="1" x14ac:dyDescent="0.2">
      <c r="A27" s="1">
        <v>4</v>
      </c>
      <c r="C27" s="83" t="s">
        <v>3</v>
      </c>
      <c r="D27" s="82">
        <v>1586</v>
      </c>
      <c r="E27" s="65">
        <f>IF(ISERROR(VLOOKUP($A27, '2. 2013 Continuity Schedule'!$A$20:$CH$90, MATCH('3. Appendix A'!$E$20, '2. 2013 Continuity Schedule'!$A$20:$CH$20,0),FALSE)), 0, VLOOKUP($A27, '2. 2013 Continuity Schedule'!$A$20:$CH$90, MATCH('3. Appendix A'!$E$20, '2. 2013 Continuity Schedule'!$A$20:$CH$20,0),FALSE))</f>
        <v>0.66999999998370185</v>
      </c>
      <c r="F27" s="73"/>
    </row>
    <row r="28" spans="1:6" ht="30.75" customHeight="1" x14ac:dyDescent="0.2">
      <c r="A28" s="1">
        <v>5</v>
      </c>
      <c r="C28" s="83" t="s">
        <v>91</v>
      </c>
      <c r="D28" s="82">
        <v>1588</v>
      </c>
      <c r="E28" s="65">
        <f>IF(ISERROR(VLOOKUP($A28, '2. 2013 Continuity Schedule'!$A$20:$CH$90, MATCH('3. Appendix A'!$E$20, '2. 2013 Continuity Schedule'!$A$20:$CH$20,0),FALSE)), 0, VLOOKUP($A28, '2. 2013 Continuity Schedule'!$A$20:$CH$90, MATCH('3. Appendix A'!$E$20, '2. 2013 Continuity Schedule'!$A$20:$CH$20,0),FALSE))</f>
        <v>422.25</v>
      </c>
      <c r="F28" s="73"/>
    </row>
    <row r="29" spans="1:6" ht="30.75" hidden="1" customHeight="1" x14ac:dyDescent="0.2">
      <c r="A29" s="1">
        <v>6</v>
      </c>
      <c r="C29" s="83" t="s">
        <v>144</v>
      </c>
      <c r="D29" s="82">
        <v>1588</v>
      </c>
      <c r="E29" s="65">
        <f>IF(ISERROR(VLOOKUP($A29, '2. 2013 Continuity Schedule'!$A$20:$CH$90, MATCH('3. Appendix A'!$E$20, '2. 2013 Continuity Schedule'!$A$20:$CH$20,0),FALSE)), 0, VLOOKUP($A29, '2. 2013 Continuity Schedule'!$A$20:$CH$90, MATCH('3. Appendix A'!$E$20, '2. 2013 Continuity Schedule'!$A$20:$CH$20,0),FALSE))</f>
        <v>0</v>
      </c>
      <c r="F29" s="73"/>
    </row>
    <row r="30" spans="1:6" ht="30.75" customHeight="1" x14ac:dyDescent="0.2">
      <c r="A30" s="1">
        <v>7</v>
      </c>
      <c r="C30" s="83" t="s">
        <v>19</v>
      </c>
      <c r="D30" s="82">
        <v>1590</v>
      </c>
      <c r="E30" s="65">
        <f>IF(ISERROR(VLOOKUP($A30, '2. 2013 Continuity Schedule'!$A$20:$CH$90, MATCH('3. Appendix A'!$E$20, '2. 2013 Continuity Schedule'!$A$20:$CH$20,0),FALSE)), 0, VLOOKUP($A30, '2. 2013 Continuity Schedule'!$A$20:$CH$90, MATCH('3. Appendix A'!$E$20, '2. 2013 Continuity Schedule'!$A$20:$CH$20,0),FALSE))</f>
        <v>-17.829999999999984</v>
      </c>
      <c r="F30" s="73"/>
    </row>
    <row r="31" spans="1:6" ht="30.75" hidden="1" customHeight="1" x14ac:dyDescent="0.2">
      <c r="A31" s="1">
        <v>8</v>
      </c>
      <c r="C31" s="85" t="s">
        <v>126</v>
      </c>
      <c r="D31" s="82">
        <v>1595</v>
      </c>
      <c r="E31" s="65">
        <f>IF(ISERROR(VLOOKUP($A31, '2. 2013 Continuity Schedule'!$A$20:$CH$90, MATCH('3. Appendix A'!$E$20, '2. 2013 Continuity Schedule'!$A$20:$CH$20,0),FALSE)), 0, VLOOKUP($A31, '2. 2013 Continuity Schedule'!$A$20:$CH$90, MATCH('3. Appendix A'!$E$20, '2. 2013 Continuity Schedule'!$A$20:$CH$20,0),FALSE))</f>
        <v>0</v>
      </c>
      <c r="F31" s="73"/>
    </row>
    <row r="32" spans="1:6" ht="30.75" hidden="1" customHeight="1" x14ac:dyDescent="0.2">
      <c r="A32" s="1">
        <v>9</v>
      </c>
      <c r="C32" s="85" t="s">
        <v>127</v>
      </c>
      <c r="D32" s="82">
        <v>1595</v>
      </c>
      <c r="E32" s="65">
        <f>IF(ISERROR(VLOOKUP($A32, '2. 2013 Continuity Schedule'!$A$20:$CH$90, MATCH('3. Appendix A'!$E$20, '2. 2013 Continuity Schedule'!$A$20:$CH$20,0),FALSE)), 0, VLOOKUP($A32, '2. 2013 Continuity Schedule'!$A$20:$CH$90, MATCH('3. Appendix A'!$E$20, '2. 2013 Continuity Schedule'!$A$20:$CH$20,0),FALSE))</f>
        <v>0</v>
      </c>
      <c r="F32" s="73"/>
    </row>
    <row r="33" spans="1:6" ht="30.75" hidden="1" customHeight="1" x14ac:dyDescent="0.2">
      <c r="A33" s="1">
        <v>9</v>
      </c>
      <c r="C33" s="85" t="s">
        <v>128</v>
      </c>
      <c r="D33" s="82">
        <v>1595</v>
      </c>
      <c r="E33" s="65">
        <f>IF(ISERROR(VLOOKUP($A33, '2. 2013 Continuity Schedule'!$A$20:$CH$90, MATCH('3. Appendix A'!$E$20, '2. 2013 Continuity Schedule'!$A$20:$CH$20,0),FALSE)), 0, VLOOKUP($A33, '2. 2013 Continuity Schedule'!$A$20:$CH$90, MATCH('3. Appendix A'!$E$20, '2. 2013 Continuity Schedule'!$A$20:$CH$20,0),FALSE))</f>
        <v>0</v>
      </c>
      <c r="F33" s="73"/>
    </row>
    <row r="34" spans="1:6" ht="30.75" customHeight="1" x14ac:dyDescent="0.2">
      <c r="C34" s="68" t="s">
        <v>61</v>
      </c>
      <c r="D34" s="67"/>
      <c r="E34" s="65"/>
      <c r="F34" s="87"/>
    </row>
    <row r="35" spans="1:6" ht="30.75" customHeight="1" x14ac:dyDescent="0.2">
      <c r="A35" s="1">
        <v>10</v>
      </c>
      <c r="C35" s="83" t="s">
        <v>14</v>
      </c>
      <c r="D35" s="82">
        <v>1508</v>
      </c>
      <c r="E35" s="65">
        <f>IF(ISERROR(VLOOKUP($A35, '2. 2013 Continuity Schedule'!$A$20:$CH$90, MATCH('3. Appendix A'!$E$20, '2. 2013 Continuity Schedule'!$A$20:$CH$20,0),FALSE)), 0, VLOOKUP($A35, '2. 2013 Continuity Schedule'!$A$20:$CH$90, MATCH('3. Appendix A'!$E$20, '2. 2013 Continuity Schedule'!$A$20:$CH$20,0),FALSE))</f>
        <v>0.7999999999992724</v>
      </c>
      <c r="F35" s="73"/>
    </row>
    <row r="36" spans="1:6" ht="30.75" customHeight="1" x14ac:dyDescent="0.2">
      <c r="A36" s="1">
        <v>11</v>
      </c>
      <c r="C36" s="83" t="s">
        <v>15</v>
      </c>
      <c r="D36" s="82">
        <v>1508</v>
      </c>
      <c r="E36" s="65">
        <f>IF(ISERROR(VLOOKUP($A36, '2. 2013 Continuity Schedule'!$A$20:$CH$90, MATCH('3. Appendix A'!$E$20, '2. 2013 Continuity Schedule'!$A$20:$CH$20,0),FALSE)), 0, VLOOKUP($A36, '2. 2013 Continuity Schedule'!$A$20:$CH$90, MATCH('3. Appendix A'!$E$20, '2. 2013 Continuity Schedule'!$A$20:$CH$20,0),FALSE))</f>
        <v>1.0400000000000205</v>
      </c>
      <c r="F36" s="73"/>
    </row>
    <row r="37" spans="1:6" ht="30.75" hidden="1" customHeight="1" x14ac:dyDescent="0.2">
      <c r="A37" s="1">
        <v>12</v>
      </c>
      <c r="C37" s="83" t="s">
        <v>67</v>
      </c>
      <c r="D37" s="82">
        <v>1508</v>
      </c>
      <c r="E37" s="65">
        <f>IF(ISERROR(VLOOKUP($A37, '2. 2013 Continuity Schedule'!$A$20:$CH$90, MATCH('3. Appendix A'!$E$20, '2. 2013 Continuity Schedule'!$A$20:$CH$20,0),FALSE)), 0, VLOOKUP($A37, '2. 2013 Continuity Schedule'!$A$20:$CH$90, MATCH('3. Appendix A'!$E$20, '2. 2013 Continuity Schedule'!$A$20:$CH$20,0),FALSE))</f>
        <v>0</v>
      </c>
      <c r="F37" s="73"/>
    </row>
    <row r="38" spans="1:6" ht="30.75" hidden="1" customHeight="1" x14ac:dyDescent="0.2">
      <c r="A38" s="1">
        <v>13</v>
      </c>
      <c r="C38" s="83" t="s">
        <v>68</v>
      </c>
      <c r="D38" s="82">
        <v>1508</v>
      </c>
      <c r="E38" s="65">
        <f>IF(ISERROR(VLOOKUP($A38, '2. 2013 Continuity Schedule'!$A$20:$CH$90, MATCH('3. Appendix A'!$E$20, '2. 2013 Continuity Schedule'!$A$20:$CH$20,0),FALSE)), 0, VLOOKUP($A38, '2. 2013 Continuity Schedule'!$A$20:$CH$90, MATCH('3. Appendix A'!$E$20, '2. 2013 Continuity Schedule'!$A$20:$CH$20,0),FALSE))</f>
        <v>0</v>
      </c>
      <c r="F38" s="73"/>
    </row>
    <row r="39" spans="1:6" ht="30.75" hidden="1" customHeight="1" x14ac:dyDescent="0.2">
      <c r="A39" s="1">
        <v>14</v>
      </c>
      <c r="C39" s="84" t="s">
        <v>122</v>
      </c>
      <c r="D39" s="82">
        <v>1508</v>
      </c>
      <c r="E39" s="65">
        <f>IF(ISERROR(VLOOKUP($A39, '2. 2013 Continuity Schedule'!$A$20:$CH$90, MATCH('3. Appendix A'!$E$20, '2. 2013 Continuity Schedule'!$A$20:$CH$20,0),FALSE)), 0, VLOOKUP($A39, '2. 2013 Continuity Schedule'!$A$20:$CH$90, MATCH('3. Appendix A'!$E$20, '2. 2013 Continuity Schedule'!$A$20:$CH$20,0),FALSE))</f>
        <v>0</v>
      </c>
      <c r="F39" s="73"/>
    </row>
    <row r="40" spans="1:6" ht="30.75" hidden="1" customHeight="1" x14ac:dyDescent="0.2">
      <c r="A40" s="1">
        <v>15</v>
      </c>
      <c r="C40" s="84" t="s">
        <v>92</v>
      </c>
      <c r="D40" s="82">
        <v>1508</v>
      </c>
      <c r="E40" s="65">
        <f>IF(ISERROR(VLOOKUP($A40, '2. 2013 Continuity Schedule'!$A$20:$CH$90, MATCH('3. Appendix A'!$E$20, '2. 2013 Continuity Schedule'!$A$20:$CH$20,0),FALSE)), 0, VLOOKUP($A40, '2. 2013 Continuity Schedule'!$A$20:$CH$90, MATCH('3. Appendix A'!$E$20, '2. 2013 Continuity Schedule'!$A$20:$CH$20,0),FALSE))</f>
        <v>0</v>
      </c>
      <c r="F40" s="73"/>
    </row>
    <row r="41" spans="1:6" ht="30.75" hidden="1" customHeight="1" x14ac:dyDescent="0.2">
      <c r="A41" s="1">
        <v>16</v>
      </c>
      <c r="C41" s="83" t="s">
        <v>119</v>
      </c>
      <c r="D41" s="82">
        <v>1508</v>
      </c>
      <c r="E41" s="65">
        <f>IF(ISERROR(VLOOKUP($A41, '2. 2013 Continuity Schedule'!$A$20:$CH$90, MATCH('3. Appendix A'!$E$20, '2. 2013 Continuity Schedule'!$A$20:$CH$20,0),FALSE)), 0, VLOOKUP($A41, '2. 2013 Continuity Schedule'!$A$20:$CH$90, MATCH('3. Appendix A'!$E$20, '2. 2013 Continuity Schedule'!$A$20:$CH$20,0),FALSE))</f>
        <v>0</v>
      </c>
      <c r="F41" s="73"/>
    </row>
    <row r="42" spans="1:6" ht="30.75" customHeight="1" x14ac:dyDescent="0.2">
      <c r="A42" s="1">
        <v>17</v>
      </c>
      <c r="C42" s="83" t="s">
        <v>4</v>
      </c>
      <c r="D42" s="82">
        <v>1518</v>
      </c>
      <c r="E42" s="65">
        <f>IF(ISERROR(VLOOKUP($A42, '2. 2013 Continuity Schedule'!$A$20:$CH$90, MATCH('3. Appendix A'!$E$20, '2. 2013 Continuity Schedule'!$A$20:$CH$20,0),FALSE)), 0, VLOOKUP($A42, '2. 2013 Continuity Schedule'!$A$20:$CH$90, MATCH('3. Appendix A'!$E$20, '2. 2013 Continuity Schedule'!$A$20:$CH$20,0),FALSE))</f>
        <v>1.9100000000034925</v>
      </c>
      <c r="F42" s="73"/>
    </row>
    <row r="43" spans="1:6" ht="30.75" customHeight="1" x14ac:dyDescent="0.2">
      <c r="A43" s="1">
        <v>18</v>
      </c>
      <c r="C43" s="83" t="s">
        <v>17</v>
      </c>
      <c r="D43" s="82">
        <v>1525</v>
      </c>
      <c r="E43" s="65">
        <f>IF(ISERROR(VLOOKUP($A43, '2. 2013 Continuity Schedule'!$A$20:$CH$90, MATCH('3. Appendix A'!$E$20, '2. 2013 Continuity Schedule'!$A$20:$CH$20,0),FALSE)), 0, VLOOKUP($A43, '2. 2013 Continuity Schedule'!$A$20:$CH$90, MATCH('3. Appendix A'!$E$20, '2. 2013 Continuity Schedule'!$A$20:$CH$20,0),FALSE))</f>
        <v>-1.0699999999999932</v>
      </c>
      <c r="F43" s="73"/>
    </row>
    <row r="44" spans="1:6" ht="30.75" hidden="1" customHeight="1" x14ac:dyDescent="0.2">
      <c r="A44" s="1">
        <v>19</v>
      </c>
      <c r="C44" s="83" t="s">
        <v>64</v>
      </c>
      <c r="D44" s="82">
        <v>1531</v>
      </c>
      <c r="E44" s="65">
        <f>IF(ISERROR(VLOOKUP($A44, '2. 2013 Continuity Schedule'!$A$20:$CH$90, MATCH('3. Appendix A'!$E$20, '2. 2013 Continuity Schedule'!$A$20:$CH$20,0),FALSE)), 0, VLOOKUP($A44, '2. 2013 Continuity Schedule'!$A$20:$CH$90, MATCH('3. Appendix A'!$E$20, '2. 2013 Continuity Schedule'!$A$20:$CH$20,0),FALSE))</f>
        <v>0</v>
      </c>
      <c r="F44" s="73"/>
    </row>
    <row r="45" spans="1:6" ht="30.75" hidden="1" customHeight="1" x14ac:dyDescent="0.2">
      <c r="A45" s="1">
        <v>20</v>
      </c>
      <c r="C45" s="83" t="s">
        <v>65</v>
      </c>
      <c r="D45" s="82">
        <v>1532</v>
      </c>
      <c r="E45" s="65">
        <f>IF(ISERROR(VLOOKUP($A45, '2. 2013 Continuity Schedule'!$A$20:$CH$90, MATCH('3. Appendix A'!$E$20, '2. 2013 Continuity Schedule'!$A$20:$CH$20,0),FALSE)), 0, VLOOKUP($A45, '2. 2013 Continuity Schedule'!$A$20:$CH$90, MATCH('3. Appendix A'!$E$20, '2. 2013 Continuity Schedule'!$A$20:$CH$20,0),FALSE))</f>
        <v>0</v>
      </c>
      <c r="F45" s="73"/>
    </row>
    <row r="46" spans="1:6" ht="30.75" hidden="1" customHeight="1" thickBot="1" x14ac:dyDescent="0.25">
      <c r="A46" s="1">
        <v>21</v>
      </c>
      <c r="C46" s="83" t="s">
        <v>41</v>
      </c>
      <c r="D46" s="82">
        <v>1533</v>
      </c>
      <c r="E46" s="65">
        <f>IF(ISERROR(VLOOKUP($A46, '2. 2013 Continuity Schedule'!$A$20:$CH$90, MATCH('3. Appendix A'!$E$20, '2. 2013 Continuity Schedule'!$A$20:$CH$20,0),FALSE)), 0, VLOOKUP($A46, '2. 2013 Continuity Schedule'!$A$20:$CH$90, MATCH('3. Appendix A'!$E$20, '2. 2013 Continuity Schedule'!$A$20:$CH$20,0),FALSE))</f>
        <v>0</v>
      </c>
      <c r="F46" s="73"/>
    </row>
    <row r="47" spans="1:6" ht="30.75" hidden="1" customHeight="1" x14ac:dyDescent="0.2">
      <c r="A47" s="1">
        <v>22</v>
      </c>
      <c r="C47" s="83" t="s">
        <v>32</v>
      </c>
      <c r="D47" s="82">
        <v>1534</v>
      </c>
      <c r="E47" s="65">
        <f>IF(ISERROR(VLOOKUP($A47, '2. 2013 Continuity Schedule'!$A$20:$CH$90, MATCH('3. Appendix A'!$E$20, '2. 2013 Continuity Schedule'!$A$20:$CH$20,0),FALSE)), 0, VLOOKUP($A47, '2. 2013 Continuity Schedule'!$A$20:$CH$90, MATCH('3. Appendix A'!$E$20, '2. 2013 Continuity Schedule'!$A$20:$CH$20,0),FALSE))</f>
        <v>0</v>
      </c>
      <c r="F47" s="73"/>
    </row>
    <row r="48" spans="1:6" ht="30.75" hidden="1" customHeight="1" x14ac:dyDescent="0.2">
      <c r="A48" s="1">
        <v>23</v>
      </c>
      <c r="C48" s="83" t="s">
        <v>33</v>
      </c>
      <c r="D48" s="82">
        <v>1535</v>
      </c>
      <c r="E48" s="65">
        <f>IF(ISERROR(VLOOKUP($A48, '2. 2013 Continuity Schedule'!$A$20:$CH$90, MATCH('3. Appendix A'!$E$20, '2. 2013 Continuity Schedule'!$A$20:$CH$20,0),FALSE)), 0, VLOOKUP($A48, '2. 2013 Continuity Schedule'!$A$20:$CH$90, MATCH('3. Appendix A'!$E$20, '2. 2013 Continuity Schedule'!$A$20:$CH$20,0),FALSE))</f>
        <v>0</v>
      </c>
      <c r="F48" s="73"/>
    </row>
    <row r="49" spans="1:6" ht="30.75" hidden="1" customHeight="1" x14ac:dyDescent="0.2">
      <c r="A49" s="1">
        <v>24</v>
      </c>
      <c r="C49" s="83" t="s">
        <v>39</v>
      </c>
      <c r="D49" s="82">
        <v>1536</v>
      </c>
      <c r="E49" s="65">
        <f>IF(ISERROR(VLOOKUP($A49, '2. 2013 Continuity Schedule'!$A$20:$CH$90, MATCH('3. Appendix A'!$E$20, '2. 2013 Continuity Schedule'!$A$20:$CH$20,0),FALSE)), 0, VLOOKUP($A49, '2. 2013 Continuity Schedule'!$A$20:$CH$90, MATCH('3. Appendix A'!$E$20, '2. 2013 Continuity Schedule'!$A$20:$CH$20,0),FALSE))</f>
        <v>0</v>
      </c>
      <c r="F49" s="73"/>
    </row>
    <row r="50" spans="1:6" ht="30.75" customHeight="1" x14ac:dyDescent="0.2">
      <c r="A50" s="1">
        <v>25</v>
      </c>
      <c r="C50" s="83" t="s">
        <v>5</v>
      </c>
      <c r="D50" s="82">
        <v>1548</v>
      </c>
      <c r="E50" s="65">
        <f>IF(ISERROR(VLOOKUP($A50, '2. 2013 Continuity Schedule'!$A$20:$CH$90, MATCH('3. Appendix A'!$E$20, '2. 2013 Continuity Schedule'!$A$20:$CH$20,0),FALSE)), 0, VLOOKUP($A50, '2. 2013 Continuity Schedule'!$A$20:$CH$90, MATCH('3. Appendix A'!$E$20, '2. 2013 Continuity Schedule'!$A$20:$CH$20,0),FALSE))</f>
        <v>-1.9999999960418791E-2</v>
      </c>
      <c r="F50" s="73"/>
    </row>
    <row r="51" spans="1:6" ht="30.75" hidden="1" customHeight="1" x14ac:dyDescent="0.2">
      <c r="A51" s="1">
        <v>26</v>
      </c>
      <c r="C51" s="83" t="s">
        <v>66</v>
      </c>
      <c r="D51" s="82">
        <v>1567</v>
      </c>
      <c r="E51" s="65">
        <f>IF(ISERROR(VLOOKUP($A51, '2. 2013 Continuity Schedule'!$A$20:$CH$90, MATCH('3. Appendix A'!$E$20, '2. 2013 Continuity Schedule'!$A$20:$CH$20,0),FALSE)), 0, VLOOKUP($A51, '2. 2013 Continuity Schedule'!$A$20:$CH$90, MATCH('3. Appendix A'!$E$20, '2. 2013 Continuity Schedule'!$A$20:$CH$20,0),FALSE))</f>
        <v>0</v>
      </c>
      <c r="F51" s="73"/>
    </row>
    <row r="52" spans="1:6" ht="30.75" hidden="1" customHeight="1" x14ac:dyDescent="0.2">
      <c r="A52" s="1">
        <v>27</v>
      </c>
      <c r="C52" s="83" t="s">
        <v>18</v>
      </c>
      <c r="D52" s="82">
        <v>1572</v>
      </c>
      <c r="E52" s="65">
        <f>IF(ISERROR(VLOOKUP($A52, '2. 2013 Continuity Schedule'!$A$20:$CH$90, MATCH('3. Appendix A'!$E$20, '2. 2013 Continuity Schedule'!$A$20:$CH$20,0),FALSE)), 0, VLOOKUP($A52, '2. 2013 Continuity Schedule'!$A$20:$CH$90, MATCH('3. Appendix A'!$E$20, '2. 2013 Continuity Schedule'!$A$20:$CH$20,0),FALSE))</f>
        <v>0</v>
      </c>
      <c r="F52" s="73"/>
    </row>
    <row r="53" spans="1:6" ht="30.75" hidden="1" customHeight="1" x14ac:dyDescent="0.2">
      <c r="A53" s="1">
        <v>28</v>
      </c>
      <c r="C53" s="83" t="s">
        <v>6</v>
      </c>
      <c r="D53" s="82">
        <v>1574</v>
      </c>
      <c r="E53" s="65">
        <f>IF(ISERROR(VLOOKUP($A53, '2. 2013 Continuity Schedule'!$A$20:$CH$90, MATCH('3. Appendix A'!$E$20, '2. 2013 Continuity Schedule'!$A$20:$CH$20,0),FALSE)), 0, VLOOKUP($A53, '2. 2013 Continuity Schedule'!$A$20:$CH$90, MATCH('3. Appendix A'!$E$20, '2. 2013 Continuity Schedule'!$A$20:$CH$20,0),FALSE))</f>
        <v>0</v>
      </c>
      <c r="F53" s="73"/>
    </row>
    <row r="54" spans="1:6" ht="30.75" customHeight="1" x14ac:dyDescent="0.2">
      <c r="A54" s="1">
        <v>29</v>
      </c>
      <c r="C54" s="83" t="s">
        <v>63</v>
      </c>
      <c r="D54" s="82">
        <v>1582</v>
      </c>
      <c r="E54" s="65">
        <f>IF(ISERROR(VLOOKUP($A54, '2. 2013 Continuity Schedule'!$A$20:$CH$90, MATCH('3. Appendix A'!$E$20, '2. 2013 Continuity Schedule'!$A$20:$CH$20,0),FALSE)), 0, VLOOKUP($A54, '2. 2013 Continuity Schedule'!$A$20:$CH$90, MATCH('3. Appendix A'!$E$20, '2. 2013 Continuity Schedule'!$A$20:$CH$20,0),FALSE))</f>
        <v>0.27</v>
      </c>
      <c r="F54" s="73"/>
    </row>
    <row r="55" spans="1:6" ht="30.75" hidden="1" customHeight="1" x14ac:dyDescent="0.2">
      <c r="A55" s="1">
        <v>30</v>
      </c>
      <c r="C55" s="83" t="s">
        <v>7</v>
      </c>
      <c r="D55" s="82">
        <v>2425</v>
      </c>
      <c r="E55" s="65">
        <f>IF(ISERROR(VLOOKUP($A55, '2. 2013 Continuity Schedule'!$A$20:$CH$90, MATCH('3. Appendix A'!$E$20, '2. 2013 Continuity Schedule'!$A$20:$CH$20,0),FALSE)), 0, VLOOKUP($A55, '2. 2013 Continuity Schedule'!$A$20:$CH$90, MATCH('3. Appendix A'!$E$20, '2. 2013 Continuity Schedule'!$A$20:$CH$20,0),FALSE))</f>
        <v>0</v>
      </c>
      <c r="F55" s="73"/>
    </row>
    <row r="56" spans="1:6" ht="30.75" hidden="1" customHeight="1" x14ac:dyDescent="0.2">
      <c r="A56" s="1">
        <v>31</v>
      </c>
      <c r="C56" s="83" t="s">
        <v>16</v>
      </c>
      <c r="D56" s="82">
        <v>1562</v>
      </c>
      <c r="E56" s="65">
        <f>IF(ISERROR(VLOOKUP($A56, '2. 2013 Continuity Schedule'!$A$20:$CH$90, MATCH('3. Appendix A'!$E$20, '2. 2013 Continuity Schedule'!$A$20:$CH$20,0),FALSE)), 0, VLOOKUP($A56, '2. 2013 Continuity Schedule'!$A$20:$CH$90, MATCH('3. Appendix A'!$E$20, '2. 2013 Continuity Schedule'!$A$20:$CH$20,0),FALSE))</f>
        <v>0</v>
      </c>
      <c r="F56" s="73"/>
    </row>
    <row r="57" spans="1:6" ht="30.75" hidden="1" customHeight="1" x14ac:dyDescent="0.2">
      <c r="A57" s="1">
        <v>32</v>
      </c>
      <c r="C57" s="83" t="s">
        <v>71</v>
      </c>
      <c r="D57" s="82">
        <v>1592</v>
      </c>
      <c r="E57" s="65">
        <f>IF(ISERROR(VLOOKUP($A57, '2. 2013 Continuity Schedule'!$A$20:$CH$90, MATCH('3. Appendix A'!$E$20, '2. 2013 Continuity Schedule'!$A$20:$CH$20,0),FALSE)), 0, VLOOKUP($A57, '2. 2013 Continuity Schedule'!$A$20:$CH$90, MATCH('3. Appendix A'!$E$20, '2. 2013 Continuity Schedule'!$A$20:$CH$20,0),FALSE))</f>
        <v>0</v>
      </c>
      <c r="F57" s="73"/>
    </row>
    <row r="58" spans="1:6" ht="30.75" customHeight="1" x14ac:dyDescent="0.2">
      <c r="A58" s="1">
        <v>33</v>
      </c>
      <c r="C58" s="83" t="s">
        <v>70</v>
      </c>
      <c r="D58" s="82">
        <v>1592</v>
      </c>
      <c r="E58" s="65">
        <f>IF(ISERROR(VLOOKUP($A58, '2. 2013 Continuity Schedule'!$A$20:$CH$90, MATCH('3. Appendix A'!$E$20, '2. 2013 Continuity Schedule'!$A$20:$CH$20,0),FALSE)), 0, VLOOKUP($A58, '2. 2013 Continuity Schedule'!$A$20:$CH$90, MATCH('3. Appendix A'!$E$20, '2. 2013 Continuity Schedule'!$A$20:$CH$20,0),FALSE))</f>
        <v>90670.93</v>
      </c>
      <c r="F58" s="183" t="s">
        <v>223</v>
      </c>
    </row>
    <row r="59" spans="1:6" ht="30.75" hidden="1" customHeight="1" x14ac:dyDescent="0.2">
      <c r="A59" s="1">
        <v>34</v>
      </c>
      <c r="C59" s="83" t="s">
        <v>134</v>
      </c>
      <c r="D59" s="70">
        <v>1521</v>
      </c>
      <c r="E59" s="65">
        <f>IF(ISERROR(VLOOKUP($A59, '2. 2013 Continuity Schedule'!$A$20:$CH$90, MATCH('3. Appendix A'!$E$20, '2. 2013 Continuity Schedule'!$A$20:$CH$20,0),FALSE)), 0, VLOOKUP($A59, '2. 2013 Continuity Schedule'!$A$20:$CH$90, MATCH('3. Appendix A'!$E$20, '2. 2013 Continuity Schedule'!$A$20:$CH$20,0),FALSE))</f>
        <v>0</v>
      </c>
      <c r="F59" s="73"/>
    </row>
    <row r="60" spans="1:6" ht="30.75" hidden="1" customHeight="1" x14ac:dyDescent="0.2">
      <c r="A60" s="1">
        <v>35</v>
      </c>
      <c r="C60" s="83" t="s">
        <v>129</v>
      </c>
      <c r="D60" s="82">
        <v>1555</v>
      </c>
      <c r="E60" s="65">
        <f>IF(ISERROR(VLOOKUP($A60, '2. 2013 Continuity Schedule'!$A$20:$CH$90, MATCH('3. Appendix A'!$E$20, '2. 2013 Continuity Schedule'!$A$20:$CH$20,0),FALSE)), 0, VLOOKUP($A60, '2. 2013 Continuity Schedule'!$A$20:$CH$90, MATCH('3. Appendix A'!$E$20, '2. 2013 Continuity Schedule'!$A$20:$CH$20,0),FALSE))</f>
        <v>0</v>
      </c>
      <c r="F60" s="73"/>
    </row>
    <row r="61" spans="1:6" ht="30.75" hidden="1" customHeight="1" x14ac:dyDescent="0.2">
      <c r="A61" s="1">
        <v>36</v>
      </c>
      <c r="C61" s="84" t="s">
        <v>130</v>
      </c>
      <c r="D61" s="70">
        <v>1555</v>
      </c>
      <c r="E61" s="65">
        <f>IF(ISERROR(VLOOKUP($A61, '2. 2013 Continuity Schedule'!$A$20:$CH$90, MATCH('3. Appendix A'!$E$20, '2. 2013 Continuity Schedule'!$A$20:$CH$20,0),FALSE)), 0, VLOOKUP($A61, '2. 2013 Continuity Schedule'!$A$20:$CH$90, MATCH('3. Appendix A'!$E$20, '2. 2013 Continuity Schedule'!$A$20:$CH$20,0),FALSE))</f>
        <v>0</v>
      </c>
      <c r="F61" s="73"/>
    </row>
    <row r="62" spans="1:6" ht="30.75" hidden="1" customHeight="1" x14ac:dyDescent="0.2">
      <c r="A62" s="1">
        <v>37</v>
      </c>
      <c r="C62" s="84" t="s">
        <v>131</v>
      </c>
      <c r="D62" s="70">
        <v>1555</v>
      </c>
      <c r="E62" s="65">
        <f>IF(ISERROR(VLOOKUP($A62, '2. 2013 Continuity Schedule'!$A$20:$CH$90, MATCH('3. Appendix A'!$E$20, '2. 2013 Continuity Schedule'!$A$20:$CH$20,0),FALSE)), 0, VLOOKUP($A62, '2. 2013 Continuity Schedule'!$A$20:$CH$90, MATCH('3. Appendix A'!$E$20, '2. 2013 Continuity Schedule'!$A$20:$CH$20,0),FALSE))</f>
        <v>0</v>
      </c>
      <c r="F62" s="73"/>
    </row>
    <row r="63" spans="1:6" ht="30.75" hidden="1" customHeight="1" x14ac:dyDescent="0.2">
      <c r="A63" s="1">
        <v>38</v>
      </c>
      <c r="C63" s="83" t="s">
        <v>132</v>
      </c>
      <c r="D63" s="82">
        <v>1556</v>
      </c>
      <c r="E63" s="65">
        <f>IF(ISERROR(VLOOKUP($A63, '2. 2013 Continuity Schedule'!$A$20:$CH$90, MATCH('3. Appendix A'!$E$20, '2. 2013 Continuity Schedule'!$A$20:$CH$20,0),FALSE)), 0, VLOOKUP($A63, '2. 2013 Continuity Schedule'!$A$20:$CH$90, MATCH('3. Appendix A'!$E$20, '2. 2013 Continuity Schedule'!$A$20:$CH$20,0),FALSE))</f>
        <v>0</v>
      </c>
      <c r="F63" s="86"/>
    </row>
    <row r="64" spans="1:6" ht="16.5" hidden="1" x14ac:dyDescent="0.2">
      <c r="A64" s="1">
        <v>39</v>
      </c>
      <c r="C64" s="84" t="s">
        <v>120</v>
      </c>
      <c r="D64" s="70">
        <v>1563</v>
      </c>
      <c r="E64" s="65">
        <f>IF(ISERROR(VLOOKUP($A64, '2. 2013 Continuity Schedule'!$A$20:$CH$90, MATCH('3. Appendix A'!$E$20, '2. 2013 Continuity Schedule'!$A$20:$CH$20,0),FALSE)), 0, VLOOKUP($A64, '2. 2013 Continuity Schedule'!$A$20:$CH$90, MATCH('3. Appendix A'!$E$20, '2. 2013 Continuity Schedule'!$A$20:$CH$20,0),FALSE))</f>
        <v>0</v>
      </c>
      <c r="F64" s="73"/>
    </row>
    <row r="65" spans="1:6" ht="16.5" hidden="1" x14ac:dyDescent="0.2">
      <c r="A65" s="1">
        <v>40</v>
      </c>
      <c r="C65" s="84" t="s">
        <v>124</v>
      </c>
      <c r="D65" s="70">
        <v>1575</v>
      </c>
      <c r="E65" s="65">
        <f>IF(ISERROR(VLOOKUP($A65, '2. 2013 Continuity Schedule'!$A$20:$CH$90, MATCH('3. Appendix A'!$E$20, '2. 2013 Continuity Schedule'!$A$20:$CH$20,0),FALSE)), 0, VLOOKUP($A65, '2. 2013 Continuity Schedule'!$A$20:$CH$90, MATCH('3. Appendix A'!$E$20, '2. 2013 Continuity Schedule'!$A$20:$CH$20,0),FALSE))</f>
        <v>0</v>
      </c>
      <c r="F65" s="86"/>
    </row>
    <row r="66" spans="1:6" ht="28.5" hidden="1" x14ac:dyDescent="0.2">
      <c r="A66" s="1">
        <v>41</v>
      </c>
      <c r="C66" s="84" t="s">
        <v>135</v>
      </c>
      <c r="D66" s="82">
        <v>1592</v>
      </c>
      <c r="E66" s="65">
        <f>IF(ISERROR(VLOOKUP($A66, '2. 2013 Continuity Schedule'!$A$20:$CH$90, MATCH('3. Appendix A'!$E$20, '2. 2013 Continuity Schedule'!$A$20:$CH$20,0),FALSE)), 0, VLOOKUP($A66, '2. 2013 Continuity Schedule'!$A$20:$CH$90, MATCH('3. Appendix A'!$E$20, '2. 2013 Continuity Schedule'!$A$20:$CH$20,0),FALSE))</f>
        <v>0</v>
      </c>
      <c r="F66" s="86"/>
    </row>
    <row r="67" spans="1:6" ht="17.25" thickBot="1" x14ac:dyDescent="0.25">
      <c r="A67" s="1">
        <v>42</v>
      </c>
      <c r="C67" s="83" t="s">
        <v>125</v>
      </c>
      <c r="D67" s="82">
        <v>1595</v>
      </c>
      <c r="E67" s="66">
        <f>IF(ISERROR(VLOOKUP($A67, '2. 2013 Continuity Schedule'!$A$20:$CH$90, MATCH('3. Appendix A'!$E$20, '2. 2013 Continuity Schedule'!$A$20:$CH$20,0),FALSE)), 0, VLOOKUP($A67, '2. 2013 Continuity Schedule'!$A$20:$CH$90, MATCH('3. Appendix A'!$E$20, '2. 2013 Continuity Schedule'!$A$20:$CH$20,0),FALSE))</f>
        <v>0.44999999995343387</v>
      </c>
      <c r="F67" s="74"/>
    </row>
    <row r="68" spans="1:6" x14ac:dyDescent="0.2">
      <c r="C68" s="88"/>
      <c r="D68" s="88"/>
      <c r="E68" s="88"/>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7" priority="4" stopIfTrue="1">
      <formula>ISBLANK(F24)</formula>
    </cfRule>
  </conditionalFormatting>
  <conditionalFormatting sqref="F64:F66">
    <cfRule type="expression" dxfId="6" priority="3" stopIfTrue="1">
      <formula>ISBLANK(F64)</formula>
    </cfRule>
  </conditionalFormatting>
  <conditionalFormatting sqref="F64">
    <cfRule type="expression" dxfId="5" priority="2" stopIfTrue="1">
      <formula>ISBLANK(F64)</formula>
    </cfRule>
  </conditionalFormatting>
  <conditionalFormatting sqref="F67">
    <cfRule type="expression" dxfId="4" priority="1" stopIfTrue="1">
      <formula>ISBLANK(F67)</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47"/>
  <sheetViews>
    <sheetView showGridLines="0" topLeftCell="A9" workbookViewId="0">
      <selection activeCell="F41" sqref="F41"/>
    </sheetView>
  </sheetViews>
  <sheetFormatPr defaultRowHeight="12.75" x14ac:dyDescent="0.2"/>
  <cols>
    <col min="2" max="2" width="29.425781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2" spans="2:10" ht="15" x14ac:dyDescent="0.25">
      <c r="J2" s="194" t="s">
        <v>231</v>
      </c>
    </row>
    <row r="16" spans="2:10" ht="12.75" customHeight="1" x14ac:dyDescent="0.2">
      <c r="B16" s="268" t="s">
        <v>175</v>
      </c>
      <c r="C16" s="268"/>
      <c r="D16" s="268"/>
      <c r="E16" s="268"/>
      <c r="F16" s="268"/>
      <c r="G16" s="268"/>
      <c r="H16" s="268"/>
      <c r="I16" s="268"/>
    </row>
    <row r="17" spans="2:14" x14ac:dyDescent="0.2">
      <c r="B17" s="268"/>
      <c r="C17" s="268"/>
      <c r="D17" s="268"/>
      <c r="E17" s="268"/>
      <c r="F17" s="268"/>
      <c r="G17" s="268"/>
      <c r="H17" s="268"/>
      <c r="I17" s="268"/>
    </row>
    <row r="19" spans="2:14" x14ac:dyDescent="0.2">
      <c r="B19" s="290" t="s">
        <v>226</v>
      </c>
      <c r="C19" s="289" t="s">
        <v>173</v>
      </c>
      <c r="D19" s="288" t="s">
        <v>189</v>
      </c>
      <c r="E19" s="288" t="s">
        <v>166</v>
      </c>
      <c r="F19" s="288" t="s">
        <v>167</v>
      </c>
      <c r="G19" s="292" t="s">
        <v>160</v>
      </c>
      <c r="H19" s="292" t="s">
        <v>161</v>
      </c>
      <c r="I19" s="292" t="s">
        <v>162</v>
      </c>
      <c r="J19" s="292" t="s">
        <v>176</v>
      </c>
      <c r="K19" s="293" t="s">
        <v>163</v>
      </c>
      <c r="L19" s="293" t="s">
        <v>164</v>
      </c>
      <c r="M19" s="293" t="s">
        <v>165</v>
      </c>
      <c r="N19" s="294" t="s">
        <v>170</v>
      </c>
    </row>
    <row r="20" spans="2:14" ht="45.75" customHeight="1" x14ac:dyDescent="0.2">
      <c r="B20" s="291"/>
      <c r="C20" s="289"/>
      <c r="D20" s="288"/>
      <c r="E20" s="288"/>
      <c r="F20" s="288"/>
      <c r="G20" s="292"/>
      <c r="H20" s="292"/>
      <c r="I20" s="292"/>
      <c r="J20" s="292"/>
      <c r="K20" s="293"/>
      <c r="L20" s="293"/>
      <c r="M20" s="293"/>
      <c r="N20" s="294"/>
    </row>
    <row r="21" spans="2:14" x14ac:dyDescent="0.2">
      <c r="B21" s="142" t="s">
        <v>209</v>
      </c>
      <c r="C21" s="143" t="s">
        <v>186</v>
      </c>
      <c r="D21" s="166">
        <v>44749</v>
      </c>
      <c r="E21" s="178">
        <v>337828768</v>
      </c>
      <c r="F21" s="178">
        <v>0</v>
      </c>
      <c r="G21" s="178">
        <v>33772368</v>
      </c>
      <c r="H21" s="179">
        <f>IF(ISERROR(F21/E21*G21), 0, F21/E21*G21)</f>
        <v>0</v>
      </c>
      <c r="I21" s="161">
        <v>10099180</v>
      </c>
      <c r="J21" s="162">
        <v>1.04</v>
      </c>
      <c r="K21" s="162">
        <v>0</v>
      </c>
      <c r="L21" s="162">
        <v>0.25042513469220623</v>
      </c>
      <c r="M21" s="162">
        <v>0.26042253685889311</v>
      </c>
      <c r="N21" s="161">
        <f>[4]Summary!$F$5</f>
        <v>27226.246734246546</v>
      </c>
    </row>
    <row r="22" spans="2:14" x14ac:dyDescent="0.2">
      <c r="B22" s="142" t="s">
        <v>210</v>
      </c>
      <c r="C22" s="143" t="s">
        <v>186</v>
      </c>
      <c r="D22" s="166">
        <v>4485</v>
      </c>
      <c r="E22" s="178">
        <v>135513010</v>
      </c>
      <c r="F22" s="178">
        <v>0</v>
      </c>
      <c r="G22" s="178">
        <v>20388898</v>
      </c>
      <c r="H22" s="179">
        <f t="shared" ref="H22:H40" si="0">IF(ISERROR(F22/E22*G22), 0, F22/E22*G22)</f>
        <v>0</v>
      </c>
      <c r="I22" s="161">
        <v>2797028.67</v>
      </c>
      <c r="J22" s="162">
        <v>0.28000000000000003</v>
      </c>
      <c r="K22" s="162">
        <v>0</v>
      </c>
      <c r="L22" s="162">
        <v>0.14361465922381017</v>
      </c>
      <c r="M22" s="162">
        <v>0.12305114817255539</v>
      </c>
      <c r="N22" s="161">
        <f>[4]Summary!$F$6</f>
        <v>12729.869139078824</v>
      </c>
    </row>
    <row r="23" spans="2:14" x14ac:dyDescent="0.2">
      <c r="B23" s="142" t="s">
        <v>211</v>
      </c>
      <c r="C23" s="143" t="s">
        <v>212</v>
      </c>
      <c r="D23" s="166">
        <v>511</v>
      </c>
      <c r="E23" s="178">
        <v>287676650</v>
      </c>
      <c r="F23" s="178">
        <f>654512.48+86636.97</f>
        <v>741149.45</v>
      </c>
      <c r="G23" s="178">
        <v>252908641</v>
      </c>
      <c r="H23" s="179">
        <f t="shared" si="0"/>
        <v>651575.64987425087</v>
      </c>
      <c r="I23" s="161">
        <v>2448809.33</v>
      </c>
      <c r="J23" s="162">
        <v>0.4</v>
      </c>
      <c r="K23" s="162">
        <v>0</v>
      </c>
      <c r="L23" s="162">
        <v>0.33188271798261321</v>
      </c>
      <c r="M23" s="162">
        <v>0.29835017215764414</v>
      </c>
      <c r="N23" s="161">
        <f>[4]Summary!$F$7</f>
        <v>284.12600928070628</v>
      </c>
    </row>
    <row r="24" spans="2:14" x14ac:dyDescent="0.2">
      <c r="B24" s="142" t="s">
        <v>216</v>
      </c>
      <c r="C24" s="143" t="s">
        <v>212</v>
      </c>
      <c r="D24" s="166">
        <v>20</v>
      </c>
      <c r="E24" s="178">
        <v>182011908</v>
      </c>
      <c r="F24" s="178">
        <v>518429.68</v>
      </c>
      <c r="G24" s="178">
        <v>189511114</v>
      </c>
      <c r="H24" s="179">
        <f t="shared" si="0"/>
        <v>539789.88115142181</v>
      </c>
      <c r="I24" s="161">
        <v>1307970.3799999999</v>
      </c>
      <c r="J24" s="162">
        <v>-0.69</v>
      </c>
      <c r="K24" s="162">
        <v>0</v>
      </c>
      <c r="L24" s="162">
        <v>0.25972948438804444</v>
      </c>
      <c r="M24" s="162">
        <v>0.30108770291400694</v>
      </c>
      <c r="N24" s="161">
        <f>[4]Summary!$F$8</f>
        <v>74.455873894128572</v>
      </c>
    </row>
    <row r="25" spans="2:14" x14ac:dyDescent="0.2">
      <c r="B25" s="142" t="s">
        <v>213</v>
      </c>
      <c r="C25" s="143" t="s">
        <v>186</v>
      </c>
      <c r="D25" s="166">
        <v>56</v>
      </c>
      <c r="E25" s="178">
        <v>1965510.19</v>
      </c>
      <c r="F25" s="178">
        <v>0</v>
      </c>
      <c r="G25" s="178">
        <v>389969</v>
      </c>
      <c r="H25" s="179">
        <f t="shared" si="0"/>
        <v>0</v>
      </c>
      <c r="I25" s="161">
        <v>126648.9</v>
      </c>
      <c r="J25" s="162">
        <v>0</v>
      </c>
      <c r="K25" s="162">
        <v>0</v>
      </c>
      <c r="L25" s="162">
        <v>2.3427983258247241E-3</v>
      </c>
      <c r="M25" s="162">
        <v>1.9389668981598825E-3</v>
      </c>
      <c r="N25" s="161">
        <f>[4]Summary!$F$9</f>
        <v>0</v>
      </c>
    </row>
    <row r="26" spans="2:14" x14ac:dyDescent="0.2">
      <c r="B26" s="142" t="s">
        <v>215</v>
      </c>
      <c r="C26" s="143" t="s">
        <v>212</v>
      </c>
      <c r="D26" s="166">
        <v>148</v>
      </c>
      <c r="E26" s="178">
        <v>123582</v>
      </c>
      <c r="F26" s="178">
        <v>337</v>
      </c>
      <c r="G26" s="178">
        <v>0</v>
      </c>
      <c r="H26" s="179">
        <f t="shared" si="0"/>
        <v>0</v>
      </c>
      <c r="I26" s="161">
        <v>13497.1</v>
      </c>
      <c r="J26" s="162">
        <v>0</v>
      </c>
      <c r="K26" s="162">
        <v>0</v>
      </c>
      <c r="L26" s="162">
        <v>1.435034090239805E-4</v>
      </c>
      <c r="M26" s="162">
        <v>1.5500037044113691E-4</v>
      </c>
      <c r="N26" s="161">
        <f>[4]Summary!$F$10</f>
        <v>0</v>
      </c>
    </row>
    <row r="27" spans="2:14" x14ac:dyDescent="0.2">
      <c r="B27" s="142" t="s">
        <v>214</v>
      </c>
      <c r="C27" s="143" t="s">
        <v>212</v>
      </c>
      <c r="D27" s="166">
        <v>3</v>
      </c>
      <c r="E27" s="178">
        <f>11244633</f>
        <v>11244633</v>
      </c>
      <c r="F27" s="178">
        <f>31833.98</f>
        <v>31833.98</v>
      </c>
      <c r="G27" s="178">
        <v>11700787</v>
      </c>
      <c r="H27" s="179">
        <f t="shared" si="0"/>
        <v>33125.369173210012</v>
      </c>
      <c r="I27" s="161">
        <v>733634.52</v>
      </c>
      <c r="J27" s="162">
        <v>-0.03</v>
      </c>
      <c r="K27" s="162">
        <v>0</v>
      </c>
      <c r="L27" s="162">
        <v>1.1861701978477293E-2</v>
      </c>
      <c r="M27" s="162">
        <v>1.4994472628299362E-2</v>
      </c>
      <c r="N27" s="161">
        <f>[4]Summary!$F$11</f>
        <v>0</v>
      </c>
    </row>
    <row r="28" spans="2:14" hidden="1" x14ac:dyDescent="0.2">
      <c r="B28" s="142"/>
      <c r="C28" s="143"/>
      <c r="D28" s="166"/>
      <c r="E28" s="178"/>
      <c r="F28" s="178"/>
      <c r="G28" s="178"/>
      <c r="H28" s="179">
        <f t="shared" si="0"/>
        <v>0</v>
      </c>
      <c r="I28" s="161"/>
      <c r="J28" s="162"/>
      <c r="K28" s="162"/>
      <c r="L28" s="162"/>
      <c r="M28" s="162"/>
      <c r="N28" s="161"/>
    </row>
    <row r="29" spans="2:14" hidden="1" x14ac:dyDescent="0.2">
      <c r="B29" s="142"/>
      <c r="C29" s="143"/>
      <c r="D29" s="166"/>
      <c r="E29" s="178"/>
      <c r="F29" s="178"/>
      <c r="G29" s="178"/>
      <c r="H29" s="179">
        <f t="shared" si="0"/>
        <v>0</v>
      </c>
      <c r="I29" s="161"/>
      <c r="J29" s="162"/>
      <c r="K29" s="162"/>
      <c r="L29" s="162"/>
      <c r="M29" s="162"/>
      <c r="N29" s="161"/>
    </row>
    <row r="30" spans="2:14" hidden="1" x14ac:dyDescent="0.2">
      <c r="B30" s="142"/>
      <c r="C30" s="143"/>
      <c r="D30" s="166"/>
      <c r="E30" s="178"/>
      <c r="F30" s="178"/>
      <c r="G30" s="178"/>
      <c r="H30" s="179">
        <f t="shared" si="0"/>
        <v>0</v>
      </c>
      <c r="I30" s="161"/>
      <c r="J30" s="162"/>
      <c r="K30" s="162"/>
      <c r="L30" s="162"/>
      <c r="M30" s="162"/>
      <c r="N30" s="161"/>
    </row>
    <row r="31" spans="2:14" hidden="1" x14ac:dyDescent="0.2">
      <c r="B31" s="142"/>
      <c r="C31" s="143"/>
      <c r="D31" s="166"/>
      <c r="E31" s="178"/>
      <c r="F31" s="178"/>
      <c r="G31" s="178"/>
      <c r="H31" s="179">
        <f t="shared" si="0"/>
        <v>0</v>
      </c>
      <c r="I31" s="161"/>
      <c r="J31" s="162"/>
      <c r="K31" s="162"/>
      <c r="L31" s="162"/>
      <c r="M31" s="162"/>
      <c r="N31" s="161"/>
    </row>
    <row r="32" spans="2:14" hidden="1" x14ac:dyDescent="0.2">
      <c r="B32" s="142"/>
      <c r="C32" s="143"/>
      <c r="D32" s="166"/>
      <c r="E32" s="178"/>
      <c r="F32" s="178"/>
      <c r="G32" s="178"/>
      <c r="H32" s="179">
        <f t="shared" si="0"/>
        <v>0</v>
      </c>
      <c r="I32" s="161"/>
      <c r="J32" s="162"/>
      <c r="K32" s="162"/>
      <c r="L32" s="162"/>
      <c r="M32" s="162"/>
      <c r="N32" s="161"/>
    </row>
    <row r="33" spans="1:14" hidden="1" x14ac:dyDescent="0.2">
      <c r="B33" s="142"/>
      <c r="C33" s="143"/>
      <c r="D33" s="166"/>
      <c r="E33" s="178"/>
      <c r="F33" s="178"/>
      <c r="G33" s="178"/>
      <c r="H33" s="179">
        <f t="shared" si="0"/>
        <v>0</v>
      </c>
      <c r="I33" s="161"/>
      <c r="J33" s="162"/>
      <c r="K33" s="162"/>
      <c r="L33" s="162"/>
      <c r="M33" s="162"/>
      <c r="N33" s="161"/>
    </row>
    <row r="34" spans="1:14" hidden="1" x14ac:dyDescent="0.2">
      <c r="B34" s="142"/>
      <c r="C34" s="143"/>
      <c r="D34" s="166"/>
      <c r="E34" s="178"/>
      <c r="F34" s="178"/>
      <c r="G34" s="178"/>
      <c r="H34" s="179">
        <f t="shared" si="0"/>
        <v>0</v>
      </c>
      <c r="I34" s="161"/>
      <c r="J34" s="162"/>
      <c r="K34" s="162"/>
      <c r="L34" s="162"/>
      <c r="M34" s="162"/>
      <c r="N34" s="161"/>
    </row>
    <row r="35" spans="1:14" hidden="1" x14ac:dyDescent="0.2">
      <c r="B35" s="142"/>
      <c r="C35" s="143"/>
      <c r="D35" s="166"/>
      <c r="E35" s="180"/>
      <c r="F35" s="180"/>
      <c r="G35" s="180"/>
      <c r="H35" s="179">
        <f t="shared" si="0"/>
        <v>0</v>
      </c>
      <c r="I35" s="163"/>
      <c r="J35" s="162"/>
      <c r="K35" s="162"/>
      <c r="L35" s="162"/>
      <c r="M35" s="162"/>
      <c r="N35" s="161"/>
    </row>
    <row r="36" spans="1:14" hidden="1" x14ac:dyDescent="0.2">
      <c r="B36" s="142"/>
      <c r="C36" s="143"/>
      <c r="D36" s="166"/>
      <c r="E36" s="178"/>
      <c r="F36" s="178"/>
      <c r="G36" s="178"/>
      <c r="H36" s="179">
        <f t="shared" si="0"/>
        <v>0</v>
      </c>
      <c r="I36" s="161"/>
      <c r="J36" s="162"/>
      <c r="K36" s="162"/>
      <c r="L36" s="162"/>
      <c r="M36" s="162"/>
      <c r="N36" s="161"/>
    </row>
    <row r="37" spans="1:14" hidden="1" x14ac:dyDescent="0.2">
      <c r="B37" s="142"/>
      <c r="C37" s="143"/>
      <c r="D37" s="166"/>
      <c r="E37" s="178"/>
      <c r="F37" s="178"/>
      <c r="G37" s="178"/>
      <c r="H37" s="179">
        <f t="shared" si="0"/>
        <v>0</v>
      </c>
      <c r="I37" s="161"/>
      <c r="J37" s="162"/>
      <c r="K37" s="162"/>
      <c r="L37" s="162"/>
      <c r="M37" s="162"/>
      <c r="N37" s="161"/>
    </row>
    <row r="38" spans="1:14" hidden="1" x14ac:dyDescent="0.2">
      <c r="B38" s="142"/>
      <c r="C38" s="143"/>
      <c r="D38" s="166"/>
      <c r="E38" s="178"/>
      <c r="F38" s="178"/>
      <c r="G38" s="178"/>
      <c r="H38" s="179">
        <f t="shared" si="0"/>
        <v>0</v>
      </c>
      <c r="I38" s="161"/>
      <c r="J38" s="162"/>
      <c r="K38" s="162"/>
      <c r="L38" s="162"/>
      <c r="M38" s="162"/>
      <c r="N38" s="161"/>
    </row>
    <row r="39" spans="1:14" hidden="1" x14ac:dyDescent="0.2">
      <c r="B39" s="142"/>
      <c r="C39" s="143"/>
      <c r="D39" s="166"/>
      <c r="E39" s="178"/>
      <c r="F39" s="178"/>
      <c r="G39" s="178"/>
      <c r="H39" s="179">
        <f t="shared" si="0"/>
        <v>0</v>
      </c>
      <c r="I39" s="161"/>
      <c r="J39" s="162"/>
      <c r="K39" s="162"/>
      <c r="L39" s="162"/>
      <c r="M39" s="162"/>
      <c r="N39" s="161"/>
    </row>
    <row r="40" spans="1:14" hidden="1" x14ac:dyDescent="0.2">
      <c r="B40" s="142"/>
      <c r="C40" s="143"/>
      <c r="D40" s="166"/>
      <c r="E40" s="178"/>
      <c r="F40" s="178"/>
      <c r="G40" s="178"/>
      <c r="H40" s="179">
        <f t="shared" si="0"/>
        <v>0</v>
      </c>
      <c r="I40" s="161"/>
      <c r="J40" s="162"/>
      <c r="K40" s="162"/>
      <c r="L40" s="162"/>
      <c r="M40" s="162"/>
      <c r="N40" s="161"/>
    </row>
    <row r="41" spans="1:14" x14ac:dyDescent="0.2">
      <c r="B41" s="140" t="s">
        <v>174</v>
      </c>
      <c r="C41" s="139"/>
      <c r="D41" s="164">
        <f>SUM(D21:D40)</f>
        <v>49972</v>
      </c>
      <c r="E41" s="164">
        <f>SUM(E21:E40)</f>
        <v>956364061.19000006</v>
      </c>
      <c r="F41" s="164">
        <f t="shared" ref="F41:N41" si="1">SUM(F21:F40)</f>
        <v>1291750.1099999999</v>
      </c>
      <c r="G41" s="164">
        <f t="shared" si="1"/>
        <v>508671777</v>
      </c>
      <c r="H41" s="164">
        <f t="shared" si="1"/>
        <v>1224490.9001988829</v>
      </c>
      <c r="I41" s="141">
        <f t="shared" si="1"/>
        <v>17526768.899999999</v>
      </c>
      <c r="J41" s="165">
        <f t="shared" si="1"/>
        <v>1.0000000000000002</v>
      </c>
      <c r="K41" s="165">
        <f t="shared" si="1"/>
        <v>0</v>
      </c>
      <c r="L41" s="165">
        <f t="shared" si="1"/>
        <v>1.0000000000000002</v>
      </c>
      <c r="M41" s="165">
        <f t="shared" si="1"/>
        <v>0.99999999999999989</v>
      </c>
      <c r="N41" s="141">
        <f t="shared" si="1"/>
        <v>40314.697756500202</v>
      </c>
    </row>
    <row r="42" spans="1:14" x14ac:dyDescent="0.2">
      <c r="B42" s="132"/>
      <c r="M42" s="144" t="s">
        <v>177</v>
      </c>
      <c r="N42" s="145">
        <f>'2. 2013 Continuity Schedule'!CF73</f>
        <v>40314.700155999999</v>
      </c>
    </row>
    <row r="43" spans="1:14" x14ac:dyDescent="0.2">
      <c r="B43" s="132"/>
      <c r="M43" s="144" t="s">
        <v>178</v>
      </c>
      <c r="N43" s="146">
        <f>N41-N42</f>
        <v>-2.399499797320459E-3</v>
      </c>
    </row>
    <row r="44" spans="1:14" x14ac:dyDescent="0.2">
      <c r="B44" s="132"/>
    </row>
    <row r="45" spans="1:14" x14ac:dyDescent="0.2">
      <c r="A45" s="287" t="s">
        <v>171</v>
      </c>
      <c r="B45" s="287"/>
      <c r="C45" s="287"/>
      <c r="D45" s="287"/>
      <c r="E45" s="287"/>
      <c r="F45" s="287"/>
      <c r="G45" s="287"/>
      <c r="H45" s="287"/>
    </row>
    <row r="46" spans="1:14" ht="25.5" customHeight="1" x14ac:dyDescent="0.2">
      <c r="A46" s="287"/>
      <c r="B46" s="287"/>
      <c r="C46" s="287"/>
      <c r="D46" s="287"/>
      <c r="E46" s="287"/>
      <c r="F46" s="287"/>
      <c r="G46" s="287"/>
      <c r="H46" s="287"/>
    </row>
    <row r="47" spans="1:14" ht="17.25" x14ac:dyDescent="0.2">
      <c r="A47" s="287" t="s">
        <v>172</v>
      </c>
      <c r="B47" s="287"/>
      <c r="C47" s="287"/>
      <c r="D47" s="287"/>
      <c r="E47" s="287"/>
      <c r="F47" s="287"/>
      <c r="G47" s="287"/>
      <c r="H47" s="287"/>
    </row>
  </sheetData>
  <mergeCells count="16">
    <mergeCell ref="B16:I17"/>
    <mergeCell ref="D19:D20"/>
    <mergeCell ref="M19:M20"/>
    <mergeCell ref="N19:N20"/>
    <mergeCell ref="A45:H46"/>
    <mergeCell ref="I19:I20"/>
    <mergeCell ref="J19:J20"/>
    <mergeCell ref="K19:K20"/>
    <mergeCell ref="L19:L20"/>
    <mergeCell ref="A47:H47"/>
    <mergeCell ref="F19:F20"/>
    <mergeCell ref="E19:E20"/>
    <mergeCell ref="C19:C20"/>
    <mergeCell ref="B19:B20"/>
    <mergeCell ref="G19:G20"/>
    <mergeCell ref="H19:H20"/>
  </mergeCells>
  <dataValidations disablePrompts="1" count="1">
    <dataValidation type="list" allowBlank="1" showInputMessage="1" showErrorMessage="1" sqref="C21:C40">
      <formula1>"kW, kWh"</formula1>
    </dataValidation>
  </dataValidations>
  <pageMargins left="0.70866141732283472" right="0.70866141732283472" top="0.74803149606299213" bottom="0.74803149606299213" header="0.31496062992125984" footer="0.31496062992125984"/>
  <pageSetup scale="50" fitToHeight="0" orientation="landscape" r:id="rId1"/>
  <headerFooter>
    <oddFooter>&amp;L&amp;Z&amp;F&amp;R&amp;D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Y54"/>
  <sheetViews>
    <sheetView showGridLines="0" topLeftCell="B4" zoomScale="75" zoomScaleNormal="75" workbookViewId="0">
      <selection activeCell="F47" sqref="F47"/>
    </sheetView>
  </sheetViews>
  <sheetFormatPr defaultColWidth="9.140625" defaultRowHeight="12.75" x14ac:dyDescent="0.2"/>
  <cols>
    <col min="1" max="1" width="1.140625" style="132" customWidth="1"/>
    <col min="2" max="2" width="47.140625" style="132" customWidth="1"/>
    <col min="3" max="3" width="9.140625" style="132"/>
    <col min="4" max="4" width="17.140625" style="132" bestFit="1" customWidth="1"/>
    <col min="5" max="5" width="14.7109375" style="132" customWidth="1"/>
    <col min="6" max="6" width="17" style="132" customWidth="1"/>
    <col min="7" max="7" width="16.42578125" style="132" customWidth="1"/>
    <col min="8" max="8" width="16.140625" style="132" customWidth="1"/>
    <col min="9" max="9" width="14.7109375" style="132" customWidth="1"/>
    <col min="10" max="10" width="15.140625" style="132" customWidth="1"/>
    <col min="11" max="11" width="13.28515625" style="132" customWidth="1"/>
    <col min="12" max="12" width="14.28515625" style="132" customWidth="1"/>
    <col min="13" max="25" width="24.140625" style="132" customWidth="1"/>
    <col min="26" max="16384" width="9.140625" style="132"/>
  </cols>
  <sheetData>
    <row r="1" spans="2:25" ht="143.25" customHeight="1" x14ac:dyDescent="0.2">
      <c r="I1" s="199" t="s">
        <v>231</v>
      </c>
    </row>
    <row r="4" spans="2:25" ht="15.75" x14ac:dyDescent="0.25">
      <c r="B4" s="296" t="s">
        <v>227</v>
      </c>
      <c r="C4" s="296"/>
      <c r="D4" s="296"/>
      <c r="E4" s="296"/>
    </row>
    <row r="5" spans="2:25" ht="39" customHeight="1" x14ac:dyDescent="0.2">
      <c r="B5" s="200"/>
      <c r="C5" s="200"/>
      <c r="D5" s="201" t="s">
        <v>195</v>
      </c>
      <c r="E5" s="202" t="s">
        <v>185</v>
      </c>
      <c r="F5" s="201" t="str">
        <f>IF(LEN(TRIM('4. Billing Determinants'!$B21))=0, "", '4. Billing Determinants'!$B21)</f>
        <v>Residential</v>
      </c>
      <c r="G5" s="201" t="str">
        <f>IF(LEN(TRIM('4. Billing Determinants'!$B22))=0, "", '4. Billing Determinants'!$B22)</f>
        <v>General Service Less Than 50 kW</v>
      </c>
      <c r="H5" s="201" t="str">
        <f>IF(LEN(TRIM('4. Billing Determinants'!$B23))=0, "", '4. Billing Determinants'!$B23)</f>
        <v>General Service 50 to 999 kW</v>
      </c>
      <c r="I5" s="201" t="str">
        <f>IF(LEN(TRIM('4. Billing Determinants'!$B24))=0, "", '4. Billing Determinants'!$B24)</f>
        <v>General Service 1,000 to 4,999 kW</v>
      </c>
      <c r="J5" s="201" t="str">
        <f>IF(LEN(TRIM('4. Billing Determinants'!$B25))=0, "", '4. Billing Determinants'!$B25)</f>
        <v xml:space="preserve">Unmetered Scattered Load </v>
      </c>
      <c r="K5" s="201" t="str">
        <f>IF(LEN(TRIM('4. Billing Determinants'!$B26))=0, "", '4. Billing Determinants'!$B26)</f>
        <v>Sentinel Lighting</v>
      </c>
      <c r="L5" s="201" t="str">
        <f>IF(LEN(TRIM('4. Billing Determinants'!$B27))=0, "", '4. Billing Determinants'!$B27)</f>
        <v>Street Lighting</v>
      </c>
      <c r="M5" s="147" t="str">
        <f>IF(LEN(TRIM('4. Billing Determinants'!$B28))=0, "", '4. Billing Determinants'!$B28)</f>
        <v/>
      </c>
      <c r="N5" s="147" t="str">
        <f>IF(LEN(TRIM('4. Billing Determinants'!$B29))=0, "", '4. Billing Determinants'!$B29)</f>
        <v/>
      </c>
      <c r="O5" s="147" t="str">
        <f>IF(LEN(TRIM('4. Billing Determinants'!$B30))=0, "", '4. Billing Determinants'!$B30)</f>
        <v/>
      </c>
      <c r="P5" s="147" t="str">
        <f>IF(LEN(TRIM('4. Billing Determinants'!$B31))=0, "", '4. Billing Determinants'!$B31)</f>
        <v/>
      </c>
      <c r="Q5" s="147" t="str">
        <f>IF(LEN(TRIM('4. Billing Determinants'!$B32))=0, "", '4. Billing Determinants'!$B32)</f>
        <v/>
      </c>
      <c r="R5" s="147" t="str">
        <f>IF(LEN(TRIM('4. Billing Determinants'!$B33))=0, "", '4. Billing Determinants'!$B33)</f>
        <v/>
      </c>
      <c r="S5" s="147" t="str">
        <f>IF(LEN(TRIM('4. Billing Determinants'!$B34))=0, "", '4. Billing Determinants'!$B34)</f>
        <v/>
      </c>
      <c r="T5" s="147" t="str">
        <f>IF(LEN(TRIM('4. Billing Determinants'!$B35))=0, "", '4. Billing Determinants'!$B35)</f>
        <v/>
      </c>
      <c r="U5" s="147" t="str">
        <f>IF(LEN(TRIM('4. Billing Determinants'!$B36))=0, "", '4. Billing Determinants'!$B36)</f>
        <v/>
      </c>
      <c r="V5" s="147" t="str">
        <f>IF(LEN(TRIM('4. Billing Determinants'!$B37))=0, "", '4. Billing Determinants'!$B37)</f>
        <v/>
      </c>
      <c r="W5" s="147" t="str">
        <f>IF(LEN(TRIM('4. Billing Determinants'!$B38))=0, "", '4. Billing Determinants'!$B38)</f>
        <v/>
      </c>
      <c r="X5" s="147" t="str">
        <f>IF(LEN(TRIM('4. Billing Determinants'!$B39))=0, "", '4. Billing Determinants'!$B39)</f>
        <v/>
      </c>
      <c r="Y5" s="147" t="str">
        <f>IF(LEN(TRIM('4. Billing Determinants'!$B40))=0, "", '4. Billing Determinants'!$B40)</f>
        <v/>
      </c>
    </row>
    <row r="6" spans="2:25" hidden="1" x14ac:dyDescent="0.2">
      <c r="B6" s="148" t="s">
        <v>62</v>
      </c>
      <c r="C6" s="149">
        <v>1550</v>
      </c>
      <c r="D6" s="189">
        <f>'2. 2013 Continuity Schedule'!CF24</f>
        <v>0</v>
      </c>
      <c r="E6" s="190" t="s">
        <v>186</v>
      </c>
      <c r="F6" s="189">
        <f>IF(F$5="",0,IF($E6="kWh",VLOOKUP(F$5,'4. Billing Determinants'!$B$19:$N$41,4,0)/'4. Billing Determinants'!$E$41*$D6,IF($E6="kW",VLOOKUP(F$5,'4. Billing Determinants'!$B$19:$N$41,5,0)/'4. Billing Determinants'!$F$41*$D6,IF($E6="Non-RPP kWh",VLOOKUP(F$5,'4. Billing Determinants'!$B$19:$N$41,6,0)/'4. Billing Determinants'!$G$41*$D6,IF($E6="Distribution Rev.",VLOOKUP(F$5,'4. Billing Determinants'!$B$19:$N$41,8,0)/'4. Billing Determinants'!$I$41*$D6, VLOOKUP(F$5,'4. Billing Determinants'!$B$19:$N$41,3,0)/'4. Billing Determinants'!$D$41*$D6)))))</f>
        <v>0</v>
      </c>
      <c r="G6" s="189">
        <f>IF(G$5="",0,IF($E6="kWh",VLOOKUP(G$5,'4. Billing Determinants'!$B$19:$N$41,4,0)/'4. Billing Determinants'!$E$41*$D6,IF($E6="kW",VLOOKUP(G$5,'4. Billing Determinants'!$B$19:$N$41,5,0)/'4. Billing Determinants'!$F$41*$D6,IF($E6="Non-RPP kWh",VLOOKUP(G$5,'4. Billing Determinants'!$B$19:$N$41,6,0)/'4. Billing Determinants'!$G$41*$D6,IF($E6="Distribution Rev.",VLOOKUP(G$5,'4. Billing Determinants'!$B$19:$N$41,8,0)/'4. Billing Determinants'!$I$41*$D6, VLOOKUP(G$5,'4. Billing Determinants'!$B$19:$N$41,3,0)/'4. Billing Determinants'!$D$41*$D6)))))</f>
        <v>0</v>
      </c>
      <c r="H6" s="189">
        <f>IF(H$5="",0,IF($E6="kWh",VLOOKUP(H$5,'4. Billing Determinants'!$B$19:$N$41,4,0)/'4. Billing Determinants'!$E$41*$D6,IF($E6="kW",VLOOKUP(H$5,'4. Billing Determinants'!$B$19:$N$41,5,0)/'4. Billing Determinants'!$F$41*$D6,IF($E6="Non-RPP kWh",VLOOKUP(H$5,'4. Billing Determinants'!$B$19:$N$41,6,0)/'4. Billing Determinants'!$G$41*$D6,IF($E6="Distribution Rev.",VLOOKUP(H$5,'4. Billing Determinants'!$B$19:$N$41,8,0)/'4. Billing Determinants'!$I$41*$D6, VLOOKUP(H$5,'4. Billing Determinants'!$B$19:$N$41,3,0)/'4. Billing Determinants'!$D$41*$D6)))))</f>
        <v>0</v>
      </c>
      <c r="I6" s="189">
        <f>IF(I$5="",0,IF($E6="kWh",VLOOKUP(I$5,'4. Billing Determinants'!$B$19:$N$41,4,0)/'4. Billing Determinants'!$E$41*$D6,IF($E6="kW",VLOOKUP(I$5,'4. Billing Determinants'!$B$19:$N$41,5,0)/'4. Billing Determinants'!$F$41*$D6,IF($E6="Non-RPP kWh",VLOOKUP(I$5,'4. Billing Determinants'!$B$19:$N$41,6,0)/'4. Billing Determinants'!$G$41*$D6,IF($E6="Distribution Rev.",VLOOKUP(I$5,'4. Billing Determinants'!$B$19:$N$41,8,0)/'4. Billing Determinants'!$I$41*$D6, VLOOKUP(I$5,'4. Billing Determinants'!$B$19:$N$41,3,0)/'4. Billing Determinants'!$D$41*$D6)))))</f>
        <v>0</v>
      </c>
      <c r="J6" s="189">
        <f>IF(J$5="",0,IF($E6="kWh",VLOOKUP(J$5,'4. Billing Determinants'!$B$19:$N$41,4,0)/'4. Billing Determinants'!$E$41*$D6,IF($E6="kW",VLOOKUP(J$5,'4. Billing Determinants'!$B$19:$N$41,5,0)/'4. Billing Determinants'!$F$41*$D6,IF($E6="Non-RPP kWh",VLOOKUP(J$5,'4. Billing Determinants'!$B$19:$N$41,6,0)/'4. Billing Determinants'!$G$41*$D6,IF($E6="Distribution Rev.",VLOOKUP(J$5,'4. Billing Determinants'!$B$19:$N$41,8,0)/'4. Billing Determinants'!$I$41*$D6, VLOOKUP(J$5,'4. Billing Determinants'!$B$19:$N$41,3,0)/'4. Billing Determinants'!$D$41*$D6)))))</f>
        <v>0</v>
      </c>
      <c r="K6" s="189">
        <f>IF(K$5="",0,IF($E6="kWh",VLOOKUP(K$5,'4. Billing Determinants'!$B$19:$N$41,4,0)/'4. Billing Determinants'!$E$41*$D6,IF($E6="kW",VLOOKUP(K$5,'4. Billing Determinants'!$B$19:$N$41,5,0)/'4. Billing Determinants'!$F$41*$D6,IF($E6="Non-RPP kWh",VLOOKUP(K$5,'4. Billing Determinants'!$B$19:$N$41,6,0)/'4. Billing Determinants'!$G$41*$D6,IF($E6="Distribution Rev.",VLOOKUP(K$5,'4. Billing Determinants'!$B$19:$N$41,8,0)/'4. Billing Determinants'!$I$41*$D6, VLOOKUP(K$5,'4. Billing Determinants'!$B$19:$N$41,3,0)/'4. Billing Determinants'!$D$41*$D6)))))</f>
        <v>0</v>
      </c>
      <c r="L6" s="189">
        <f>IF(L$5="",0,IF($E6="kWh",VLOOKUP(L$5,'4. Billing Determinants'!$B$19:$N$41,4,0)/'4. Billing Determinants'!$E$41*$D6,IF($E6="kW",VLOOKUP(L$5,'4. Billing Determinants'!$B$19:$N$41,5,0)/'4. Billing Determinants'!$F$41*$D6,IF($E6="Non-RPP kWh",VLOOKUP(L$5,'4. Billing Determinants'!$B$19:$N$41,6,0)/'4. Billing Determinants'!$G$41*$D6,IF($E6="Distribution Rev.",VLOOKUP(L$5,'4. Billing Determinants'!$B$19:$N$41,8,0)/'4. Billing Determinants'!$I$41*$D6, VLOOKUP(L$5,'4. Billing Determinants'!$B$19:$N$41,3,0)/'4. Billing Determinants'!$D$41*$D6)))))</f>
        <v>0</v>
      </c>
      <c r="M6" s="150">
        <f>IF(M$5="",0,IF($E6="kWh",VLOOKUP(M$5,'4. Billing Determinants'!$B$19:$N$41,4,0)/'4. Billing Determinants'!$E$41*$D6,IF($E6="kW",VLOOKUP(M$5,'4. Billing Determinants'!$B$19:$N$41,5,0)/'4. Billing Determinants'!$F$41*$D6,IF($E6="Non-RPP kWh",VLOOKUP(M$5,'4. Billing Determinants'!$B$19:$N$41,6,0)/'4. Billing Determinants'!$G$41*$D6,IF($E6="Distribution Rev.",VLOOKUP(M$5,'4. Billing Determinants'!$B$19:$N$41,8,0)/'4. Billing Determinants'!$I$41*$D6, VLOOKUP(M$5,'4. Billing Determinants'!$B$19:$N$41,3,0)/'4. Billing Determinants'!$D$41*$D6)))))</f>
        <v>0</v>
      </c>
      <c r="N6" s="150">
        <f>IF(N$5="",0,IF($E6="kWh",VLOOKUP(N$5,'4. Billing Determinants'!$B$19:$N$41,4,0)/'4. Billing Determinants'!$E$41*$D6,IF($E6="kW",VLOOKUP(N$5,'4. Billing Determinants'!$B$19:$N$41,5,0)/'4. Billing Determinants'!$F$41*$D6,IF($E6="Non-RPP kWh",VLOOKUP(N$5,'4. Billing Determinants'!$B$19:$N$41,6,0)/'4. Billing Determinants'!$G$41*$D6,IF($E6="Distribution Rev.",VLOOKUP(N$5,'4. Billing Determinants'!$B$19:$N$41,8,0)/'4. Billing Determinants'!$I$41*$D6, VLOOKUP(N$5,'4. Billing Determinants'!$B$19:$N$41,3,0)/'4. Billing Determinants'!$D$41*$D6)))))</f>
        <v>0</v>
      </c>
      <c r="O6" s="150">
        <f>IF(O$5="",0,IF($E6="kWh",VLOOKUP(O$5,'4. Billing Determinants'!$B$19:$N$41,4,0)/'4. Billing Determinants'!$E$41*$D6,IF($E6="kW",VLOOKUP(O$5,'4. Billing Determinants'!$B$19:$N$41,5,0)/'4. Billing Determinants'!$F$41*$D6,IF($E6="Non-RPP kWh",VLOOKUP(O$5,'4. Billing Determinants'!$B$19:$N$41,6,0)/'4. Billing Determinants'!$G$41*$D6,IF($E6="Distribution Rev.",VLOOKUP(O$5,'4. Billing Determinants'!$B$19:$N$41,8,0)/'4. Billing Determinants'!$I$41*$D6, VLOOKUP(O$5,'4. Billing Determinants'!$B$19:$N$41,3,0)/'4. Billing Determinants'!$D$41*$D6)))))</f>
        <v>0</v>
      </c>
      <c r="P6" s="150">
        <f>IF(P$5="",0,IF($E6="kWh",VLOOKUP(P$5,'4. Billing Determinants'!$B$19:$N$41,4,0)/'4. Billing Determinants'!$E$41*$D6,IF($E6="kW",VLOOKUP(P$5,'4. Billing Determinants'!$B$19:$N$41,5,0)/'4. Billing Determinants'!$F$41*$D6,IF($E6="Non-RPP kWh",VLOOKUP(P$5,'4. Billing Determinants'!$B$19:$N$41,6,0)/'4. Billing Determinants'!$G$41*$D6,IF($E6="Distribution Rev.",VLOOKUP(P$5,'4. Billing Determinants'!$B$19:$N$41,8,0)/'4. Billing Determinants'!$I$41*$D6, VLOOKUP(P$5,'4. Billing Determinants'!$B$19:$N$41,3,0)/'4. Billing Determinants'!$D$41*$D6)))))</f>
        <v>0</v>
      </c>
      <c r="Q6" s="150">
        <f>IF(Q$5="",0,IF($E6="kWh",VLOOKUP(Q$5,'4. Billing Determinants'!$B$19:$N$41,4,0)/'4. Billing Determinants'!$E$41*$D6,IF($E6="kW",VLOOKUP(Q$5,'4. Billing Determinants'!$B$19:$N$41,5,0)/'4. Billing Determinants'!$F$41*$D6,IF($E6="Non-RPP kWh",VLOOKUP(Q$5,'4. Billing Determinants'!$B$19:$N$41,6,0)/'4. Billing Determinants'!$G$41*$D6,IF($E6="Distribution Rev.",VLOOKUP(Q$5,'4. Billing Determinants'!$B$19:$N$41,8,0)/'4. Billing Determinants'!$I$41*$D6, VLOOKUP(Q$5,'4. Billing Determinants'!$B$19:$N$41,3,0)/'4. Billing Determinants'!$D$41*$D6)))))</f>
        <v>0</v>
      </c>
      <c r="R6" s="150">
        <f>IF(R$5="",0,IF($E6="kWh",VLOOKUP(R$5,'4. Billing Determinants'!$B$19:$N$41,4,0)/'4. Billing Determinants'!$E$41*$D6,IF($E6="kW",VLOOKUP(R$5,'4. Billing Determinants'!$B$19:$N$41,5,0)/'4. Billing Determinants'!$F$41*$D6,IF($E6="Non-RPP kWh",VLOOKUP(R$5,'4. Billing Determinants'!$B$19:$N$41,6,0)/'4. Billing Determinants'!$G$41*$D6,IF($E6="Distribution Rev.",VLOOKUP(R$5,'4. Billing Determinants'!$B$19:$N$41,8,0)/'4. Billing Determinants'!$I$41*$D6, VLOOKUP(R$5,'4. Billing Determinants'!$B$19:$N$41,3,0)/'4. Billing Determinants'!$D$41*$D6)))))</f>
        <v>0</v>
      </c>
      <c r="S6" s="150">
        <f>IF(S$5="",0,IF($E6="kWh",VLOOKUP(S$5,'4. Billing Determinants'!$B$19:$N$41,4,0)/'4. Billing Determinants'!$E$41*$D6,IF($E6="kW",VLOOKUP(S$5,'4. Billing Determinants'!$B$19:$N$41,5,0)/'4. Billing Determinants'!$F$41*$D6,IF($E6="Non-RPP kWh",VLOOKUP(S$5,'4. Billing Determinants'!$B$19:$N$41,6,0)/'4. Billing Determinants'!$G$41*$D6,IF($E6="Distribution Rev.",VLOOKUP(S$5,'4. Billing Determinants'!$B$19:$N$41,8,0)/'4. Billing Determinants'!$I$41*$D6, VLOOKUP(S$5,'4. Billing Determinants'!$B$19:$N$41,3,0)/'4. Billing Determinants'!$D$41*$D6)))))</f>
        <v>0</v>
      </c>
      <c r="T6" s="150">
        <f>IF(T$5="",0,IF($E6="kWh",VLOOKUP(T$5,'4. Billing Determinants'!$B$19:$N$41,4,0)/'4. Billing Determinants'!$E$41*$D6,IF($E6="kW",VLOOKUP(T$5,'4. Billing Determinants'!$B$19:$N$41,5,0)/'4. Billing Determinants'!$F$41*$D6,IF($E6="Non-RPP kWh",VLOOKUP(T$5,'4. Billing Determinants'!$B$19:$N$41,6,0)/'4. Billing Determinants'!$G$41*$D6,IF($E6="Distribution Rev.",VLOOKUP(T$5,'4. Billing Determinants'!$B$19:$N$41,8,0)/'4. Billing Determinants'!$I$41*$D6, VLOOKUP(T$5,'4. Billing Determinants'!$B$19:$N$41,3,0)/'4. Billing Determinants'!$D$41*$D6)))))</f>
        <v>0</v>
      </c>
      <c r="U6" s="150">
        <f>IF(U$5="",0,IF($E6="kWh",VLOOKUP(U$5,'4. Billing Determinants'!$B$19:$N$41,4,0)/'4. Billing Determinants'!$E$41*$D6,IF($E6="kW",VLOOKUP(U$5,'4. Billing Determinants'!$B$19:$N$41,5,0)/'4. Billing Determinants'!$F$41*$D6,IF($E6="Non-RPP kWh",VLOOKUP(U$5,'4. Billing Determinants'!$B$19:$N$41,6,0)/'4. Billing Determinants'!$G$41*$D6,IF($E6="Distribution Rev.",VLOOKUP(U$5,'4. Billing Determinants'!$B$19:$N$41,8,0)/'4. Billing Determinants'!$I$41*$D6, VLOOKUP(U$5,'4. Billing Determinants'!$B$19:$N$41,3,0)/'4. Billing Determinants'!$D$41*$D6)))))</f>
        <v>0</v>
      </c>
      <c r="V6" s="150">
        <f>IF(V$5="",0,IF($E6="kWh",VLOOKUP(V$5,'4. Billing Determinants'!$B$19:$N$41,4,0)/'4. Billing Determinants'!$E$41*$D6,IF($E6="kW",VLOOKUP(V$5,'4. Billing Determinants'!$B$19:$N$41,5,0)/'4. Billing Determinants'!$F$41*$D6,IF($E6="Non-RPP kWh",VLOOKUP(V$5,'4. Billing Determinants'!$B$19:$N$41,6,0)/'4. Billing Determinants'!$G$41*$D6,IF($E6="Distribution Rev.",VLOOKUP(V$5,'4. Billing Determinants'!$B$19:$N$41,8,0)/'4. Billing Determinants'!$I$41*$D6, VLOOKUP(V$5,'4. Billing Determinants'!$B$19:$N$41,3,0)/'4. Billing Determinants'!$D$41*$D6)))))</f>
        <v>0</v>
      </c>
      <c r="W6" s="150">
        <f>IF(W$5="",0,IF($E6="kWh",VLOOKUP(W$5,'4. Billing Determinants'!$B$19:$N$41,4,0)/'4. Billing Determinants'!$E$41*$D6,IF($E6="kW",VLOOKUP(W$5,'4. Billing Determinants'!$B$19:$N$41,5,0)/'4. Billing Determinants'!$F$41*$D6,IF($E6="Non-RPP kWh",VLOOKUP(W$5,'4. Billing Determinants'!$B$19:$N$41,6,0)/'4. Billing Determinants'!$G$41*$D6,IF($E6="Distribution Rev.",VLOOKUP(W$5,'4. Billing Determinants'!$B$19:$N$41,8,0)/'4. Billing Determinants'!$I$41*$D6, VLOOKUP(W$5,'4. Billing Determinants'!$B$19:$N$41,3,0)/'4. Billing Determinants'!$D$41*$D6)))))</f>
        <v>0</v>
      </c>
      <c r="X6" s="150">
        <f>IF(X$5="",0,IF($E6="kWh",VLOOKUP(X$5,'4. Billing Determinants'!$B$19:$N$41,4,0)/'4. Billing Determinants'!$E$41*$D6,IF($E6="kW",VLOOKUP(X$5,'4. Billing Determinants'!$B$19:$N$41,5,0)/'4. Billing Determinants'!$F$41*$D6,IF($E6="Non-RPP kWh",VLOOKUP(X$5,'4. Billing Determinants'!$B$19:$N$41,6,0)/'4. Billing Determinants'!$G$41*$D6,IF($E6="Distribution Rev.",VLOOKUP(X$5,'4. Billing Determinants'!$B$19:$N$41,8,0)/'4. Billing Determinants'!$I$41*$D6, VLOOKUP(X$5,'4. Billing Determinants'!$B$19:$N$41,3,0)/'4. Billing Determinants'!$D$41*$D6)))))</f>
        <v>0</v>
      </c>
      <c r="Y6" s="150">
        <f>IF(Y$5="",0,IF($E6="kWh",VLOOKUP(Y$5,'4. Billing Determinants'!$B$19:$N$41,4,0)/'4. Billing Determinants'!$E$41*$D6,IF($E6="kW",VLOOKUP(Y$5,'4. Billing Determinants'!$B$19:$N$41,5,0)/'4. Billing Determinants'!$F$41*$D6,IF($E6="Non-RPP kWh",VLOOKUP(Y$5,'4. Billing Determinants'!$B$19:$N$41,6,0)/'4. Billing Determinants'!$G$41*$D6,IF($E6="Distribution Rev.",VLOOKUP(Y$5,'4. Billing Determinants'!$B$19:$N$41,8,0)/'4. Billing Determinants'!$I$41*$D6, VLOOKUP(Y$5,'4. Billing Determinants'!$B$19:$N$41,3,0)/'4. Billing Determinants'!$D$41*$D6)))))</f>
        <v>0</v>
      </c>
    </row>
    <row r="7" spans="2:25" x14ac:dyDescent="0.2">
      <c r="B7" s="152" t="s">
        <v>1</v>
      </c>
      <c r="C7" s="149">
        <v>1580</v>
      </c>
      <c r="D7" s="211">
        <f>'2. 2013 Continuity Schedule'!CF25</f>
        <v>-1470666.9804920002</v>
      </c>
      <c r="E7" s="235" t="s">
        <v>186</v>
      </c>
      <c r="F7" s="213">
        <f>IF(F$5="",0,IF($E7="kWh",VLOOKUP(F$5,'4. Billing Determinants'!$B$19:$N$41,4,0)/'4. Billing Determinants'!$E$41*$D7,IF($E7="kW",VLOOKUP(F$5,'4. Billing Determinants'!$B$19:$N$41,5,0)/'4. Billing Determinants'!$F$41*$D7,IF($E7="Non-RPP kWh",VLOOKUP(F$5,'4. Billing Determinants'!$B$19:$N$41,6,0)/'4. Billing Determinants'!$G$41*$D7,IF($E7="Distribution Rev.",VLOOKUP(F$5,'4. Billing Determinants'!$B$19:$N$41,8,0)/'4. Billing Determinants'!$I$41*$D7, VLOOKUP(F$5,'4. Billing Determinants'!$B$19:$N$41,3,0)/'4. Billing Determinants'!$D$41*$D7)))))</f>
        <v>-519502.59772380447</v>
      </c>
      <c r="G7" s="211">
        <f>IF(G$5="",0,IF($E7="kWh",VLOOKUP(G$5,'4. Billing Determinants'!$B$19:$N$41,4,0)/'4. Billing Determinants'!$E$41*$D7,IF($E7="kW",VLOOKUP(G$5,'4. Billing Determinants'!$B$19:$N$41,5,0)/'4. Billing Determinants'!$F$41*$D7,IF($E7="Non-RPP kWh",VLOOKUP(G$5,'4. Billing Determinants'!$B$19:$N$41,6,0)/'4. Billing Determinants'!$G$41*$D7,IF($E7="Distribution Rev.",VLOOKUP(G$5,'4. Billing Determinants'!$B$19:$N$41,8,0)/'4. Billing Determinants'!$I$41*$D7, VLOOKUP(G$5,'4. Billing Determinants'!$B$19:$N$41,3,0)/'4. Billing Determinants'!$D$41*$D7)))))</f>
        <v>-208387.70225859474</v>
      </c>
      <c r="H7" s="211">
        <f>IF(H$5="",0,IF($E7="kWh",VLOOKUP(H$5,'4. Billing Determinants'!$B$19:$N$41,4,0)/'4. Billing Determinants'!$E$41*$D7,IF($E7="kW",VLOOKUP(H$5,'4. Billing Determinants'!$B$19:$N$41,5,0)/'4. Billing Determinants'!$F$41*$D7,IF($E7="Non-RPP kWh",VLOOKUP(H$5,'4. Billing Determinants'!$B$19:$N$41,6,0)/'4. Billing Determinants'!$G$41*$D7,IF($E7="Distribution Rev.",VLOOKUP(H$5,'4. Billing Determinants'!$B$19:$N$41,8,0)/'4. Billing Determinants'!$I$41*$D7, VLOOKUP(H$5,'4. Billing Determinants'!$B$19:$N$41,3,0)/'4. Billing Determinants'!$D$41*$D7)))))</f>
        <v>-442380.226717346</v>
      </c>
      <c r="I7" s="211">
        <f>IF(I$5="",0,IF($E7="kWh",VLOOKUP(I$5,'4. Billing Determinants'!$B$19:$N$41,4,0)/'4. Billing Determinants'!$E$41*$D7,IF($E7="kW",VLOOKUP(I$5,'4. Billing Determinants'!$B$19:$N$41,5,0)/'4. Billing Determinants'!$F$41*$D7,IF($E7="Non-RPP kWh",VLOOKUP(I$5,'4. Billing Determinants'!$B$19:$N$41,6,0)/'4. Billing Determinants'!$G$41*$D7,IF($E7="Distribution Rev.",VLOOKUP(I$5,'4. Billing Determinants'!$B$19:$N$41,8,0)/'4. Billing Determinants'!$I$41*$D7, VLOOKUP(I$5,'4. Billing Determinants'!$B$19:$N$41,3,0)/'4. Billing Determinants'!$D$41*$D7)))))</f>
        <v>-279892.26489635749</v>
      </c>
      <c r="J7" s="211">
        <f>IF(J$5="",0,IF($E7="kWh",VLOOKUP(J$5,'4. Billing Determinants'!$B$19:$N$41,4,0)/'4. Billing Determinants'!$E$41*$D7,IF($E7="kW",VLOOKUP(J$5,'4. Billing Determinants'!$B$19:$N$41,5,0)/'4. Billing Determinants'!$F$41*$D7,IF($E7="Non-RPP kWh",VLOOKUP(J$5,'4. Billing Determinants'!$B$19:$N$41,6,0)/'4. Billing Determinants'!$G$41*$D7,IF($E7="Distribution Rev.",VLOOKUP(J$5,'4. Billing Determinants'!$B$19:$N$41,8,0)/'4. Billing Determinants'!$I$41*$D7, VLOOKUP(J$5,'4. Billing Determinants'!$B$19:$N$41,3,0)/'4. Billing Determinants'!$D$41*$D7)))))</f>
        <v>-3022.5005869174774</v>
      </c>
      <c r="K7" s="211">
        <f>IF(K$5="",0,IF($E7="kWh",VLOOKUP(K$5,'4. Billing Determinants'!$B$19:$N$41,4,0)/'4. Billing Determinants'!$E$41*$D7,IF($E7="kW",VLOOKUP(K$5,'4. Billing Determinants'!$B$19:$N$41,5,0)/'4. Billing Determinants'!$F$41*$D7,IF($E7="Non-RPP kWh",VLOOKUP(K$5,'4. Billing Determinants'!$B$19:$N$41,6,0)/'4. Billing Determinants'!$G$41*$D7,IF($E7="Distribution Rev.",VLOOKUP(K$5,'4. Billing Determinants'!$B$19:$N$41,8,0)/'4. Billing Determinants'!$I$41*$D7, VLOOKUP(K$5,'4. Billing Determinants'!$B$19:$N$41,3,0)/'4. Billing Determinants'!$D$41*$D7)))))</f>
        <v>-190.04056526027765</v>
      </c>
      <c r="L7" s="211">
        <f>IF(L$5="",0,IF($E7="kWh",VLOOKUP(L$5,'4. Billing Determinants'!$B$19:$N$41,4,0)/'4. Billing Determinants'!$E$41*$D7,IF($E7="kW",VLOOKUP(L$5,'4. Billing Determinants'!$B$19:$N$41,5,0)/'4. Billing Determinants'!$F$41*$D7,IF($E7="Non-RPP kWh",VLOOKUP(L$5,'4. Billing Determinants'!$B$19:$N$41,6,0)/'4. Billing Determinants'!$G$41*$D7,IF($E7="Distribution Rev.",VLOOKUP(L$5,'4. Billing Determinants'!$B$19:$N$41,8,0)/'4. Billing Determinants'!$I$41*$D7, VLOOKUP(L$5,'4. Billing Determinants'!$B$19:$N$41,3,0)/'4. Billing Determinants'!$D$41*$D7)))))</f>
        <v>-17291.647743719728</v>
      </c>
      <c r="M7" s="150">
        <f>IF(M$5="",0,IF($E7="kWh",VLOOKUP(M$5,'4. Billing Determinants'!$B$19:$N$41,4,0)/'4. Billing Determinants'!$E$41*$D7,IF($E7="kW",VLOOKUP(M$5,'4. Billing Determinants'!$B$19:$N$41,5,0)/'4. Billing Determinants'!$F$41*$D7,IF($E7="Non-RPP kWh",VLOOKUP(M$5,'4. Billing Determinants'!$B$19:$N$41,6,0)/'4. Billing Determinants'!$G$41*$D7,IF($E7="Distribution Rev.",VLOOKUP(M$5,'4. Billing Determinants'!$B$19:$N$41,8,0)/'4. Billing Determinants'!$I$41*$D7, VLOOKUP(M$5,'4. Billing Determinants'!$B$19:$N$41,3,0)/'4. Billing Determinants'!$D$41*$D7)))))</f>
        <v>0</v>
      </c>
      <c r="N7" s="150">
        <f>IF(N$5="",0,IF($E7="kWh",VLOOKUP(N$5,'4. Billing Determinants'!$B$19:$N$41,4,0)/'4. Billing Determinants'!$E$41*$D7,IF($E7="kW",VLOOKUP(N$5,'4. Billing Determinants'!$B$19:$N$41,5,0)/'4. Billing Determinants'!$F$41*$D7,IF($E7="Non-RPP kWh",VLOOKUP(N$5,'4. Billing Determinants'!$B$19:$N$41,6,0)/'4. Billing Determinants'!$G$41*$D7,IF($E7="Distribution Rev.",VLOOKUP(N$5,'4. Billing Determinants'!$B$19:$N$41,8,0)/'4. Billing Determinants'!$I$41*$D7, VLOOKUP(N$5,'4. Billing Determinants'!$B$19:$N$41,3,0)/'4. Billing Determinants'!$D$41*$D7)))))</f>
        <v>0</v>
      </c>
      <c r="O7" s="150">
        <f>IF(O$5="",0,IF($E7="kWh",VLOOKUP(O$5,'4. Billing Determinants'!$B$19:$N$41,4,0)/'4. Billing Determinants'!$E$41*$D7,IF($E7="kW",VLOOKUP(O$5,'4. Billing Determinants'!$B$19:$N$41,5,0)/'4. Billing Determinants'!$F$41*$D7,IF($E7="Non-RPP kWh",VLOOKUP(O$5,'4. Billing Determinants'!$B$19:$N$41,6,0)/'4. Billing Determinants'!$G$41*$D7,IF($E7="Distribution Rev.",VLOOKUP(O$5,'4. Billing Determinants'!$B$19:$N$41,8,0)/'4. Billing Determinants'!$I$41*$D7, VLOOKUP(O$5,'4. Billing Determinants'!$B$19:$N$41,3,0)/'4. Billing Determinants'!$D$41*$D7)))))</f>
        <v>0</v>
      </c>
      <c r="P7" s="150">
        <f>IF(P$5="",0,IF($E7="kWh",VLOOKUP(P$5,'4. Billing Determinants'!$B$19:$N$41,4,0)/'4. Billing Determinants'!$E$41*$D7,IF($E7="kW",VLOOKUP(P$5,'4. Billing Determinants'!$B$19:$N$41,5,0)/'4. Billing Determinants'!$F$41*$D7,IF($E7="Non-RPP kWh",VLOOKUP(P$5,'4. Billing Determinants'!$B$19:$N$41,6,0)/'4. Billing Determinants'!$G$41*$D7,IF($E7="Distribution Rev.",VLOOKUP(P$5,'4. Billing Determinants'!$B$19:$N$41,8,0)/'4. Billing Determinants'!$I$41*$D7, VLOOKUP(P$5,'4. Billing Determinants'!$B$19:$N$41,3,0)/'4. Billing Determinants'!$D$41*$D7)))))</f>
        <v>0</v>
      </c>
      <c r="Q7" s="150">
        <f>IF(Q$5="",0,IF($E7="kWh",VLOOKUP(Q$5,'4. Billing Determinants'!$B$19:$N$41,4,0)/'4. Billing Determinants'!$E$41*$D7,IF($E7="kW",VLOOKUP(Q$5,'4. Billing Determinants'!$B$19:$N$41,5,0)/'4. Billing Determinants'!$F$41*$D7,IF($E7="Non-RPP kWh",VLOOKUP(Q$5,'4. Billing Determinants'!$B$19:$N$41,6,0)/'4. Billing Determinants'!$G$41*$D7,IF($E7="Distribution Rev.",VLOOKUP(Q$5,'4. Billing Determinants'!$B$19:$N$41,8,0)/'4. Billing Determinants'!$I$41*$D7, VLOOKUP(Q$5,'4. Billing Determinants'!$B$19:$N$41,3,0)/'4. Billing Determinants'!$D$41*$D7)))))</f>
        <v>0</v>
      </c>
      <c r="R7" s="150">
        <f>IF(R$5="",0,IF($E7="kWh",VLOOKUP(R$5,'4. Billing Determinants'!$B$19:$N$41,4,0)/'4. Billing Determinants'!$E$41*$D7,IF($E7="kW",VLOOKUP(R$5,'4. Billing Determinants'!$B$19:$N$41,5,0)/'4. Billing Determinants'!$F$41*$D7,IF($E7="Non-RPP kWh",VLOOKUP(R$5,'4. Billing Determinants'!$B$19:$N$41,6,0)/'4. Billing Determinants'!$G$41*$D7,IF($E7="Distribution Rev.",VLOOKUP(R$5,'4. Billing Determinants'!$B$19:$N$41,8,0)/'4. Billing Determinants'!$I$41*$D7, VLOOKUP(R$5,'4. Billing Determinants'!$B$19:$N$41,3,0)/'4. Billing Determinants'!$D$41*$D7)))))</f>
        <v>0</v>
      </c>
      <c r="S7" s="150">
        <f>IF(S$5="",0,IF($E7="kWh",VLOOKUP(S$5,'4. Billing Determinants'!$B$19:$N$41,4,0)/'4. Billing Determinants'!$E$41*$D7,IF($E7="kW",VLOOKUP(S$5,'4. Billing Determinants'!$B$19:$N$41,5,0)/'4. Billing Determinants'!$F$41*$D7,IF($E7="Non-RPP kWh",VLOOKUP(S$5,'4. Billing Determinants'!$B$19:$N$41,6,0)/'4. Billing Determinants'!$G$41*$D7,IF($E7="Distribution Rev.",VLOOKUP(S$5,'4. Billing Determinants'!$B$19:$N$41,8,0)/'4. Billing Determinants'!$I$41*$D7, VLOOKUP(S$5,'4. Billing Determinants'!$B$19:$N$41,3,0)/'4. Billing Determinants'!$D$41*$D7)))))</f>
        <v>0</v>
      </c>
      <c r="T7" s="150">
        <f>IF(T$5="",0,IF($E7="kWh",VLOOKUP(T$5,'4. Billing Determinants'!$B$19:$N$41,4,0)/'4. Billing Determinants'!$E$41*$D7,IF($E7="kW",VLOOKUP(T$5,'4. Billing Determinants'!$B$19:$N$41,5,0)/'4. Billing Determinants'!$F$41*$D7,IF($E7="Non-RPP kWh",VLOOKUP(T$5,'4. Billing Determinants'!$B$19:$N$41,6,0)/'4. Billing Determinants'!$G$41*$D7,IF($E7="Distribution Rev.",VLOOKUP(T$5,'4. Billing Determinants'!$B$19:$N$41,8,0)/'4. Billing Determinants'!$I$41*$D7, VLOOKUP(T$5,'4. Billing Determinants'!$B$19:$N$41,3,0)/'4. Billing Determinants'!$D$41*$D7)))))</f>
        <v>0</v>
      </c>
      <c r="U7" s="150">
        <f>IF(U$5="",0,IF($E7="kWh",VLOOKUP(U$5,'4. Billing Determinants'!$B$19:$N$41,4,0)/'4. Billing Determinants'!$E$41*$D7,IF($E7="kW",VLOOKUP(U$5,'4. Billing Determinants'!$B$19:$N$41,5,0)/'4. Billing Determinants'!$F$41*$D7,IF($E7="Non-RPP kWh",VLOOKUP(U$5,'4. Billing Determinants'!$B$19:$N$41,6,0)/'4. Billing Determinants'!$G$41*$D7,IF($E7="Distribution Rev.",VLOOKUP(U$5,'4. Billing Determinants'!$B$19:$N$41,8,0)/'4. Billing Determinants'!$I$41*$D7, VLOOKUP(U$5,'4. Billing Determinants'!$B$19:$N$41,3,0)/'4. Billing Determinants'!$D$41*$D7)))))</f>
        <v>0</v>
      </c>
      <c r="V7" s="150">
        <f>IF(V$5="",0,IF($E7="kWh",VLOOKUP(V$5,'4. Billing Determinants'!$B$19:$N$41,4,0)/'4. Billing Determinants'!$E$41*$D7,IF($E7="kW",VLOOKUP(V$5,'4. Billing Determinants'!$B$19:$N$41,5,0)/'4. Billing Determinants'!$F$41*$D7,IF($E7="Non-RPP kWh",VLOOKUP(V$5,'4. Billing Determinants'!$B$19:$N$41,6,0)/'4. Billing Determinants'!$G$41*$D7,IF($E7="Distribution Rev.",VLOOKUP(V$5,'4. Billing Determinants'!$B$19:$N$41,8,0)/'4. Billing Determinants'!$I$41*$D7, VLOOKUP(V$5,'4. Billing Determinants'!$B$19:$N$41,3,0)/'4. Billing Determinants'!$D$41*$D7)))))</f>
        <v>0</v>
      </c>
      <c r="W7" s="150">
        <f>IF(W$5="",0,IF($E7="kWh",VLOOKUP(W$5,'4. Billing Determinants'!$B$19:$N$41,4,0)/'4. Billing Determinants'!$E$41*$D7,IF($E7="kW",VLOOKUP(W$5,'4. Billing Determinants'!$B$19:$N$41,5,0)/'4. Billing Determinants'!$F$41*$D7,IF($E7="Non-RPP kWh",VLOOKUP(W$5,'4. Billing Determinants'!$B$19:$N$41,6,0)/'4. Billing Determinants'!$G$41*$D7,IF($E7="Distribution Rev.",VLOOKUP(W$5,'4. Billing Determinants'!$B$19:$N$41,8,0)/'4. Billing Determinants'!$I$41*$D7, VLOOKUP(W$5,'4. Billing Determinants'!$B$19:$N$41,3,0)/'4. Billing Determinants'!$D$41*$D7)))))</f>
        <v>0</v>
      </c>
      <c r="X7" s="150">
        <f>IF(X$5="",0,IF($E7="kWh",VLOOKUP(X$5,'4. Billing Determinants'!$B$19:$N$41,4,0)/'4. Billing Determinants'!$E$41*$D7,IF($E7="kW",VLOOKUP(X$5,'4. Billing Determinants'!$B$19:$N$41,5,0)/'4. Billing Determinants'!$F$41*$D7,IF($E7="Non-RPP kWh",VLOOKUP(X$5,'4. Billing Determinants'!$B$19:$N$41,6,0)/'4. Billing Determinants'!$G$41*$D7,IF($E7="Distribution Rev.",VLOOKUP(X$5,'4. Billing Determinants'!$B$19:$N$41,8,0)/'4. Billing Determinants'!$I$41*$D7, VLOOKUP(X$5,'4. Billing Determinants'!$B$19:$N$41,3,0)/'4. Billing Determinants'!$D$41*$D7)))))</f>
        <v>0</v>
      </c>
      <c r="Y7" s="150">
        <f>IF(Y$5="",0,IF($E7="kWh",VLOOKUP(Y$5,'4. Billing Determinants'!$B$19:$N$41,4,0)/'4. Billing Determinants'!$E$41*$D7,IF($E7="kW",VLOOKUP(Y$5,'4. Billing Determinants'!$B$19:$N$41,5,0)/'4. Billing Determinants'!$F$41*$D7,IF($E7="Non-RPP kWh",VLOOKUP(Y$5,'4. Billing Determinants'!$B$19:$N$41,6,0)/'4. Billing Determinants'!$G$41*$D7,IF($E7="Distribution Rev.",VLOOKUP(Y$5,'4. Billing Determinants'!$B$19:$N$41,8,0)/'4. Billing Determinants'!$I$41*$D7, VLOOKUP(Y$5,'4. Billing Determinants'!$B$19:$N$41,3,0)/'4. Billing Determinants'!$D$41*$D7)))))</f>
        <v>0</v>
      </c>
    </row>
    <row r="8" spans="2:25" x14ac:dyDescent="0.2">
      <c r="B8" s="152" t="s">
        <v>2</v>
      </c>
      <c r="C8" s="149">
        <v>1584</v>
      </c>
      <c r="D8" s="211">
        <f>'2. 2013 Continuity Schedule'!CF26</f>
        <v>-244701.04361199998</v>
      </c>
      <c r="E8" s="235" t="s">
        <v>186</v>
      </c>
      <c r="F8" s="211">
        <f>IF(F$5="",0,IF($E8="kWh",VLOOKUP(F$5,'4. Billing Determinants'!$B$19:$N$41,4,0)/'4. Billing Determinants'!$E$41*$D8,IF($E8="kW",VLOOKUP(F$5,'4. Billing Determinants'!$B$19:$N$41,5,0)/'4. Billing Determinants'!$F$41*$D8,IF($E8="Non-RPP kWh",VLOOKUP(F$5,'4. Billing Determinants'!$B$19:$N$41,6,0)/'4. Billing Determinants'!$G$41*$D8,IF($E8="Distribution Rev.",VLOOKUP(F$5,'4. Billing Determinants'!$B$19:$N$41,8,0)/'4. Billing Determinants'!$I$41*$D8, VLOOKUP(F$5,'4. Billing Determinants'!$B$19:$N$41,3,0)/'4. Billing Determinants'!$D$41*$D8)))))</f>
        <v>-86438.894398534743</v>
      </c>
      <c r="G8" s="211">
        <f>IF(G$5="",0,IF($E8="kWh",VLOOKUP(G$5,'4. Billing Determinants'!$B$19:$N$41,4,0)/'4. Billing Determinants'!$E$41*$D8,IF($E8="kW",VLOOKUP(G$5,'4. Billing Determinants'!$B$19:$N$41,5,0)/'4. Billing Determinants'!$F$41*$D8,IF($E8="Non-RPP kWh",VLOOKUP(G$5,'4. Billing Determinants'!$B$19:$N$41,6,0)/'4. Billing Determinants'!$G$41*$D8,IF($E8="Distribution Rev.",VLOOKUP(G$5,'4. Billing Determinants'!$B$19:$N$41,8,0)/'4. Billing Determinants'!$I$41*$D8, VLOOKUP(G$5,'4. Billing Determinants'!$B$19:$N$41,3,0)/'4. Billing Determinants'!$D$41*$D8)))))</f>
        <v>-34673.171353534883</v>
      </c>
      <c r="H8" s="211">
        <f>IF(H$5="",0,IF($E8="kWh",VLOOKUP(H$5,'4. Billing Determinants'!$B$19:$N$41,4,0)/'4. Billing Determinants'!$E$41*$D8,IF($E8="kW",VLOOKUP(H$5,'4. Billing Determinants'!$B$19:$N$41,5,0)/'4. Billing Determinants'!$F$41*$D8,IF($E8="Non-RPP kWh",VLOOKUP(H$5,'4. Billing Determinants'!$B$19:$N$41,6,0)/'4. Billing Determinants'!$G$41*$D8,IF($E8="Distribution Rev.",VLOOKUP(H$5,'4. Billing Determinants'!$B$19:$N$41,8,0)/'4. Billing Determinants'!$I$41*$D8, VLOOKUP(H$5,'4. Billing Determinants'!$B$19:$N$41,3,0)/'4. Billing Determinants'!$D$41*$D8)))))</f>
        <v>-73606.672745745076</v>
      </c>
      <c r="I8" s="211">
        <f>IF(I$5="",0,IF($E8="kWh",VLOOKUP(I$5,'4. Billing Determinants'!$B$19:$N$41,4,0)/'4. Billing Determinants'!$E$41*$D8,IF($E8="kW",VLOOKUP(I$5,'4. Billing Determinants'!$B$19:$N$41,5,0)/'4. Billing Determinants'!$F$41*$D8,IF($E8="Non-RPP kWh",VLOOKUP(I$5,'4. Billing Determinants'!$B$19:$N$41,6,0)/'4. Billing Determinants'!$G$41*$D8,IF($E8="Distribution Rev.",VLOOKUP(I$5,'4. Billing Determinants'!$B$19:$N$41,8,0)/'4. Billing Determinants'!$I$41*$D8, VLOOKUP(I$5,'4. Billing Determinants'!$B$19:$N$41,3,0)/'4. Billing Determinants'!$D$41*$D8)))))</f>
        <v>-46570.658230289671</v>
      </c>
      <c r="J8" s="211">
        <f>IF(J$5="",0,IF($E8="kWh",VLOOKUP(J$5,'4. Billing Determinants'!$B$19:$N$41,4,0)/'4. Billing Determinants'!$E$41*$D8,IF($E8="kW",VLOOKUP(J$5,'4. Billing Determinants'!$B$19:$N$41,5,0)/'4. Billing Determinants'!$F$41*$D8,IF($E8="Non-RPP kWh",VLOOKUP(J$5,'4. Billing Determinants'!$B$19:$N$41,6,0)/'4. Billing Determinants'!$G$41*$D8,IF($E8="Distribution Rev.",VLOOKUP(J$5,'4. Billing Determinants'!$B$19:$N$41,8,0)/'4. Billing Determinants'!$I$41*$D8, VLOOKUP(J$5,'4. Billing Determinants'!$B$19:$N$41,3,0)/'4. Billing Determinants'!$D$41*$D8)))))</f>
        <v>-502.9072235572724</v>
      </c>
      <c r="K8" s="211">
        <f>IF(K$5="",0,IF($E8="kWh",VLOOKUP(K$5,'4. Billing Determinants'!$B$19:$N$41,4,0)/'4. Billing Determinants'!$E$41*$D8,IF($E8="kW",VLOOKUP(K$5,'4. Billing Determinants'!$B$19:$N$41,5,0)/'4. Billing Determinants'!$F$41*$D8,IF($E8="Non-RPP kWh",VLOOKUP(K$5,'4. Billing Determinants'!$B$19:$N$41,6,0)/'4. Billing Determinants'!$G$41*$D8,IF($E8="Distribution Rev.",VLOOKUP(K$5,'4. Billing Determinants'!$B$19:$N$41,8,0)/'4. Billing Determinants'!$I$41*$D8, VLOOKUP(K$5,'4. Billing Determinants'!$B$19:$N$41,3,0)/'4. Billing Determinants'!$D$41*$D8)))))</f>
        <v>-31.620431589649932</v>
      </c>
      <c r="L8" s="211">
        <f>IF(L$5="",0,IF($E8="kWh",VLOOKUP(L$5,'4. Billing Determinants'!$B$19:$N$41,4,0)/'4. Billing Determinants'!$E$41*$D8,IF($E8="kW",VLOOKUP(L$5,'4. Billing Determinants'!$B$19:$N$41,5,0)/'4. Billing Determinants'!$F$41*$D8,IF($E8="Non-RPP kWh",VLOOKUP(L$5,'4. Billing Determinants'!$B$19:$N$41,6,0)/'4. Billing Determinants'!$G$41*$D8,IF($E8="Distribution Rev.",VLOOKUP(L$5,'4. Billing Determinants'!$B$19:$N$41,8,0)/'4. Billing Determinants'!$I$41*$D8, VLOOKUP(L$5,'4. Billing Determinants'!$B$19:$N$41,3,0)/'4. Billing Determinants'!$D$41*$D8)))))</f>
        <v>-2877.1192287486861</v>
      </c>
      <c r="M8" s="150">
        <f>IF(M$5="",0,IF($E8="kWh",VLOOKUP(M$5,'4. Billing Determinants'!$B$19:$N$41,4,0)/'4. Billing Determinants'!$E$41*$D8,IF($E8="kW",VLOOKUP(M$5,'4. Billing Determinants'!$B$19:$N$41,5,0)/'4. Billing Determinants'!$F$41*$D8,IF($E8="Non-RPP kWh",VLOOKUP(M$5,'4. Billing Determinants'!$B$19:$N$41,6,0)/'4. Billing Determinants'!$G$41*$D8,IF($E8="Distribution Rev.",VLOOKUP(M$5,'4. Billing Determinants'!$B$19:$N$41,8,0)/'4. Billing Determinants'!$I$41*$D8, VLOOKUP(M$5,'4. Billing Determinants'!$B$19:$N$41,3,0)/'4. Billing Determinants'!$D$41*$D8)))))</f>
        <v>0</v>
      </c>
      <c r="N8" s="150">
        <f>IF(N$5="",0,IF($E8="kWh",VLOOKUP(N$5,'4. Billing Determinants'!$B$19:$N$41,4,0)/'4. Billing Determinants'!$E$41*$D8,IF($E8="kW",VLOOKUP(N$5,'4. Billing Determinants'!$B$19:$N$41,5,0)/'4. Billing Determinants'!$F$41*$D8,IF($E8="Non-RPP kWh",VLOOKUP(N$5,'4. Billing Determinants'!$B$19:$N$41,6,0)/'4. Billing Determinants'!$G$41*$D8,IF($E8="Distribution Rev.",VLOOKUP(N$5,'4. Billing Determinants'!$B$19:$N$41,8,0)/'4. Billing Determinants'!$I$41*$D8, VLOOKUP(N$5,'4. Billing Determinants'!$B$19:$N$41,3,0)/'4. Billing Determinants'!$D$41*$D8)))))</f>
        <v>0</v>
      </c>
      <c r="O8" s="150">
        <f>IF(O$5="",0,IF($E8="kWh",VLOOKUP(O$5,'4. Billing Determinants'!$B$19:$N$41,4,0)/'4. Billing Determinants'!$E$41*$D8,IF($E8="kW",VLOOKUP(O$5,'4. Billing Determinants'!$B$19:$N$41,5,0)/'4. Billing Determinants'!$F$41*$D8,IF($E8="Non-RPP kWh",VLOOKUP(O$5,'4. Billing Determinants'!$B$19:$N$41,6,0)/'4. Billing Determinants'!$G$41*$D8,IF($E8="Distribution Rev.",VLOOKUP(O$5,'4. Billing Determinants'!$B$19:$N$41,8,0)/'4. Billing Determinants'!$I$41*$D8, VLOOKUP(O$5,'4. Billing Determinants'!$B$19:$N$41,3,0)/'4. Billing Determinants'!$D$41*$D8)))))</f>
        <v>0</v>
      </c>
      <c r="P8" s="150">
        <f>IF(P$5="",0,IF($E8="kWh",VLOOKUP(P$5,'4. Billing Determinants'!$B$19:$N$41,4,0)/'4. Billing Determinants'!$E$41*$D8,IF($E8="kW",VLOOKUP(P$5,'4. Billing Determinants'!$B$19:$N$41,5,0)/'4. Billing Determinants'!$F$41*$D8,IF($E8="Non-RPP kWh",VLOOKUP(P$5,'4. Billing Determinants'!$B$19:$N$41,6,0)/'4. Billing Determinants'!$G$41*$D8,IF($E8="Distribution Rev.",VLOOKUP(P$5,'4. Billing Determinants'!$B$19:$N$41,8,0)/'4. Billing Determinants'!$I$41*$D8, VLOOKUP(P$5,'4. Billing Determinants'!$B$19:$N$41,3,0)/'4. Billing Determinants'!$D$41*$D8)))))</f>
        <v>0</v>
      </c>
      <c r="Q8" s="150">
        <f>IF(Q$5="",0,IF($E8="kWh",VLOOKUP(Q$5,'4. Billing Determinants'!$B$19:$N$41,4,0)/'4. Billing Determinants'!$E$41*$D8,IF($E8="kW",VLOOKUP(Q$5,'4. Billing Determinants'!$B$19:$N$41,5,0)/'4. Billing Determinants'!$F$41*$D8,IF($E8="Non-RPP kWh",VLOOKUP(Q$5,'4. Billing Determinants'!$B$19:$N$41,6,0)/'4. Billing Determinants'!$G$41*$D8,IF($E8="Distribution Rev.",VLOOKUP(Q$5,'4. Billing Determinants'!$B$19:$N$41,8,0)/'4. Billing Determinants'!$I$41*$D8, VLOOKUP(Q$5,'4. Billing Determinants'!$B$19:$N$41,3,0)/'4. Billing Determinants'!$D$41*$D8)))))</f>
        <v>0</v>
      </c>
      <c r="R8" s="150">
        <f>IF(R$5="",0,IF($E8="kWh",VLOOKUP(R$5,'4. Billing Determinants'!$B$19:$N$41,4,0)/'4. Billing Determinants'!$E$41*$D8,IF($E8="kW",VLOOKUP(R$5,'4. Billing Determinants'!$B$19:$N$41,5,0)/'4. Billing Determinants'!$F$41*$D8,IF($E8="Non-RPP kWh",VLOOKUP(R$5,'4. Billing Determinants'!$B$19:$N$41,6,0)/'4. Billing Determinants'!$G$41*$D8,IF($E8="Distribution Rev.",VLOOKUP(R$5,'4. Billing Determinants'!$B$19:$N$41,8,0)/'4. Billing Determinants'!$I$41*$D8, VLOOKUP(R$5,'4. Billing Determinants'!$B$19:$N$41,3,0)/'4. Billing Determinants'!$D$41*$D8)))))</f>
        <v>0</v>
      </c>
      <c r="S8" s="150">
        <f>IF(S$5="",0,IF($E8="kWh",VLOOKUP(S$5,'4. Billing Determinants'!$B$19:$N$41,4,0)/'4. Billing Determinants'!$E$41*$D8,IF($E8="kW",VLOOKUP(S$5,'4. Billing Determinants'!$B$19:$N$41,5,0)/'4. Billing Determinants'!$F$41*$D8,IF($E8="Non-RPP kWh",VLOOKUP(S$5,'4. Billing Determinants'!$B$19:$N$41,6,0)/'4. Billing Determinants'!$G$41*$D8,IF($E8="Distribution Rev.",VLOOKUP(S$5,'4. Billing Determinants'!$B$19:$N$41,8,0)/'4. Billing Determinants'!$I$41*$D8, VLOOKUP(S$5,'4. Billing Determinants'!$B$19:$N$41,3,0)/'4. Billing Determinants'!$D$41*$D8)))))</f>
        <v>0</v>
      </c>
      <c r="T8" s="150">
        <f>IF(T$5="",0,IF($E8="kWh",VLOOKUP(T$5,'4. Billing Determinants'!$B$19:$N$41,4,0)/'4. Billing Determinants'!$E$41*$D8,IF($E8="kW",VLOOKUP(T$5,'4. Billing Determinants'!$B$19:$N$41,5,0)/'4. Billing Determinants'!$F$41*$D8,IF($E8="Non-RPP kWh",VLOOKUP(T$5,'4. Billing Determinants'!$B$19:$N$41,6,0)/'4. Billing Determinants'!$G$41*$D8,IF($E8="Distribution Rev.",VLOOKUP(T$5,'4. Billing Determinants'!$B$19:$N$41,8,0)/'4. Billing Determinants'!$I$41*$D8, VLOOKUP(T$5,'4. Billing Determinants'!$B$19:$N$41,3,0)/'4. Billing Determinants'!$D$41*$D8)))))</f>
        <v>0</v>
      </c>
      <c r="U8" s="150">
        <f>IF(U$5="",0,IF($E8="kWh",VLOOKUP(U$5,'4. Billing Determinants'!$B$19:$N$41,4,0)/'4. Billing Determinants'!$E$41*$D8,IF($E8="kW",VLOOKUP(U$5,'4. Billing Determinants'!$B$19:$N$41,5,0)/'4. Billing Determinants'!$F$41*$D8,IF($E8="Non-RPP kWh",VLOOKUP(U$5,'4. Billing Determinants'!$B$19:$N$41,6,0)/'4. Billing Determinants'!$G$41*$D8,IF($E8="Distribution Rev.",VLOOKUP(U$5,'4. Billing Determinants'!$B$19:$N$41,8,0)/'4. Billing Determinants'!$I$41*$D8, VLOOKUP(U$5,'4. Billing Determinants'!$B$19:$N$41,3,0)/'4. Billing Determinants'!$D$41*$D8)))))</f>
        <v>0</v>
      </c>
      <c r="V8" s="150">
        <f>IF(V$5="",0,IF($E8="kWh",VLOOKUP(V$5,'4. Billing Determinants'!$B$19:$N$41,4,0)/'4. Billing Determinants'!$E$41*$D8,IF($E8="kW",VLOOKUP(V$5,'4. Billing Determinants'!$B$19:$N$41,5,0)/'4. Billing Determinants'!$F$41*$D8,IF($E8="Non-RPP kWh",VLOOKUP(V$5,'4. Billing Determinants'!$B$19:$N$41,6,0)/'4. Billing Determinants'!$G$41*$D8,IF($E8="Distribution Rev.",VLOOKUP(V$5,'4. Billing Determinants'!$B$19:$N$41,8,0)/'4. Billing Determinants'!$I$41*$D8, VLOOKUP(V$5,'4. Billing Determinants'!$B$19:$N$41,3,0)/'4. Billing Determinants'!$D$41*$D8)))))</f>
        <v>0</v>
      </c>
      <c r="W8" s="150">
        <f>IF(W$5="",0,IF($E8="kWh",VLOOKUP(W$5,'4. Billing Determinants'!$B$19:$N$41,4,0)/'4. Billing Determinants'!$E$41*$D8,IF($E8="kW",VLOOKUP(W$5,'4. Billing Determinants'!$B$19:$N$41,5,0)/'4. Billing Determinants'!$F$41*$D8,IF($E8="Non-RPP kWh",VLOOKUP(W$5,'4. Billing Determinants'!$B$19:$N$41,6,0)/'4. Billing Determinants'!$G$41*$D8,IF($E8="Distribution Rev.",VLOOKUP(W$5,'4. Billing Determinants'!$B$19:$N$41,8,0)/'4. Billing Determinants'!$I$41*$D8, VLOOKUP(W$5,'4. Billing Determinants'!$B$19:$N$41,3,0)/'4. Billing Determinants'!$D$41*$D8)))))</f>
        <v>0</v>
      </c>
      <c r="X8" s="150">
        <f>IF(X$5="",0,IF($E8="kWh",VLOOKUP(X$5,'4. Billing Determinants'!$B$19:$N$41,4,0)/'4. Billing Determinants'!$E$41*$D8,IF($E8="kW",VLOOKUP(X$5,'4. Billing Determinants'!$B$19:$N$41,5,0)/'4. Billing Determinants'!$F$41*$D8,IF($E8="Non-RPP kWh",VLOOKUP(X$5,'4. Billing Determinants'!$B$19:$N$41,6,0)/'4. Billing Determinants'!$G$41*$D8,IF($E8="Distribution Rev.",VLOOKUP(X$5,'4. Billing Determinants'!$B$19:$N$41,8,0)/'4. Billing Determinants'!$I$41*$D8, VLOOKUP(X$5,'4. Billing Determinants'!$B$19:$N$41,3,0)/'4. Billing Determinants'!$D$41*$D8)))))</f>
        <v>0</v>
      </c>
      <c r="Y8" s="150">
        <f>IF(Y$5="",0,IF($E8="kWh",VLOOKUP(Y$5,'4. Billing Determinants'!$B$19:$N$41,4,0)/'4. Billing Determinants'!$E$41*$D8,IF($E8="kW",VLOOKUP(Y$5,'4. Billing Determinants'!$B$19:$N$41,5,0)/'4. Billing Determinants'!$F$41*$D8,IF($E8="Non-RPP kWh",VLOOKUP(Y$5,'4. Billing Determinants'!$B$19:$N$41,6,0)/'4. Billing Determinants'!$G$41*$D8,IF($E8="Distribution Rev.",VLOOKUP(Y$5,'4. Billing Determinants'!$B$19:$N$41,8,0)/'4. Billing Determinants'!$I$41*$D8, VLOOKUP(Y$5,'4. Billing Determinants'!$B$19:$N$41,3,0)/'4. Billing Determinants'!$D$41*$D8)))))</f>
        <v>0</v>
      </c>
    </row>
    <row r="9" spans="2:25" x14ac:dyDescent="0.2">
      <c r="B9" s="152" t="s">
        <v>3</v>
      </c>
      <c r="C9" s="149">
        <v>1586</v>
      </c>
      <c r="D9" s="211">
        <f>'2. 2013 Continuity Schedule'!CF27</f>
        <v>-436592.257728</v>
      </c>
      <c r="E9" s="235" t="s">
        <v>186</v>
      </c>
      <c r="F9" s="211">
        <f>IF(F$5="",0,IF($E9="kWh",VLOOKUP(F$5,'4. Billing Determinants'!$B$19:$N$41,4,0)/'4. Billing Determinants'!$E$41*$D9,IF($E9="kW",VLOOKUP(F$5,'4. Billing Determinants'!$B$19:$N$41,5,0)/'4. Billing Determinants'!$F$41*$D9,IF($E9="Non-RPP kWh",VLOOKUP(F$5,'4. Billing Determinants'!$B$19:$N$41,6,0)/'4. Billing Determinants'!$G$41*$D9,IF($E9="Distribution Rev.",VLOOKUP(F$5,'4. Billing Determinants'!$B$19:$N$41,8,0)/'4. Billing Determinants'!$I$41*$D9, VLOOKUP(F$5,'4. Billing Determinants'!$B$19:$N$41,3,0)/'4. Billing Determinants'!$D$41*$D9)))))</f>
        <v>-154223.09404126211</v>
      </c>
      <c r="G9" s="211">
        <f>IF(G$5="",0,IF($E9="kWh",VLOOKUP(G$5,'4. Billing Determinants'!$B$19:$N$41,4,0)/'4. Billing Determinants'!$E$41*$D9,IF($E9="kW",VLOOKUP(G$5,'4. Billing Determinants'!$B$19:$N$41,5,0)/'4. Billing Determinants'!$F$41*$D9,IF($E9="Non-RPP kWh",VLOOKUP(G$5,'4. Billing Determinants'!$B$19:$N$41,6,0)/'4. Billing Determinants'!$G$41*$D9,IF($E9="Distribution Rev.",VLOOKUP(G$5,'4. Billing Determinants'!$B$19:$N$41,8,0)/'4. Billing Determinants'!$I$41*$D9, VLOOKUP(G$5,'4. Billing Determinants'!$B$19:$N$41,3,0)/'4. Billing Determinants'!$D$41*$D9)))))</f>
        <v>-61863.398457068317</v>
      </c>
      <c r="H9" s="211">
        <f>IF(H$5="",0,IF($E9="kWh",VLOOKUP(H$5,'4. Billing Determinants'!$B$19:$N$41,4,0)/'4. Billing Determinants'!$E$41*$D9,IF($E9="kW",VLOOKUP(H$5,'4. Billing Determinants'!$B$19:$N$41,5,0)/'4. Billing Determinants'!$F$41*$D9,IF($E9="Non-RPP kWh",VLOOKUP(H$5,'4. Billing Determinants'!$B$19:$N$41,6,0)/'4. Billing Determinants'!$G$41*$D9,IF($E9="Distribution Rev.",VLOOKUP(H$5,'4. Billing Determinants'!$B$19:$N$41,8,0)/'4. Billing Determinants'!$I$41*$D9, VLOOKUP(H$5,'4. Billing Determinants'!$B$19:$N$41,3,0)/'4. Billing Determinants'!$D$41*$D9)))))</f>
        <v>-131328.01954398755</v>
      </c>
      <c r="I9" s="211">
        <f>IF(I$5="",0,IF($E9="kWh",VLOOKUP(I$5,'4. Billing Determinants'!$B$19:$N$41,4,0)/'4. Billing Determinants'!$E$41*$D9,IF($E9="kW",VLOOKUP(I$5,'4. Billing Determinants'!$B$19:$N$41,5,0)/'4. Billing Determinants'!$F$41*$D9,IF($E9="Non-RPP kWh",VLOOKUP(I$5,'4. Billing Determinants'!$B$19:$N$41,6,0)/'4. Billing Determinants'!$G$41*$D9,IF($E9="Distribution Rev.",VLOOKUP(I$5,'4. Billing Determinants'!$B$19:$N$41,8,0)/'4. Billing Determinants'!$I$41*$D9, VLOOKUP(I$5,'4. Billing Determinants'!$B$19:$N$41,3,0)/'4. Billing Determinants'!$D$41*$D9)))))</f>
        <v>-83090.731941791135</v>
      </c>
      <c r="J9" s="211">
        <f>IF(J$5="",0,IF($E9="kWh",VLOOKUP(J$5,'4. Billing Determinants'!$B$19:$N$41,4,0)/'4. Billing Determinants'!$E$41*$D9,IF($E9="kW",VLOOKUP(J$5,'4. Billing Determinants'!$B$19:$N$41,5,0)/'4. Billing Determinants'!$F$41*$D9,IF($E9="Non-RPP kWh",VLOOKUP(J$5,'4. Billing Determinants'!$B$19:$N$41,6,0)/'4. Billing Determinants'!$G$41*$D9,IF($E9="Distribution Rev.",VLOOKUP(J$5,'4. Billing Determinants'!$B$19:$N$41,8,0)/'4. Billing Determinants'!$I$41*$D9, VLOOKUP(J$5,'4. Billing Determinants'!$B$19:$N$41,3,0)/'4. Billing Determinants'!$D$41*$D9)))))</f>
        <v>-897.28019512958974</v>
      </c>
      <c r="K9" s="211">
        <f>IF(K$5="",0,IF($E9="kWh",VLOOKUP(K$5,'4. Billing Determinants'!$B$19:$N$41,4,0)/'4. Billing Determinants'!$E$41*$D9,IF($E9="kW",VLOOKUP(K$5,'4. Billing Determinants'!$B$19:$N$41,5,0)/'4. Billing Determinants'!$F$41*$D9,IF($E9="Non-RPP kWh",VLOOKUP(K$5,'4. Billing Determinants'!$B$19:$N$41,6,0)/'4. Billing Determinants'!$G$41*$D9,IF($E9="Distribution Rev.",VLOOKUP(K$5,'4. Billing Determinants'!$B$19:$N$41,8,0)/'4. Billing Determinants'!$I$41*$D9, VLOOKUP(K$5,'4. Billing Determinants'!$B$19:$N$41,3,0)/'4. Billing Determinants'!$D$41*$D9)))))</f>
        <v>-56.41674189158234</v>
      </c>
      <c r="L9" s="211">
        <f>IF(L$5="",0,IF($E9="kWh",VLOOKUP(L$5,'4. Billing Determinants'!$B$19:$N$41,4,0)/'4. Billing Determinants'!$E$41*$D9,IF($E9="kW",VLOOKUP(L$5,'4. Billing Determinants'!$B$19:$N$41,5,0)/'4. Billing Determinants'!$F$41*$D9,IF($E9="Non-RPP kWh",VLOOKUP(L$5,'4. Billing Determinants'!$B$19:$N$41,6,0)/'4. Billing Determinants'!$G$41*$D9,IF($E9="Distribution Rev.",VLOOKUP(L$5,'4. Billing Determinants'!$B$19:$N$41,8,0)/'4. Billing Determinants'!$I$41*$D9, VLOOKUP(L$5,'4. Billing Determinants'!$B$19:$N$41,3,0)/'4. Billing Determinants'!$D$41*$D9)))))</f>
        <v>-5133.3168068696832</v>
      </c>
      <c r="M9" s="150">
        <f>IF(M$5="",0,IF($E9="kWh",VLOOKUP(M$5,'4. Billing Determinants'!$B$19:$N$41,4,0)/'4. Billing Determinants'!$E$41*$D9,IF($E9="kW",VLOOKUP(M$5,'4. Billing Determinants'!$B$19:$N$41,5,0)/'4. Billing Determinants'!$F$41*$D9,IF($E9="Non-RPP kWh",VLOOKUP(M$5,'4. Billing Determinants'!$B$19:$N$41,6,0)/'4. Billing Determinants'!$G$41*$D9,IF($E9="Distribution Rev.",VLOOKUP(M$5,'4. Billing Determinants'!$B$19:$N$41,8,0)/'4. Billing Determinants'!$I$41*$D9, VLOOKUP(M$5,'4. Billing Determinants'!$B$19:$N$41,3,0)/'4. Billing Determinants'!$D$41*$D9)))))</f>
        <v>0</v>
      </c>
      <c r="N9" s="150">
        <f>IF(N$5="",0,IF($E9="kWh",VLOOKUP(N$5,'4. Billing Determinants'!$B$19:$N$41,4,0)/'4. Billing Determinants'!$E$41*$D9,IF($E9="kW",VLOOKUP(N$5,'4. Billing Determinants'!$B$19:$N$41,5,0)/'4. Billing Determinants'!$F$41*$D9,IF($E9="Non-RPP kWh",VLOOKUP(N$5,'4. Billing Determinants'!$B$19:$N$41,6,0)/'4. Billing Determinants'!$G$41*$D9,IF($E9="Distribution Rev.",VLOOKUP(N$5,'4. Billing Determinants'!$B$19:$N$41,8,0)/'4. Billing Determinants'!$I$41*$D9, VLOOKUP(N$5,'4. Billing Determinants'!$B$19:$N$41,3,0)/'4. Billing Determinants'!$D$41*$D9)))))</f>
        <v>0</v>
      </c>
      <c r="O9" s="150">
        <f>IF(O$5="",0,IF($E9="kWh",VLOOKUP(O$5,'4. Billing Determinants'!$B$19:$N$41,4,0)/'4. Billing Determinants'!$E$41*$D9,IF($E9="kW",VLOOKUP(O$5,'4. Billing Determinants'!$B$19:$N$41,5,0)/'4. Billing Determinants'!$F$41*$D9,IF($E9="Non-RPP kWh",VLOOKUP(O$5,'4. Billing Determinants'!$B$19:$N$41,6,0)/'4. Billing Determinants'!$G$41*$D9,IF($E9="Distribution Rev.",VLOOKUP(O$5,'4. Billing Determinants'!$B$19:$N$41,8,0)/'4. Billing Determinants'!$I$41*$D9, VLOOKUP(O$5,'4. Billing Determinants'!$B$19:$N$41,3,0)/'4. Billing Determinants'!$D$41*$D9)))))</f>
        <v>0</v>
      </c>
      <c r="P9" s="150">
        <f>IF(P$5="",0,IF($E9="kWh",VLOOKUP(P$5,'4. Billing Determinants'!$B$19:$N$41,4,0)/'4. Billing Determinants'!$E$41*$D9,IF($E9="kW",VLOOKUP(P$5,'4. Billing Determinants'!$B$19:$N$41,5,0)/'4. Billing Determinants'!$F$41*$D9,IF($E9="Non-RPP kWh",VLOOKUP(P$5,'4. Billing Determinants'!$B$19:$N$41,6,0)/'4. Billing Determinants'!$G$41*$D9,IF($E9="Distribution Rev.",VLOOKUP(P$5,'4. Billing Determinants'!$B$19:$N$41,8,0)/'4. Billing Determinants'!$I$41*$D9, VLOOKUP(P$5,'4. Billing Determinants'!$B$19:$N$41,3,0)/'4. Billing Determinants'!$D$41*$D9)))))</f>
        <v>0</v>
      </c>
      <c r="Q9" s="150">
        <f>IF(Q$5="",0,IF($E9="kWh",VLOOKUP(Q$5,'4. Billing Determinants'!$B$19:$N$41,4,0)/'4. Billing Determinants'!$E$41*$D9,IF($E9="kW",VLOOKUP(Q$5,'4. Billing Determinants'!$B$19:$N$41,5,0)/'4. Billing Determinants'!$F$41*$D9,IF($E9="Non-RPP kWh",VLOOKUP(Q$5,'4. Billing Determinants'!$B$19:$N$41,6,0)/'4. Billing Determinants'!$G$41*$D9,IF($E9="Distribution Rev.",VLOOKUP(Q$5,'4. Billing Determinants'!$B$19:$N$41,8,0)/'4. Billing Determinants'!$I$41*$D9, VLOOKUP(Q$5,'4. Billing Determinants'!$B$19:$N$41,3,0)/'4. Billing Determinants'!$D$41*$D9)))))</f>
        <v>0</v>
      </c>
      <c r="R9" s="150">
        <f>IF(R$5="",0,IF($E9="kWh",VLOOKUP(R$5,'4. Billing Determinants'!$B$19:$N$41,4,0)/'4. Billing Determinants'!$E$41*$D9,IF($E9="kW",VLOOKUP(R$5,'4. Billing Determinants'!$B$19:$N$41,5,0)/'4. Billing Determinants'!$F$41*$D9,IF($E9="Non-RPP kWh",VLOOKUP(R$5,'4. Billing Determinants'!$B$19:$N$41,6,0)/'4. Billing Determinants'!$G$41*$D9,IF($E9="Distribution Rev.",VLOOKUP(R$5,'4. Billing Determinants'!$B$19:$N$41,8,0)/'4. Billing Determinants'!$I$41*$D9, VLOOKUP(R$5,'4. Billing Determinants'!$B$19:$N$41,3,0)/'4. Billing Determinants'!$D$41*$D9)))))</f>
        <v>0</v>
      </c>
      <c r="S9" s="150">
        <f>IF(S$5="",0,IF($E9="kWh",VLOOKUP(S$5,'4. Billing Determinants'!$B$19:$N$41,4,0)/'4. Billing Determinants'!$E$41*$D9,IF($E9="kW",VLOOKUP(S$5,'4. Billing Determinants'!$B$19:$N$41,5,0)/'4. Billing Determinants'!$F$41*$D9,IF($E9="Non-RPP kWh",VLOOKUP(S$5,'4. Billing Determinants'!$B$19:$N$41,6,0)/'4. Billing Determinants'!$G$41*$D9,IF($E9="Distribution Rev.",VLOOKUP(S$5,'4. Billing Determinants'!$B$19:$N$41,8,0)/'4. Billing Determinants'!$I$41*$D9, VLOOKUP(S$5,'4. Billing Determinants'!$B$19:$N$41,3,0)/'4. Billing Determinants'!$D$41*$D9)))))</f>
        <v>0</v>
      </c>
      <c r="T9" s="150">
        <f>IF(T$5="",0,IF($E9="kWh",VLOOKUP(T$5,'4. Billing Determinants'!$B$19:$N$41,4,0)/'4. Billing Determinants'!$E$41*$D9,IF($E9="kW",VLOOKUP(T$5,'4. Billing Determinants'!$B$19:$N$41,5,0)/'4. Billing Determinants'!$F$41*$D9,IF($E9="Non-RPP kWh",VLOOKUP(T$5,'4. Billing Determinants'!$B$19:$N$41,6,0)/'4. Billing Determinants'!$G$41*$D9,IF($E9="Distribution Rev.",VLOOKUP(T$5,'4. Billing Determinants'!$B$19:$N$41,8,0)/'4. Billing Determinants'!$I$41*$D9, VLOOKUP(T$5,'4. Billing Determinants'!$B$19:$N$41,3,0)/'4. Billing Determinants'!$D$41*$D9)))))</f>
        <v>0</v>
      </c>
      <c r="U9" s="150">
        <f>IF(U$5="",0,IF($E9="kWh",VLOOKUP(U$5,'4. Billing Determinants'!$B$19:$N$41,4,0)/'4. Billing Determinants'!$E$41*$D9,IF($E9="kW",VLOOKUP(U$5,'4. Billing Determinants'!$B$19:$N$41,5,0)/'4. Billing Determinants'!$F$41*$D9,IF($E9="Non-RPP kWh",VLOOKUP(U$5,'4. Billing Determinants'!$B$19:$N$41,6,0)/'4. Billing Determinants'!$G$41*$D9,IF($E9="Distribution Rev.",VLOOKUP(U$5,'4. Billing Determinants'!$B$19:$N$41,8,0)/'4. Billing Determinants'!$I$41*$D9, VLOOKUP(U$5,'4. Billing Determinants'!$B$19:$N$41,3,0)/'4. Billing Determinants'!$D$41*$D9)))))</f>
        <v>0</v>
      </c>
      <c r="V9" s="150">
        <f>IF(V$5="",0,IF($E9="kWh",VLOOKUP(V$5,'4. Billing Determinants'!$B$19:$N$41,4,0)/'4. Billing Determinants'!$E$41*$D9,IF($E9="kW",VLOOKUP(V$5,'4. Billing Determinants'!$B$19:$N$41,5,0)/'4. Billing Determinants'!$F$41*$D9,IF($E9="Non-RPP kWh",VLOOKUP(V$5,'4. Billing Determinants'!$B$19:$N$41,6,0)/'4. Billing Determinants'!$G$41*$D9,IF($E9="Distribution Rev.",VLOOKUP(V$5,'4. Billing Determinants'!$B$19:$N$41,8,0)/'4. Billing Determinants'!$I$41*$D9, VLOOKUP(V$5,'4. Billing Determinants'!$B$19:$N$41,3,0)/'4. Billing Determinants'!$D$41*$D9)))))</f>
        <v>0</v>
      </c>
      <c r="W9" s="150">
        <f>IF(W$5="",0,IF($E9="kWh",VLOOKUP(W$5,'4. Billing Determinants'!$B$19:$N$41,4,0)/'4. Billing Determinants'!$E$41*$D9,IF($E9="kW",VLOOKUP(W$5,'4. Billing Determinants'!$B$19:$N$41,5,0)/'4. Billing Determinants'!$F$41*$D9,IF($E9="Non-RPP kWh",VLOOKUP(W$5,'4. Billing Determinants'!$B$19:$N$41,6,0)/'4. Billing Determinants'!$G$41*$D9,IF($E9="Distribution Rev.",VLOOKUP(W$5,'4. Billing Determinants'!$B$19:$N$41,8,0)/'4. Billing Determinants'!$I$41*$D9, VLOOKUP(W$5,'4. Billing Determinants'!$B$19:$N$41,3,0)/'4. Billing Determinants'!$D$41*$D9)))))</f>
        <v>0</v>
      </c>
      <c r="X9" s="150">
        <f>IF(X$5="",0,IF($E9="kWh",VLOOKUP(X$5,'4. Billing Determinants'!$B$19:$N$41,4,0)/'4. Billing Determinants'!$E$41*$D9,IF($E9="kW",VLOOKUP(X$5,'4. Billing Determinants'!$B$19:$N$41,5,0)/'4. Billing Determinants'!$F$41*$D9,IF($E9="Non-RPP kWh",VLOOKUP(X$5,'4. Billing Determinants'!$B$19:$N$41,6,0)/'4. Billing Determinants'!$G$41*$D9,IF($E9="Distribution Rev.",VLOOKUP(X$5,'4. Billing Determinants'!$B$19:$N$41,8,0)/'4. Billing Determinants'!$I$41*$D9, VLOOKUP(X$5,'4. Billing Determinants'!$B$19:$N$41,3,0)/'4. Billing Determinants'!$D$41*$D9)))))</f>
        <v>0</v>
      </c>
      <c r="Y9" s="150">
        <f>IF(Y$5="",0,IF($E9="kWh",VLOOKUP(Y$5,'4. Billing Determinants'!$B$19:$N$41,4,0)/'4. Billing Determinants'!$E$41*$D9,IF($E9="kW",VLOOKUP(Y$5,'4. Billing Determinants'!$B$19:$N$41,5,0)/'4. Billing Determinants'!$F$41*$D9,IF($E9="Non-RPP kWh",VLOOKUP(Y$5,'4. Billing Determinants'!$B$19:$N$41,6,0)/'4. Billing Determinants'!$G$41*$D9,IF($E9="Distribution Rev.",VLOOKUP(Y$5,'4. Billing Determinants'!$B$19:$N$41,8,0)/'4. Billing Determinants'!$I$41*$D9, VLOOKUP(Y$5,'4. Billing Determinants'!$B$19:$N$41,3,0)/'4. Billing Determinants'!$D$41*$D9)))))</f>
        <v>0</v>
      </c>
    </row>
    <row r="10" spans="2:25" x14ac:dyDescent="0.2">
      <c r="B10" s="152" t="s">
        <v>138</v>
      </c>
      <c r="C10" s="149">
        <v>1588</v>
      </c>
      <c r="D10" s="211">
        <f>'2. 2013 Continuity Schedule'!CF28</f>
        <v>-1203458.5995959998</v>
      </c>
      <c r="E10" s="235" t="s">
        <v>186</v>
      </c>
      <c r="F10" s="211">
        <f>IF(F$5="",0,IF($E10="kWh",VLOOKUP(F$5,'4. Billing Determinants'!$B$19:$N$41,4,0)/'4. Billing Determinants'!$E$41*$D10,IF($E10="kW",VLOOKUP(F$5,'4. Billing Determinants'!$B$19:$N$41,5,0)/'4. Billing Determinants'!$F$41*$D10,IF($E10="Non-RPP kWh",VLOOKUP(F$5,'4. Billing Determinants'!$B$19:$N$41,6,0)/'4. Billing Determinants'!$G$41*$D10,IF($E10="Distribution Rev.",VLOOKUP(F$5,'4. Billing Determinants'!$B$19:$N$41,8,0)/'4. Billing Determinants'!$I$41*$D10, VLOOKUP(F$5,'4. Billing Determinants'!$B$19:$N$41,3,0)/'4. Billing Determinants'!$D$41*$D10)))))</f>
        <v>-425113.14732450031</v>
      </c>
      <c r="G10" s="211">
        <f>IF(G$5="",0,IF($E10="kWh",VLOOKUP(G$5,'4. Billing Determinants'!$B$19:$N$41,4,0)/'4. Billing Determinants'!$E$41*$D10,IF($E10="kW",VLOOKUP(G$5,'4. Billing Determinants'!$B$19:$N$41,5,0)/'4. Billing Determinants'!$F$41*$D10,IF($E10="Non-RPP kWh",VLOOKUP(G$5,'4. Billing Determinants'!$B$19:$N$41,6,0)/'4. Billing Determinants'!$G$41*$D10,IF($E10="Distribution Rev.",VLOOKUP(G$5,'4. Billing Determinants'!$B$19:$N$41,8,0)/'4. Billing Determinants'!$I$41*$D10, VLOOKUP(G$5,'4. Billing Determinants'!$B$19:$N$41,3,0)/'4. Billing Determinants'!$D$41*$D10)))))</f>
        <v>-170525.33011195919</v>
      </c>
      <c r="H10" s="211">
        <f>IF(H$5="",0,IF($E10="kWh",VLOOKUP(H$5,'4. Billing Determinants'!$B$19:$N$41,4,0)/'4. Billing Determinants'!$E$41*$D10,IF($E10="kW",VLOOKUP(H$5,'4. Billing Determinants'!$B$19:$N$41,5,0)/'4. Billing Determinants'!$F$41*$D10,IF($E10="Non-RPP kWh",VLOOKUP(H$5,'4. Billing Determinants'!$B$19:$N$41,6,0)/'4. Billing Determinants'!$G$41*$D10,IF($E10="Distribution Rev.",VLOOKUP(H$5,'4. Billing Determinants'!$B$19:$N$41,8,0)/'4. Billing Determinants'!$I$41*$D10, VLOOKUP(H$5,'4. Billing Determinants'!$B$19:$N$41,3,0)/'4. Billing Determinants'!$D$41*$D10)))))</f>
        <v>-362003.29183709039</v>
      </c>
      <c r="I10" s="211">
        <f>IF(I$5="",0,IF($E10="kWh",VLOOKUP(I$5,'4. Billing Determinants'!$B$19:$N$41,4,0)/'4. Billing Determinants'!$E$41*$D10,IF($E10="kW",VLOOKUP(I$5,'4. Billing Determinants'!$B$19:$N$41,5,0)/'4. Billing Determinants'!$F$41*$D10,IF($E10="Non-RPP kWh",VLOOKUP(I$5,'4. Billing Determinants'!$B$19:$N$41,6,0)/'4. Billing Determinants'!$G$41*$D10,IF($E10="Distribution Rev.",VLOOKUP(I$5,'4. Billing Determinants'!$B$19:$N$41,8,0)/'4. Billing Determinants'!$I$41*$D10, VLOOKUP(I$5,'4. Billing Determinants'!$B$19:$N$41,3,0)/'4. Billing Determinants'!$D$41*$D10)))))</f>
        <v>-229038.08790025068</v>
      </c>
      <c r="J10" s="211">
        <f>IF(J$5="",0,IF($E10="kWh",VLOOKUP(J$5,'4. Billing Determinants'!$B$19:$N$41,4,0)/'4. Billing Determinants'!$E$41*$D10,IF($E10="kW",VLOOKUP(J$5,'4. Billing Determinants'!$B$19:$N$41,5,0)/'4. Billing Determinants'!$F$41*$D10,IF($E10="Non-RPP kWh",VLOOKUP(J$5,'4. Billing Determinants'!$B$19:$N$41,6,0)/'4. Billing Determinants'!$G$41*$D10,IF($E10="Distribution Rev.",VLOOKUP(J$5,'4. Billing Determinants'!$B$19:$N$41,8,0)/'4. Billing Determinants'!$I$41*$D10, VLOOKUP(J$5,'4. Billing Determinants'!$B$19:$N$41,3,0)/'4. Billing Determinants'!$D$41*$D10)))))</f>
        <v>-2473.3365009615654</v>
      </c>
      <c r="K10" s="211">
        <f>IF(K$5="",0,IF($E10="kWh",VLOOKUP(K$5,'4. Billing Determinants'!$B$19:$N$41,4,0)/'4. Billing Determinants'!$E$41*$D10,IF($E10="kW",VLOOKUP(K$5,'4. Billing Determinants'!$B$19:$N$41,5,0)/'4. Billing Determinants'!$F$41*$D10,IF($E10="Non-RPP kWh",VLOOKUP(K$5,'4. Billing Determinants'!$B$19:$N$41,6,0)/'4. Billing Determinants'!$G$41*$D10,IF($E10="Distribution Rev.",VLOOKUP(K$5,'4. Billing Determinants'!$B$19:$N$41,8,0)/'4. Billing Determinants'!$I$41*$D10, VLOOKUP(K$5,'4. Billing Determinants'!$B$19:$N$41,3,0)/'4. Billing Determinants'!$D$41*$D10)))))</f>
        <v>-155.511720578682</v>
      </c>
      <c r="L10" s="211">
        <f>IF(L$5="",0,IF($E10="kWh",VLOOKUP(L$5,'4. Billing Determinants'!$B$19:$N$41,4,0)/'4. Billing Determinants'!$E$41*$D10,IF($E10="kW",VLOOKUP(L$5,'4. Billing Determinants'!$B$19:$N$41,5,0)/'4. Billing Determinants'!$F$41*$D10,IF($E10="Non-RPP kWh",VLOOKUP(L$5,'4. Billing Determinants'!$B$19:$N$41,6,0)/'4. Billing Determinants'!$G$41*$D10,IF($E10="Distribution Rev.",VLOOKUP(L$5,'4. Billing Determinants'!$B$19:$N$41,8,0)/'4. Billing Determinants'!$I$41*$D10, VLOOKUP(L$5,'4. Billing Determinants'!$B$19:$N$41,3,0)/'4. Billing Determinants'!$D$41*$D10)))))</f>
        <v>-14149.89420065889</v>
      </c>
      <c r="M10" s="150">
        <f>IF(M$5="",0,IF($E10="kWh",VLOOKUP(M$5,'4. Billing Determinants'!$B$19:$N$41,4,0)/'4. Billing Determinants'!$E$41*$D10,IF($E10="kW",VLOOKUP(M$5,'4. Billing Determinants'!$B$19:$N$41,5,0)/'4. Billing Determinants'!$F$41*$D10,IF($E10="Non-RPP kWh",VLOOKUP(M$5,'4. Billing Determinants'!$B$19:$N$41,6,0)/'4. Billing Determinants'!$G$41*$D10,IF($E10="Distribution Rev.",VLOOKUP(M$5,'4. Billing Determinants'!$B$19:$N$41,8,0)/'4. Billing Determinants'!$I$41*$D10, VLOOKUP(M$5,'4. Billing Determinants'!$B$19:$N$41,3,0)/'4. Billing Determinants'!$D$41*$D10)))))</f>
        <v>0</v>
      </c>
      <c r="N10" s="150">
        <f>IF(N$5="",0,IF($E10="kWh",VLOOKUP(N$5,'4. Billing Determinants'!$B$19:$N$41,4,0)/'4. Billing Determinants'!$E$41*$D10,IF($E10="kW",VLOOKUP(N$5,'4. Billing Determinants'!$B$19:$N$41,5,0)/'4. Billing Determinants'!$F$41*$D10,IF($E10="Non-RPP kWh",VLOOKUP(N$5,'4. Billing Determinants'!$B$19:$N$41,6,0)/'4. Billing Determinants'!$G$41*$D10,IF($E10="Distribution Rev.",VLOOKUP(N$5,'4. Billing Determinants'!$B$19:$N$41,8,0)/'4. Billing Determinants'!$I$41*$D10, VLOOKUP(N$5,'4. Billing Determinants'!$B$19:$N$41,3,0)/'4. Billing Determinants'!$D$41*$D10)))))</f>
        <v>0</v>
      </c>
      <c r="O10" s="150">
        <f>IF(O$5="",0,IF($E10="kWh",VLOOKUP(O$5,'4. Billing Determinants'!$B$19:$N$41,4,0)/'4. Billing Determinants'!$E$41*$D10,IF($E10="kW",VLOOKUP(O$5,'4. Billing Determinants'!$B$19:$N$41,5,0)/'4. Billing Determinants'!$F$41*$D10,IF($E10="Non-RPP kWh",VLOOKUP(O$5,'4. Billing Determinants'!$B$19:$N$41,6,0)/'4. Billing Determinants'!$G$41*$D10,IF($E10="Distribution Rev.",VLOOKUP(O$5,'4. Billing Determinants'!$B$19:$N$41,8,0)/'4. Billing Determinants'!$I$41*$D10, VLOOKUP(O$5,'4. Billing Determinants'!$B$19:$N$41,3,0)/'4. Billing Determinants'!$D$41*$D10)))))</f>
        <v>0</v>
      </c>
      <c r="P10" s="150">
        <f>IF(P$5="",0,IF($E10="kWh",VLOOKUP(P$5,'4. Billing Determinants'!$B$19:$N$41,4,0)/'4. Billing Determinants'!$E$41*$D10,IF($E10="kW",VLOOKUP(P$5,'4. Billing Determinants'!$B$19:$N$41,5,0)/'4. Billing Determinants'!$F$41*$D10,IF($E10="Non-RPP kWh",VLOOKUP(P$5,'4. Billing Determinants'!$B$19:$N$41,6,0)/'4. Billing Determinants'!$G$41*$D10,IF($E10="Distribution Rev.",VLOOKUP(P$5,'4. Billing Determinants'!$B$19:$N$41,8,0)/'4. Billing Determinants'!$I$41*$D10, VLOOKUP(P$5,'4. Billing Determinants'!$B$19:$N$41,3,0)/'4. Billing Determinants'!$D$41*$D10)))))</f>
        <v>0</v>
      </c>
      <c r="Q10" s="150">
        <f>IF(Q$5="",0,IF($E10="kWh",VLOOKUP(Q$5,'4. Billing Determinants'!$B$19:$N$41,4,0)/'4. Billing Determinants'!$E$41*$D10,IF($E10="kW",VLOOKUP(Q$5,'4. Billing Determinants'!$B$19:$N$41,5,0)/'4. Billing Determinants'!$F$41*$D10,IF($E10="Non-RPP kWh",VLOOKUP(Q$5,'4. Billing Determinants'!$B$19:$N$41,6,0)/'4. Billing Determinants'!$G$41*$D10,IF($E10="Distribution Rev.",VLOOKUP(Q$5,'4. Billing Determinants'!$B$19:$N$41,8,0)/'4. Billing Determinants'!$I$41*$D10, VLOOKUP(Q$5,'4. Billing Determinants'!$B$19:$N$41,3,0)/'4. Billing Determinants'!$D$41*$D10)))))</f>
        <v>0</v>
      </c>
      <c r="R10" s="150">
        <f>IF(R$5="",0,IF($E10="kWh",VLOOKUP(R$5,'4. Billing Determinants'!$B$19:$N$41,4,0)/'4. Billing Determinants'!$E$41*$D10,IF($E10="kW",VLOOKUP(R$5,'4. Billing Determinants'!$B$19:$N$41,5,0)/'4. Billing Determinants'!$F$41*$D10,IF($E10="Non-RPP kWh",VLOOKUP(R$5,'4. Billing Determinants'!$B$19:$N$41,6,0)/'4. Billing Determinants'!$G$41*$D10,IF($E10="Distribution Rev.",VLOOKUP(R$5,'4. Billing Determinants'!$B$19:$N$41,8,0)/'4. Billing Determinants'!$I$41*$D10, VLOOKUP(R$5,'4. Billing Determinants'!$B$19:$N$41,3,0)/'4. Billing Determinants'!$D$41*$D10)))))</f>
        <v>0</v>
      </c>
      <c r="S10" s="150">
        <f>IF(S$5="",0,IF($E10="kWh",VLOOKUP(S$5,'4. Billing Determinants'!$B$19:$N$41,4,0)/'4. Billing Determinants'!$E$41*$D10,IF($E10="kW",VLOOKUP(S$5,'4. Billing Determinants'!$B$19:$N$41,5,0)/'4. Billing Determinants'!$F$41*$D10,IF($E10="Non-RPP kWh",VLOOKUP(S$5,'4. Billing Determinants'!$B$19:$N$41,6,0)/'4. Billing Determinants'!$G$41*$D10,IF($E10="Distribution Rev.",VLOOKUP(S$5,'4. Billing Determinants'!$B$19:$N$41,8,0)/'4. Billing Determinants'!$I$41*$D10, VLOOKUP(S$5,'4. Billing Determinants'!$B$19:$N$41,3,0)/'4. Billing Determinants'!$D$41*$D10)))))</f>
        <v>0</v>
      </c>
      <c r="T10" s="150">
        <f>IF(T$5="",0,IF($E10="kWh",VLOOKUP(T$5,'4. Billing Determinants'!$B$19:$N$41,4,0)/'4. Billing Determinants'!$E$41*$D10,IF($E10="kW",VLOOKUP(T$5,'4. Billing Determinants'!$B$19:$N$41,5,0)/'4. Billing Determinants'!$F$41*$D10,IF($E10="Non-RPP kWh",VLOOKUP(T$5,'4. Billing Determinants'!$B$19:$N$41,6,0)/'4. Billing Determinants'!$G$41*$D10,IF($E10="Distribution Rev.",VLOOKUP(T$5,'4. Billing Determinants'!$B$19:$N$41,8,0)/'4. Billing Determinants'!$I$41*$D10, VLOOKUP(T$5,'4. Billing Determinants'!$B$19:$N$41,3,0)/'4. Billing Determinants'!$D$41*$D10)))))</f>
        <v>0</v>
      </c>
      <c r="U10" s="150">
        <f>IF(U$5="",0,IF($E10="kWh",VLOOKUP(U$5,'4. Billing Determinants'!$B$19:$N$41,4,0)/'4. Billing Determinants'!$E$41*$D10,IF($E10="kW",VLOOKUP(U$5,'4. Billing Determinants'!$B$19:$N$41,5,0)/'4. Billing Determinants'!$F$41*$D10,IF($E10="Non-RPP kWh",VLOOKUP(U$5,'4. Billing Determinants'!$B$19:$N$41,6,0)/'4. Billing Determinants'!$G$41*$D10,IF($E10="Distribution Rev.",VLOOKUP(U$5,'4. Billing Determinants'!$B$19:$N$41,8,0)/'4. Billing Determinants'!$I$41*$D10, VLOOKUP(U$5,'4. Billing Determinants'!$B$19:$N$41,3,0)/'4. Billing Determinants'!$D$41*$D10)))))</f>
        <v>0</v>
      </c>
      <c r="V10" s="150">
        <f>IF(V$5="",0,IF($E10="kWh",VLOOKUP(V$5,'4. Billing Determinants'!$B$19:$N$41,4,0)/'4. Billing Determinants'!$E$41*$D10,IF($E10="kW",VLOOKUP(V$5,'4. Billing Determinants'!$B$19:$N$41,5,0)/'4. Billing Determinants'!$F$41*$D10,IF($E10="Non-RPP kWh",VLOOKUP(V$5,'4. Billing Determinants'!$B$19:$N$41,6,0)/'4. Billing Determinants'!$G$41*$D10,IF($E10="Distribution Rev.",VLOOKUP(V$5,'4. Billing Determinants'!$B$19:$N$41,8,0)/'4. Billing Determinants'!$I$41*$D10, VLOOKUP(V$5,'4. Billing Determinants'!$B$19:$N$41,3,0)/'4. Billing Determinants'!$D$41*$D10)))))</f>
        <v>0</v>
      </c>
      <c r="W10" s="150">
        <f>IF(W$5="",0,IF($E10="kWh",VLOOKUP(W$5,'4. Billing Determinants'!$B$19:$N$41,4,0)/'4. Billing Determinants'!$E$41*$D10,IF($E10="kW",VLOOKUP(W$5,'4. Billing Determinants'!$B$19:$N$41,5,0)/'4. Billing Determinants'!$F$41*$D10,IF($E10="Non-RPP kWh",VLOOKUP(W$5,'4. Billing Determinants'!$B$19:$N$41,6,0)/'4. Billing Determinants'!$G$41*$D10,IF($E10="Distribution Rev.",VLOOKUP(W$5,'4. Billing Determinants'!$B$19:$N$41,8,0)/'4. Billing Determinants'!$I$41*$D10, VLOOKUP(W$5,'4. Billing Determinants'!$B$19:$N$41,3,0)/'4. Billing Determinants'!$D$41*$D10)))))</f>
        <v>0</v>
      </c>
      <c r="X10" s="150">
        <f>IF(X$5="",0,IF($E10="kWh",VLOOKUP(X$5,'4. Billing Determinants'!$B$19:$N$41,4,0)/'4. Billing Determinants'!$E$41*$D10,IF($E10="kW",VLOOKUP(X$5,'4. Billing Determinants'!$B$19:$N$41,5,0)/'4. Billing Determinants'!$F$41*$D10,IF($E10="Non-RPP kWh",VLOOKUP(X$5,'4. Billing Determinants'!$B$19:$N$41,6,0)/'4. Billing Determinants'!$G$41*$D10,IF($E10="Distribution Rev.",VLOOKUP(X$5,'4. Billing Determinants'!$B$19:$N$41,8,0)/'4. Billing Determinants'!$I$41*$D10, VLOOKUP(X$5,'4. Billing Determinants'!$B$19:$N$41,3,0)/'4. Billing Determinants'!$D$41*$D10)))))</f>
        <v>0</v>
      </c>
      <c r="Y10" s="150">
        <f>IF(Y$5="",0,IF($E10="kWh",VLOOKUP(Y$5,'4. Billing Determinants'!$B$19:$N$41,4,0)/'4. Billing Determinants'!$E$41*$D10,IF($E10="kW",VLOOKUP(Y$5,'4. Billing Determinants'!$B$19:$N$41,5,0)/'4. Billing Determinants'!$F$41*$D10,IF($E10="Non-RPP kWh",VLOOKUP(Y$5,'4. Billing Determinants'!$B$19:$N$41,6,0)/'4. Billing Determinants'!$G$41*$D10,IF($E10="Distribution Rev.",VLOOKUP(Y$5,'4. Billing Determinants'!$B$19:$N$41,8,0)/'4. Billing Determinants'!$I$41*$D10, VLOOKUP(Y$5,'4. Billing Determinants'!$B$19:$N$41,3,0)/'4. Billing Determinants'!$D$41*$D10)))))</f>
        <v>0</v>
      </c>
    </row>
    <row r="11" spans="2:25" x14ac:dyDescent="0.2">
      <c r="B11" s="152" t="s">
        <v>144</v>
      </c>
      <c r="C11" s="149">
        <v>1588</v>
      </c>
      <c r="D11" s="211">
        <f>'2. 2013 Continuity Schedule'!CF29</f>
        <v>1022422.071068</v>
      </c>
      <c r="E11" s="235" t="s">
        <v>187</v>
      </c>
      <c r="F11" s="211">
        <f>IF(F$5="",0,IF($E11="kWh",VLOOKUP(F$5,'4. Billing Determinants'!$B$19:$N$41,4,0)/'4. Billing Determinants'!$E$41*$D11,IF($E11="kW",VLOOKUP(F$5,'4. Billing Determinants'!$B$19:$N$41,5,0)/'4. Billing Determinants'!$F$41*$D11,IF($E11="Non-RPP kWh",VLOOKUP(F$5,'4. Billing Determinants'!$B$19:$N$41,6,0)/'4. Billing Determinants'!$G$41*$D11,IF($E11="Distribution Rev.",VLOOKUP(F$5,'4. Billing Determinants'!$B$19:$N$41,8,0)/'4. Billing Determinants'!$I$41*$D11, VLOOKUP(F$5,'4. Billing Determinants'!$B$19:$N$41,3,0)/'4. Billing Determinants'!$D$41*$D11)))))</f>
        <v>67881.915208813822</v>
      </c>
      <c r="G11" s="211">
        <f>IF(G$5="",0,IF($E11="kWh",VLOOKUP(G$5,'4. Billing Determinants'!$B$19:$N$41,4,0)/'4. Billing Determinants'!$E$41*$D11,IF($E11="kW",VLOOKUP(G$5,'4. Billing Determinants'!$B$19:$N$41,5,0)/'4. Billing Determinants'!$F$41*$D11,IF($E11="Non-RPP kWh",VLOOKUP(G$5,'4. Billing Determinants'!$B$19:$N$41,6,0)/'4. Billing Determinants'!$G$41*$D11,IF($E11="Distribution Rev.",VLOOKUP(G$5,'4. Billing Determinants'!$B$19:$N$41,8,0)/'4. Billing Determinants'!$I$41*$D11, VLOOKUP(G$5,'4. Billing Determinants'!$B$19:$N$41,3,0)/'4. Billing Determinants'!$D$41*$D11)))))</f>
        <v>40981.356274370621</v>
      </c>
      <c r="H11" s="211">
        <f>IF(H$5="",0,IF($E11="kWh",VLOOKUP(H$5,'4. Billing Determinants'!$B$19:$N$41,4,0)/'4. Billing Determinants'!$E$41*$D11,IF($E11="kW",VLOOKUP(H$5,'4. Billing Determinants'!$B$19:$N$41,5,0)/'4. Billing Determinants'!$F$41*$D11,IF($E11="Non-RPP kWh",VLOOKUP(H$5,'4. Billing Determinants'!$B$19:$N$41,6,0)/'4. Billing Determinants'!$G$41*$D11,IF($E11="Distribution Rev.",VLOOKUP(H$5,'4. Billing Determinants'!$B$19:$N$41,8,0)/'4. Billing Determinants'!$I$41*$D11, VLOOKUP(H$5,'4. Billing Determinants'!$B$19:$N$41,3,0)/'4. Billing Determinants'!$D$41*$D11)))))</f>
        <v>508342.2910687913</v>
      </c>
      <c r="I11" s="211">
        <f>IF(I$5="",0,IF($E11="kWh",VLOOKUP(I$5,'4. Billing Determinants'!$B$19:$N$41,4,0)/'4. Billing Determinants'!$E$41*$D11,IF($E11="kW",VLOOKUP(I$5,'4. Billing Determinants'!$B$19:$N$41,5,0)/'4. Billing Determinants'!$F$41*$D11,IF($E11="Non-RPP kWh",VLOOKUP(I$5,'4. Billing Determinants'!$B$19:$N$41,6,0)/'4. Billing Determinants'!$G$41*$D11,IF($E11="Distribution Rev.",VLOOKUP(I$5,'4. Billing Determinants'!$B$19:$N$41,8,0)/'4. Billing Determinants'!$I$41*$D11, VLOOKUP(I$5,'4. Billing Determinants'!$B$19:$N$41,3,0)/'4. Billing Determinants'!$D$41*$D11)))))</f>
        <v>380914.2838807113</v>
      </c>
      <c r="J11" s="211">
        <f>IF(J$5="",0,IF($E11="kWh",VLOOKUP(J$5,'4. Billing Determinants'!$B$19:$N$41,4,0)/'4. Billing Determinants'!$E$41*$D11,IF($E11="kW",VLOOKUP(J$5,'4. Billing Determinants'!$B$19:$N$41,5,0)/'4. Billing Determinants'!$F$41*$D11,IF($E11="Non-RPP kWh",VLOOKUP(J$5,'4. Billing Determinants'!$B$19:$N$41,6,0)/'4. Billing Determinants'!$G$41*$D11,IF($E11="Distribution Rev.",VLOOKUP(J$5,'4. Billing Determinants'!$B$19:$N$41,8,0)/'4. Billing Determinants'!$I$41*$D11, VLOOKUP(J$5,'4. Billing Determinants'!$B$19:$N$41,3,0)/'4. Billing Determinants'!$D$41*$D11)))))</f>
        <v>783.83140299981085</v>
      </c>
      <c r="K11" s="211">
        <f>IF(K$5="",0,IF($E11="kWh",VLOOKUP(K$5,'4. Billing Determinants'!$B$19:$N$41,4,0)/'4. Billing Determinants'!$E$41*$D11,IF($E11="kW",VLOOKUP(K$5,'4. Billing Determinants'!$B$19:$N$41,5,0)/'4. Billing Determinants'!$F$41*$D11,IF($E11="Non-RPP kWh",VLOOKUP(K$5,'4. Billing Determinants'!$B$19:$N$41,6,0)/'4. Billing Determinants'!$G$41*$D11,IF($E11="Distribution Rev.",VLOOKUP(K$5,'4. Billing Determinants'!$B$19:$N$41,8,0)/'4. Billing Determinants'!$I$41*$D11, VLOOKUP(K$5,'4. Billing Determinants'!$B$19:$N$41,3,0)/'4. Billing Determinants'!$D$41*$D11)))))</f>
        <v>0</v>
      </c>
      <c r="L11" s="211">
        <f>IF(L$5="",0,IF($E11="kWh",VLOOKUP(L$5,'4. Billing Determinants'!$B$19:$N$41,4,0)/'4. Billing Determinants'!$E$41*$D11,IF($E11="kW",VLOOKUP(L$5,'4. Billing Determinants'!$B$19:$N$41,5,0)/'4. Billing Determinants'!$F$41*$D11,IF($E11="Non-RPP kWh",VLOOKUP(L$5,'4. Billing Determinants'!$B$19:$N$41,6,0)/'4. Billing Determinants'!$G$41*$D11,IF($E11="Distribution Rev.",VLOOKUP(L$5,'4. Billing Determinants'!$B$19:$N$41,8,0)/'4. Billing Determinants'!$I$41*$D11, VLOOKUP(L$5,'4. Billing Determinants'!$B$19:$N$41,3,0)/'4. Billing Determinants'!$D$41*$D11)))))</f>
        <v>23518.393232313203</v>
      </c>
      <c r="M11" s="150">
        <f>IF(M$5="",0,IF($E11="kWh",VLOOKUP(M$5,'4. Billing Determinants'!$B$19:$N$41,4,0)/'4. Billing Determinants'!$E$41*$D11,IF($E11="kW",VLOOKUP(M$5,'4. Billing Determinants'!$B$19:$N$41,5,0)/'4. Billing Determinants'!$F$41*$D11,IF($E11="Non-RPP kWh",VLOOKUP(M$5,'4. Billing Determinants'!$B$19:$N$41,6,0)/'4. Billing Determinants'!$G$41*$D11,IF($E11="Distribution Rev.",VLOOKUP(M$5,'4. Billing Determinants'!$B$19:$N$41,8,0)/'4. Billing Determinants'!$I$41*$D11, VLOOKUP(M$5,'4. Billing Determinants'!$B$19:$N$41,3,0)/'4. Billing Determinants'!$D$41*$D11)))))</f>
        <v>0</v>
      </c>
      <c r="N11" s="150">
        <f>IF(N$5="",0,IF($E11="kWh",VLOOKUP(N$5,'4. Billing Determinants'!$B$19:$N$41,4,0)/'4. Billing Determinants'!$E$41*$D11,IF($E11="kW",VLOOKUP(N$5,'4. Billing Determinants'!$B$19:$N$41,5,0)/'4. Billing Determinants'!$F$41*$D11,IF($E11="Non-RPP kWh",VLOOKUP(N$5,'4. Billing Determinants'!$B$19:$N$41,6,0)/'4. Billing Determinants'!$G$41*$D11,IF($E11="Distribution Rev.",VLOOKUP(N$5,'4. Billing Determinants'!$B$19:$N$41,8,0)/'4. Billing Determinants'!$I$41*$D11, VLOOKUP(N$5,'4. Billing Determinants'!$B$19:$N$41,3,0)/'4. Billing Determinants'!$D$41*$D11)))))</f>
        <v>0</v>
      </c>
      <c r="O11" s="150">
        <f>IF(O$5="",0,IF($E11="kWh",VLOOKUP(O$5,'4. Billing Determinants'!$B$19:$N$41,4,0)/'4. Billing Determinants'!$E$41*$D11,IF($E11="kW",VLOOKUP(O$5,'4. Billing Determinants'!$B$19:$N$41,5,0)/'4. Billing Determinants'!$F$41*$D11,IF($E11="Non-RPP kWh",VLOOKUP(O$5,'4. Billing Determinants'!$B$19:$N$41,6,0)/'4. Billing Determinants'!$G$41*$D11,IF($E11="Distribution Rev.",VLOOKUP(O$5,'4. Billing Determinants'!$B$19:$N$41,8,0)/'4. Billing Determinants'!$I$41*$D11, VLOOKUP(O$5,'4. Billing Determinants'!$B$19:$N$41,3,0)/'4. Billing Determinants'!$D$41*$D11)))))</f>
        <v>0</v>
      </c>
      <c r="P11" s="150">
        <f>IF(P$5="",0,IF($E11="kWh",VLOOKUP(P$5,'4. Billing Determinants'!$B$19:$N$41,4,0)/'4. Billing Determinants'!$E$41*$D11,IF($E11="kW",VLOOKUP(P$5,'4. Billing Determinants'!$B$19:$N$41,5,0)/'4. Billing Determinants'!$F$41*$D11,IF($E11="Non-RPP kWh",VLOOKUP(P$5,'4. Billing Determinants'!$B$19:$N$41,6,0)/'4. Billing Determinants'!$G$41*$D11,IF($E11="Distribution Rev.",VLOOKUP(P$5,'4. Billing Determinants'!$B$19:$N$41,8,0)/'4. Billing Determinants'!$I$41*$D11, VLOOKUP(P$5,'4. Billing Determinants'!$B$19:$N$41,3,0)/'4. Billing Determinants'!$D$41*$D11)))))</f>
        <v>0</v>
      </c>
      <c r="Q11" s="150">
        <f>IF(Q$5="",0,IF($E11="kWh",VLOOKUP(Q$5,'4. Billing Determinants'!$B$19:$N$41,4,0)/'4. Billing Determinants'!$E$41*$D11,IF($E11="kW",VLOOKUP(Q$5,'4. Billing Determinants'!$B$19:$N$41,5,0)/'4. Billing Determinants'!$F$41*$D11,IF($E11="Non-RPP kWh",VLOOKUP(Q$5,'4. Billing Determinants'!$B$19:$N$41,6,0)/'4. Billing Determinants'!$G$41*$D11,IF($E11="Distribution Rev.",VLOOKUP(Q$5,'4. Billing Determinants'!$B$19:$N$41,8,0)/'4. Billing Determinants'!$I$41*$D11, VLOOKUP(Q$5,'4. Billing Determinants'!$B$19:$N$41,3,0)/'4. Billing Determinants'!$D$41*$D11)))))</f>
        <v>0</v>
      </c>
      <c r="R11" s="150">
        <f>IF(R$5="",0,IF($E11="kWh",VLOOKUP(R$5,'4. Billing Determinants'!$B$19:$N$41,4,0)/'4. Billing Determinants'!$E$41*$D11,IF($E11="kW",VLOOKUP(R$5,'4. Billing Determinants'!$B$19:$N$41,5,0)/'4. Billing Determinants'!$F$41*$D11,IF($E11="Non-RPP kWh",VLOOKUP(R$5,'4. Billing Determinants'!$B$19:$N$41,6,0)/'4. Billing Determinants'!$G$41*$D11,IF($E11="Distribution Rev.",VLOOKUP(R$5,'4. Billing Determinants'!$B$19:$N$41,8,0)/'4. Billing Determinants'!$I$41*$D11, VLOOKUP(R$5,'4. Billing Determinants'!$B$19:$N$41,3,0)/'4. Billing Determinants'!$D$41*$D11)))))</f>
        <v>0</v>
      </c>
      <c r="S11" s="150">
        <f>IF(S$5="",0,IF($E11="kWh",VLOOKUP(S$5,'4. Billing Determinants'!$B$19:$N$41,4,0)/'4. Billing Determinants'!$E$41*$D11,IF($E11="kW",VLOOKUP(S$5,'4. Billing Determinants'!$B$19:$N$41,5,0)/'4. Billing Determinants'!$F$41*$D11,IF($E11="Non-RPP kWh",VLOOKUP(S$5,'4. Billing Determinants'!$B$19:$N$41,6,0)/'4. Billing Determinants'!$G$41*$D11,IF($E11="Distribution Rev.",VLOOKUP(S$5,'4. Billing Determinants'!$B$19:$N$41,8,0)/'4. Billing Determinants'!$I$41*$D11, VLOOKUP(S$5,'4. Billing Determinants'!$B$19:$N$41,3,0)/'4. Billing Determinants'!$D$41*$D11)))))</f>
        <v>0</v>
      </c>
      <c r="T11" s="150">
        <f>IF(T$5="",0,IF($E11="kWh",VLOOKUP(T$5,'4. Billing Determinants'!$B$19:$N$41,4,0)/'4. Billing Determinants'!$E$41*$D11,IF($E11="kW",VLOOKUP(T$5,'4. Billing Determinants'!$B$19:$N$41,5,0)/'4. Billing Determinants'!$F$41*$D11,IF($E11="Non-RPP kWh",VLOOKUP(T$5,'4. Billing Determinants'!$B$19:$N$41,6,0)/'4. Billing Determinants'!$G$41*$D11,IF($E11="Distribution Rev.",VLOOKUP(T$5,'4. Billing Determinants'!$B$19:$N$41,8,0)/'4. Billing Determinants'!$I$41*$D11, VLOOKUP(T$5,'4. Billing Determinants'!$B$19:$N$41,3,0)/'4. Billing Determinants'!$D$41*$D11)))))</f>
        <v>0</v>
      </c>
      <c r="U11" s="150">
        <f>IF(U$5="",0,IF($E11="kWh",VLOOKUP(U$5,'4. Billing Determinants'!$B$19:$N$41,4,0)/'4. Billing Determinants'!$E$41*$D11,IF($E11="kW",VLOOKUP(U$5,'4. Billing Determinants'!$B$19:$N$41,5,0)/'4. Billing Determinants'!$F$41*$D11,IF($E11="Non-RPP kWh",VLOOKUP(U$5,'4. Billing Determinants'!$B$19:$N$41,6,0)/'4. Billing Determinants'!$G$41*$D11,IF($E11="Distribution Rev.",VLOOKUP(U$5,'4. Billing Determinants'!$B$19:$N$41,8,0)/'4. Billing Determinants'!$I$41*$D11, VLOOKUP(U$5,'4. Billing Determinants'!$B$19:$N$41,3,0)/'4. Billing Determinants'!$D$41*$D11)))))</f>
        <v>0</v>
      </c>
      <c r="V11" s="150">
        <f>IF(V$5="",0,IF($E11="kWh",VLOOKUP(V$5,'4. Billing Determinants'!$B$19:$N$41,4,0)/'4. Billing Determinants'!$E$41*$D11,IF($E11="kW",VLOOKUP(V$5,'4. Billing Determinants'!$B$19:$N$41,5,0)/'4. Billing Determinants'!$F$41*$D11,IF($E11="Non-RPP kWh",VLOOKUP(V$5,'4. Billing Determinants'!$B$19:$N$41,6,0)/'4. Billing Determinants'!$G$41*$D11,IF($E11="Distribution Rev.",VLOOKUP(V$5,'4. Billing Determinants'!$B$19:$N$41,8,0)/'4. Billing Determinants'!$I$41*$D11, VLOOKUP(V$5,'4. Billing Determinants'!$B$19:$N$41,3,0)/'4. Billing Determinants'!$D$41*$D11)))))</f>
        <v>0</v>
      </c>
      <c r="W11" s="150">
        <f>IF(W$5="",0,IF($E11="kWh",VLOOKUP(W$5,'4. Billing Determinants'!$B$19:$N$41,4,0)/'4. Billing Determinants'!$E$41*$D11,IF($E11="kW",VLOOKUP(W$5,'4. Billing Determinants'!$B$19:$N$41,5,0)/'4. Billing Determinants'!$F$41*$D11,IF($E11="Non-RPP kWh",VLOOKUP(W$5,'4. Billing Determinants'!$B$19:$N$41,6,0)/'4. Billing Determinants'!$G$41*$D11,IF($E11="Distribution Rev.",VLOOKUP(W$5,'4. Billing Determinants'!$B$19:$N$41,8,0)/'4. Billing Determinants'!$I$41*$D11, VLOOKUP(W$5,'4. Billing Determinants'!$B$19:$N$41,3,0)/'4. Billing Determinants'!$D$41*$D11)))))</f>
        <v>0</v>
      </c>
      <c r="X11" s="150">
        <f>IF(X$5="",0,IF($E11="kWh",VLOOKUP(X$5,'4. Billing Determinants'!$B$19:$N$41,4,0)/'4. Billing Determinants'!$E$41*$D11,IF($E11="kW",VLOOKUP(X$5,'4. Billing Determinants'!$B$19:$N$41,5,0)/'4. Billing Determinants'!$F$41*$D11,IF($E11="Non-RPP kWh",VLOOKUP(X$5,'4. Billing Determinants'!$B$19:$N$41,6,0)/'4. Billing Determinants'!$G$41*$D11,IF($E11="Distribution Rev.",VLOOKUP(X$5,'4. Billing Determinants'!$B$19:$N$41,8,0)/'4. Billing Determinants'!$I$41*$D11, VLOOKUP(X$5,'4. Billing Determinants'!$B$19:$N$41,3,0)/'4. Billing Determinants'!$D$41*$D11)))))</f>
        <v>0</v>
      </c>
      <c r="Y11" s="150">
        <f>IF(Y$5="",0,IF($E11="kWh",VLOOKUP(Y$5,'4. Billing Determinants'!$B$19:$N$41,4,0)/'4. Billing Determinants'!$E$41*$D11,IF($E11="kW",VLOOKUP(Y$5,'4. Billing Determinants'!$B$19:$N$41,5,0)/'4. Billing Determinants'!$F$41*$D11,IF($E11="Non-RPP kWh",VLOOKUP(Y$5,'4. Billing Determinants'!$B$19:$N$41,6,0)/'4. Billing Determinants'!$G$41*$D11,IF($E11="Distribution Rev.",VLOOKUP(Y$5,'4. Billing Determinants'!$B$19:$N$41,8,0)/'4. Billing Determinants'!$I$41*$D11, VLOOKUP(Y$5,'4. Billing Determinants'!$B$19:$N$41,3,0)/'4. Billing Determinants'!$D$41*$D11)))))</f>
        <v>0</v>
      </c>
    </row>
    <row r="12" spans="2:25" x14ac:dyDescent="0.2">
      <c r="B12" s="152" t="s">
        <v>19</v>
      </c>
      <c r="C12" s="149">
        <v>1590</v>
      </c>
      <c r="D12" s="211">
        <f>'2. 2013 Continuity Schedule'!CF30</f>
        <v>11.305991999999993</v>
      </c>
      <c r="E12" s="212"/>
      <c r="F12" s="211">
        <f>D12*'4. Billing Determinants'!J21</f>
        <v>11.758231679999993</v>
      </c>
      <c r="G12" s="211">
        <f>+D12*'4. Billing Determinants'!J22</f>
        <v>3.1656777599999981</v>
      </c>
      <c r="H12" s="211">
        <f>D12*'4. Billing Determinants'!J23</f>
        <v>4.5223967999999974</v>
      </c>
      <c r="I12" s="211">
        <f>+D12*'4. Billing Determinants'!J24</f>
        <v>-7.8011344799999947</v>
      </c>
      <c r="J12" s="211">
        <f>D12*'4. Billing Determinants'!J25</f>
        <v>0</v>
      </c>
      <c r="K12" s="211">
        <f>D12*'4. Billing Determinants'!J26</f>
        <v>0</v>
      </c>
      <c r="L12" s="211">
        <f>D12*'4. Billing Determinants'!J27</f>
        <v>-0.33917975999999977</v>
      </c>
      <c r="M12" s="150">
        <f>IF(M$5="",0,IF($E12="kWh",VLOOKUP(M$5,'4. Billing Determinants'!$B$19:$N$41,4,0)/'4. Billing Determinants'!$E$41*$D12,IF($E12="kW",VLOOKUP(M$5,'4. Billing Determinants'!$B$19:$N$41,5,0)/'4. Billing Determinants'!$F$41*$D12,IF($E12="Non-RPP kWh",VLOOKUP(M$5,'4. Billing Determinants'!$B$19:$N$41,6,0)/'4. Billing Determinants'!$G$41*$D12,IF($E12="Distribution Rev.",VLOOKUP(M$5,'4. Billing Determinants'!$B$19:$N$41,8,0)/'4. Billing Determinants'!$I$41*$D12, VLOOKUP(M$5,'4. Billing Determinants'!$B$19:$N$41,3,0)/'4. Billing Determinants'!$D$41*$D12)))))</f>
        <v>0</v>
      </c>
      <c r="N12" s="150">
        <f>IF(N$5="",0,IF($E12="kWh",VLOOKUP(N$5,'4. Billing Determinants'!$B$19:$N$41,4,0)/'4. Billing Determinants'!$E$41*$D12,IF($E12="kW",VLOOKUP(N$5,'4. Billing Determinants'!$B$19:$N$41,5,0)/'4. Billing Determinants'!$F$41*$D12,IF($E12="Non-RPP kWh",VLOOKUP(N$5,'4. Billing Determinants'!$B$19:$N$41,6,0)/'4. Billing Determinants'!$G$41*$D12,IF($E12="Distribution Rev.",VLOOKUP(N$5,'4. Billing Determinants'!$B$19:$N$41,8,0)/'4. Billing Determinants'!$I$41*$D12, VLOOKUP(N$5,'4. Billing Determinants'!$B$19:$N$41,3,0)/'4. Billing Determinants'!$D$41*$D12)))))</f>
        <v>0</v>
      </c>
      <c r="O12" s="150">
        <f>IF(O$5="",0,IF($E12="kWh",VLOOKUP(O$5,'4. Billing Determinants'!$B$19:$N$41,4,0)/'4. Billing Determinants'!$E$41*$D12,IF($E12="kW",VLOOKUP(O$5,'4. Billing Determinants'!$B$19:$N$41,5,0)/'4. Billing Determinants'!$F$41*$D12,IF($E12="Non-RPP kWh",VLOOKUP(O$5,'4. Billing Determinants'!$B$19:$N$41,6,0)/'4. Billing Determinants'!$G$41*$D12,IF($E12="Distribution Rev.",VLOOKUP(O$5,'4. Billing Determinants'!$B$19:$N$41,8,0)/'4. Billing Determinants'!$I$41*$D12, VLOOKUP(O$5,'4. Billing Determinants'!$B$19:$N$41,3,0)/'4. Billing Determinants'!$D$41*$D12)))))</f>
        <v>0</v>
      </c>
      <c r="P12" s="150">
        <f>IF(P$5="",0,IF($E12="kWh",VLOOKUP(P$5,'4. Billing Determinants'!$B$19:$N$41,4,0)/'4. Billing Determinants'!$E$41*$D12,IF($E12="kW",VLOOKUP(P$5,'4. Billing Determinants'!$B$19:$N$41,5,0)/'4. Billing Determinants'!$F$41*$D12,IF($E12="Non-RPP kWh",VLOOKUP(P$5,'4. Billing Determinants'!$B$19:$N$41,6,0)/'4. Billing Determinants'!$G$41*$D12,IF($E12="Distribution Rev.",VLOOKUP(P$5,'4. Billing Determinants'!$B$19:$N$41,8,0)/'4. Billing Determinants'!$I$41*$D12, VLOOKUP(P$5,'4. Billing Determinants'!$B$19:$N$41,3,0)/'4. Billing Determinants'!$D$41*$D12)))))</f>
        <v>0</v>
      </c>
      <c r="Q12" s="150">
        <f>IF(Q$5="",0,IF($E12="kWh",VLOOKUP(Q$5,'4. Billing Determinants'!$B$19:$N$41,4,0)/'4. Billing Determinants'!$E$41*$D12,IF($E12="kW",VLOOKUP(Q$5,'4. Billing Determinants'!$B$19:$N$41,5,0)/'4. Billing Determinants'!$F$41*$D12,IF($E12="Non-RPP kWh",VLOOKUP(Q$5,'4. Billing Determinants'!$B$19:$N$41,6,0)/'4. Billing Determinants'!$G$41*$D12,IF($E12="Distribution Rev.",VLOOKUP(Q$5,'4. Billing Determinants'!$B$19:$N$41,8,0)/'4. Billing Determinants'!$I$41*$D12, VLOOKUP(Q$5,'4. Billing Determinants'!$B$19:$N$41,3,0)/'4. Billing Determinants'!$D$41*$D12)))))</f>
        <v>0</v>
      </c>
      <c r="R12" s="150">
        <f>IF(R$5="",0,IF($E12="kWh",VLOOKUP(R$5,'4. Billing Determinants'!$B$19:$N$41,4,0)/'4. Billing Determinants'!$E$41*$D12,IF($E12="kW",VLOOKUP(R$5,'4. Billing Determinants'!$B$19:$N$41,5,0)/'4. Billing Determinants'!$F$41*$D12,IF($E12="Non-RPP kWh",VLOOKUP(R$5,'4. Billing Determinants'!$B$19:$N$41,6,0)/'4. Billing Determinants'!$G$41*$D12,IF($E12="Distribution Rev.",VLOOKUP(R$5,'4. Billing Determinants'!$B$19:$N$41,8,0)/'4. Billing Determinants'!$I$41*$D12, VLOOKUP(R$5,'4. Billing Determinants'!$B$19:$N$41,3,0)/'4. Billing Determinants'!$D$41*$D12)))))</f>
        <v>0</v>
      </c>
      <c r="S12" s="150">
        <f>IF(S$5="",0,IF($E12="kWh",VLOOKUP(S$5,'4. Billing Determinants'!$B$19:$N$41,4,0)/'4. Billing Determinants'!$E$41*$D12,IF($E12="kW",VLOOKUP(S$5,'4. Billing Determinants'!$B$19:$N$41,5,0)/'4. Billing Determinants'!$F$41*$D12,IF($E12="Non-RPP kWh",VLOOKUP(S$5,'4. Billing Determinants'!$B$19:$N$41,6,0)/'4. Billing Determinants'!$G$41*$D12,IF($E12="Distribution Rev.",VLOOKUP(S$5,'4. Billing Determinants'!$B$19:$N$41,8,0)/'4. Billing Determinants'!$I$41*$D12, VLOOKUP(S$5,'4. Billing Determinants'!$B$19:$N$41,3,0)/'4. Billing Determinants'!$D$41*$D12)))))</f>
        <v>0</v>
      </c>
      <c r="T12" s="150">
        <f>IF(T$5="",0,IF($E12="kWh",VLOOKUP(T$5,'4. Billing Determinants'!$B$19:$N$41,4,0)/'4. Billing Determinants'!$E$41*$D12,IF($E12="kW",VLOOKUP(T$5,'4. Billing Determinants'!$B$19:$N$41,5,0)/'4. Billing Determinants'!$F$41*$D12,IF($E12="Non-RPP kWh",VLOOKUP(T$5,'4. Billing Determinants'!$B$19:$N$41,6,0)/'4. Billing Determinants'!$G$41*$D12,IF($E12="Distribution Rev.",VLOOKUP(T$5,'4. Billing Determinants'!$B$19:$N$41,8,0)/'4. Billing Determinants'!$I$41*$D12, VLOOKUP(T$5,'4. Billing Determinants'!$B$19:$N$41,3,0)/'4. Billing Determinants'!$D$41*$D12)))))</f>
        <v>0</v>
      </c>
      <c r="U12" s="150">
        <f>IF(U$5="",0,IF($E12="kWh",VLOOKUP(U$5,'4. Billing Determinants'!$B$19:$N$41,4,0)/'4. Billing Determinants'!$E$41*$D12,IF($E12="kW",VLOOKUP(U$5,'4. Billing Determinants'!$B$19:$N$41,5,0)/'4. Billing Determinants'!$F$41*$D12,IF($E12="Non-RPP kWh",VLOOKUP(U$5,'4. Billing Determinants'!$B$19:$N$41,6,0)/'4. Billing Determinants'!$G$41*$D12,IF($E12="Distribution Rev.",VLOOKUP(U$5,'4. Billing Determinants'!$B$19:$N$41,8,0)/'4. Billing Determinants'!$I$41*$D12, VLOOKUP(U$5,'4. Billing Determinants'!$B$19:$N$41,3,0)/'4. Billing Determinants'!$D$41*$D12)))))</f>
        <v>0</v>
      </c>
      <c r="V12" s="150">
        <f>IF(V$5="",0,IF($E12="kWh",VLOOKUP(V$5,'4. Billing Determinants'!$B$19:$N$41,4,0)/'4. Billing Determinants'!$E$41*$D12,IF($E12="kW",VLOOKUP(V$5,'4. Billing Determinants'!$B$19:$N$41,5,0)/'4. Billing Determinants'!$F$41*$D12,IF($E12="Non-RPP kWh",VLOOKUP(V$5,'4. Billing Determinants'!$B$19:$N$41,6,0)/'4. Billing Determinants'!$G$41*$D12,IF($E12="Distribution Rev.",VLOOKUP(V$5,'4. Billing Determinants'!$B$19:$N$41,8,0)/'4. Billing Determinants'!$I$41*$D12, VLOOKUP(V$5,'4. Billing Determinants'!$B$19:$N$41,3,0)/'4. Billing Determinants'!$D$41*$D12)))))</f>
        <v>0</v>
      </c>
      <c r="W12" s="150">
        <f>IF(W$5="",0,IF($E12="kWh",VLOOKUP(W$5,'4. Billing Determinants'!$B$19:$N$41,4,0)/'4. Billing Determinants'!$E$41*$D12,IF($E12="kW",VLOOKUP(W$5,'4. Billing Determinants'!$B$19:$N$41,5,0)/'4. Billing Determinants'!$F$41*$D12,IF($E12="Non-RPP kWh",VLOOKUP(W$5,'4. Billing Determinants'!$B$19:$N$41,6,0)/'4. Billing Determinants'!$G$41*$D12,IF($E12="Distribution Rev.",VLOOKUP(W$5,'4. Billing Determinants'!$B$19:$N$41,8,0)/'4. Billing Determinants'!$I$41*$D12, VLOOKUP(W$5,'4. Billing Determinants'!$B$19:$N$41,3,0)/'4. Billing Determinants'!$D$41*$D12)))))</f>
        <v>0</v>
      </c>
      <c r="X12" s="150">
        <f>IF(X$5="",0,IF($E12="kWh",VLOOKUP(X$5,'4. Billing Determinants'!$B$19:$N$41,4,0)/'4. Billing Determinants'!$E$41*$D12,IF($E12="kW",VLOOKUP(X$5,'4. Billing Determinants'!$B$19:$N$41,5,0)/'4. Billing Determinants'!$F$41*$D12,IF($E12="Non-RPP kWh",VLOOKUP(X$5,'4. Billing Determinants'!$B$19:$N$41,6,0)/'4. Billing Determinants'!$G$41*$D12,IF($E12="Distribution Rev.",VLOOKUP(X$5,'4. Billing Determinants'!$B$19:$N$41,8,0)/'4. Billing Determinants'!$I$41*$D12, VLOOKUP(X$5,'4. Billing Determinants'!$B$19:$N$41,3,0)/'4. Billing Determinants'!$D$41*$D12)))))</f>
        <v>0</v>
      </c>
      <c r="Y12" s="150">
        <f>IF(Y$5="",0,IF($E12="kWh",VLOOKUP(Y$5,'4. Billing Determinants'!$B$19:$N$41,4,0)/'4. Billing Determinants'!$E$41*$D12,IF($E12="kW",VLOOKUP(Y$5,'4. Billing Determinants'!$B$19:$N$41,5,0)/'4. Billing Determinants'!$F$41*$D12,IF($E12="Non-RPP kWh",VLOOKUP(Y$5,'4. Billing Determinants'!$B$19:$N$41,6,0)/'4. Billing Determinants'!$G$41*$D12,IF($E12="Distribution Rev.",VLOOKUP(Y$5,'4. Billing Determinants'!$B$19:$N$41,8,0)/'4. Billing Determinants'!$I$41*$D12, VLOOKUP(Y$5,'4. Billing Determinants'!$B$19:$N$41,3,0)/'4. Billing Determinants'!$D$41*$D12)))))</f>
        <v>0</v>
      </c>
    </row>
    <row r="13" spans="2:25" ht="25.5" x14ac:dyDescent="0.2">
      <c r="B13" s="191" t="s">
        <v>179</v>
      </c>
      <c r="C13" s="149">
        <v>1595</v>
      </c>
      <c r="D13" s="211">
        <f>'2. 2013 Continuity Schedule'!CF31</f>
        <v>0</v>
      </c>
      <c r="E13" s="212"/>
      <c r="F13" s="211">
        <f>IF(F$5="",0,IF($E13="kWh",VLOOKUP(F$5,'4. Billing Determinants'!$B$19:$N$41,4,0)/'4. Billing Determinants'!$E$41*$D13,IF($E13="kW",VLOOKUP(F$5,'4. Billing Determinants'!$B$19:$N$41,5,0)/'4. Billing Determinants'!$F$41*$D13,IF($E13="Non-RPP kWh",VLOOKUP(F$5,'4. Billing Determinants'!$B$19:$N$41,6,0)/'4. Billing Determinants'!$G$41*$D13,IF($E13="Distribution Rev.",VLOOKUP(F$5,'4. Billing Determinants'!$B$19:$N$41,8,0)/'4. Billing Determinants'!$I$41*$D13, VLOOKUP(F$5,'4. Billing Determinants'!$B$19:$N$41,3,0)/'4. Billing Determinants'!$D$41*$D13)))))</f>
        <v>0</v>
      </c>
      <c r="G13" s="211">
        <f>IF(G$5="",0,IF($E13="kWh",VLOOKUP(G$5,'4. Billing Determinants'!$B$19:$N$41,4,0)/'4. Billing Determinants'!$E$41*$D13,IF($E13="kW",VLOOKUP(G$5,'4. Billing Determinants'!$B$19:$N$41,5,0)/'4. Billing Determinants'!$F$41*$D13,IF($E13="Non-RPP kWh",VLOOKUP(G$5,'4. Billing Determinants'!$B$19:$N$41,6,0)/'4. Billing Determinants'!$G$41*$D13,IF($E13="Distribution Rev.",VLOOKUP(G$5,'4. Billing Determinants'!$B$19:$N$41,8,0)/'4. Billing Determinants'!$I$41*$D13, VLOOKUP(G$5,'4. Billing Determinants'!$B$19:$N$41,3,0)/'4. Billing Determinants'!$D$41*$D13)))))</f>
        <v>0</v>
      </c>
      <c r="H13" s="211">
        <f>IF(H$5="",0,IF($E13="kWh",VLOOKUP(H$5,'4. Billing Determinants'!$B$19:$N$41,4,0)/'4. Billing Determinants'!$E$41*$D13,IF($E13="kW",VLOOKUP(H$5,'4. Billing Determinants'!$B$19:$N$41,5,0)/'4. Billing Determinants'!$F$41*$D13,IF($E13="Non-RPP kWh",VLOOKUP(H$5,'4. Billing Determinants'!$B$19:$N$41,6,0)/'4. Billing Determinants'!$G$41*$D13,IF($E13="Distribution Rev.",VLOOKUP(H$5,'4. Billing Determinants'!$B$19:$N$41,8,0)/'4. Billing Determinants'!$I$41*$D13, VLOOKUP(H$5,'4. Billing Determinants'!$B$19:$N$41,3,0)/'4. Billing Determinants'!$D$41*$D13)))))</f>
        <v>0</v>
      </c>
      <c r="I13" s="211">
        <f>IF(I$5="",0,IF($E13="kWh",VLOOKUP(I$5,'4. Billing Determinants'!$B$19:$N$41,4,0)/'4. Billing Determinants'!$E$41*$D13,IF($E13="kW",VLOOKUP(I$5,'4. Billing Determinants'!$B$19:$N$41,5,0)/'4. Billing Determinants'!$F$41*$D13,IF($E13="Non-RPP kWh",VLOOKUP(I$5,'4. Billing Determinants'!$B$19:$N$41,6,0)/'4. Billing Determinants'!$G$41*$D13,IF($E13="Distribution Rev.",VLOOKUP(I$5,'4. Billing Determinants'!$B$19:$N$41,8,0)/'4. Billing Determinants'!$I$41*$D13, VLOOKUP(I$5,'4. Billing Determinants'!$B$19:$N$41,3,0)/'4. Billing Determinants'!$D$41*$D13)))))</f>
        <v>0</v>
      </c>
      <c r="J13" s="211">
        <f>IF(J$5="",0,IF($E13="kWh",VLOOKUP(J$5,'4. Billing Determinants'!$B$19:$N$41,4,0)/'4. Billing Determinants'!$E$41*$D13,IF($E13="kW",VLOOKUP(J$5,'4. Billing Determinants'!$B$19:$N$41,5,0)/'4. Billing Determinants'!$F$41*$D13,IF($E13="Non-RPP kWh",VLOOKUP(J$5,'4. Billing Determinants'!$B$19:$N$41,6,0)/'4. Billing Determinants'!$G$41*$D13,IF($E13="Distribution Rev.",VLOOKUP(J$5,'4. Billing Determinants'!$B$19:$N$41,8,0)/'4. Billing Determinants'!$I$41*$D13, VLOOKUP(J$5,'4. Billing Determinants'!$B$19:$N$41,3,0)/'4. Billing Determinants'!$D$41*$D13)))))</f>
        <v>0</v>
      </c>
      <c r="K13" s="211">
        <f>IF(K$5="",0,IF($E13="kWh",VLOOKUP(K$5,'4. Billing Determinants'!$B$19:$N$41,4,0)/'4. Billing Determinants'!$E$41*$D13,IF($E13="kW",VLOOKUP(K$5,'4. Billing Determinants'!$B$19:$N$41,5,0)/'4. Billing Determinants'!$F$41*$D13,IF($E13="Non-RPP kWh",VLOOKUP(K$5,'4. Billing Determinants'!$B$19:$N$41,6,0)/'4. Billing Determinants'!$G$41*$D13,IF($E13="Distribution Rev.",VLOOKUP(K$5,'4. Billing Determinants'!$B$19:$N$41,8,0)/'4. Billing Determinants'!$I$41*$D13, VLOOKUP(K$5,'4. Billing Determinants'!$B$19:$N$41,3,0)/'4. Billing Determinants'!$D$41*$D13)))))</f>
        <v>0</v>
      </c>
      <c r="L13" s="211">
        <f>IF(L$5="",0,IF($E13="kWh",VLOOKUP(L$5,'4. Billing Determinants'!$B$19:$N$41,4,0)/'4. Billing Determinants'!$E$41*$D13,IF($E13="kW",VLOOKUP(L$5,'4. Billing Determinants'!$B$19:$N$41,5,0)/'4. Billing Determinants'!$F$41*$D13,IF($E13="Non-RPP kWh",VLOOKUP(L$5,'4. Billing Determinants'!$B$19:$N$41,6,0)/'4. Billing Determinants'!$G$41*$D13,IF($E13="Distribution Rev.",VLOOKUP(L$5,'4. Billing Determinants'!$B$19:$N$41,8,0)/'4. Billing Determinants'!$I$41*$D13, VLOOKUP(L$5,'4. Billing Determinants'!$B$19:$N$41,3,0)/'4. Billing Determinants'!$D$41*$D13)))))</f>
        <v>0</v>
      </c>
      <c r="M13" s="150">
        <f>IF(M$5="",0,IF($E13="kWh",VLOOKUP(M$5,'4. Billing Determinants'!$B$19:$N$41,4,0)/'4. Billing Determinants'!$E$41*$D13,IF($E13="kW",VLOOKUP(M$5,'4. Billing Determinants'!$B$19:$N$41,5,0)/'4. Billing Determinants'!$F$41*$D13,IF($E13="Non-RPP kWh",VLOOKUP(M$5,'4. Billing Determinants'!$B$19:$N$41,6,0)/'4. Billing Determinants'!$G$41*$D13,IF($E13="Distribution Rev.",VLOOKUP(M$5,'4. Billing Determinants'!$B$19:$N$41,8,0)/'4. Billing Determinants'!$I$41*$D13, VLOOKUP(M$5,'4. Billing Determinants'!$B$19:$N$41,3,0)/'4. Billing Determinants'!$D$41*$D13)))))</f>
        <v>0</v>
      </c>
      <c r="N13" s="150">
        <f>IF(N$5="",0,IF($E13="kWh",VLOOKUP(N$5,'4. Billing Determinants'!$B$19:$N$41,4,0)/'4. Billing Determinants'!$E$41*$D13,IF($E13="kW",VLOOKUP(N$5,'4. Billing Determinants'!$B$19:$N$41,5,0)/'4. Billing Determinants'!$F$41*$D13,IF($E13="Non-RPP kWh",VLOOKUP(N$5,'4. Billing Determinants'!$B$19:$N$41,6,0)/'4. Billing Determinants'!$G$41*$D13,IF($E13="Distribution Rev.",VLOOKUP(N$5,'4. Billing Determinants'!$B$19:$N$41,8,0)/'4. Billing Determinants'!$I$41*$D13, VLOOKUP(N$5,'4. Billing Determinants'!$B$19:$N$41,3,0)/'4. Billing Determinants'!$D$41*$D13)))))</f>
        <v>0</v>
      </c>
      <c r="O13" s="150">
        <f>IF(O$5="",0,IF($E13="kWh",VLOOKUP(O$5,'4. Billing Determinants'!$B$19:$N$41,4,0)/'4. Billing Determinants'!$E$41*$D13,IF($E13="kW",VLOOKUP(O$5,'4. Billing Determinants'!$B$19:$N$41,5,0)/'4. Billing Determinants'!$F$41*$D13,IF($E13="Non-RPP kWh",VLOOKUP(O$5,'4. Billing Determinants'!$B$19:$N$41,6,0)/'4. Billing Determinants'!$G$41*$D13,IF($E13="Distribution Rev.",VLOOKUP(O$5,'4. Billing Determinants'!$B$19:$N$41,8,0)/'4. Billing Determinants'!$I$41*$D13, VLOOKUP(O$5,'4. Billing Determinants'!$B$19:$N$41,3,0)/'4. Billing Determinants'!$D$41*$D13)))))</f>
        <v>0</v>
      </c>
      <c r="P13" s="150">
        <f>IF(P$5="",0,IF($E13="kWh",VLOOKUP(P$5,'4. Billing Determinants'!$B$19:$N$41,4,0)/'4. Billing Determinants'!$E$41*$D13,IF($E13="kW",VLOOKUP(P$5,'4. Billing Determinants'!$B$19:$N$41,5,0)/'4. Billing Determinants'!$F$41*$D13,IF($E13="Non-RPP kWh",VLOOKUP(P$5,'4. Billing Determinants'!$B$19:$N$41,6,0)/'4. Billing Determinants'!$G$41*$D13,IF($E13="Distribution Rev.",VLOOKUP(P$5,'4. Billing Determinants'!$B$19:$N$41,8,0)/'4. Billing Determinants'!$I$41*$D13, VLOOKUP(P$5,'4. Billing Determinants'!$B$19:$N$41,3,0)/'4. Billing Determinants'!$D$41*$D13)))))</f>
        <v>0</v>
      </c>
      <c r="Q13" s="150">
        <f>IF(Q$5="",0,IF($E13="kWh",VLOOKUP(Q$5,'4. Billing Determinants'!$B$19:$N$41,4,0)/'4. Billing Determinants'!$E$41*$D13,IF($E13="kW",VLOOKUP(Q$5,'4. Billing Determinants'!$B$19:$N$41,5,0)/'4. Billing Determinants'!$F$41*$D13,IF($E13="Non-RPP kWh",VLOOKUP(Q$5,'4. Billing Determinants'!$B$19:$N$41,6,0)/'4. Billing Determinants'!$G$41*$D13,IF($E13="Distribution Rev.",VLOOKUP(Q$5,'4. Billing Determinants'!$B$19:$N$41,8,0)/'4. Billing Determinants'!$I$41*$D13, VLOOKUP(Q$5,'4. Billing Determinants'!$B$19:$N$41,3,0)/'4. Billing Determinants'!$D$41*$D13)))))</f>
        <v>0</v>
      </c>
      <c r="R13" s="150">
        <f>IF(R$5="",0,IF($E13="kWh",VLOOKUP(R$5,'4. Billing Determinants'!$B$19:$N$41,4,0)/'4. Billing Determinants'!$E$41*$D13,IF($E13="kW",VLOOKUP(R$5,'4. Billing Determinants'!$B$19:$N$41,5,0)/'4. Billing Determinants'!$F$41*$D13,IF($E13="Non-RPP kWh",VLOOKUP(R$5,'4. Billing Determinants'!$B$19:$N$41,6,0)/'4. Billing Determinants'!$G$41*$D13,IF($E13="Distribution Rev.",VLOOKUP(R$5,'4. Billing Determinants'!$B$19:$N$41,8,0)/'4. Billing Determinants'!$I$41*$D13, VLOOKUP(R$5,'4. Billing Determinants'!$B$19:$N$41,3,0)/'4. Billing Determinants'!$D$41*$D13)))))</f>
        <v>0</v>
      </c>
      <c r="S13" s="150">
        <f>IF(S$5="",0,IF($E13="kWh",VLOOKUP(S$5,'4. Billing Determinants'!$B$19:$N$41,4,0)/'4. Billing Determinants'!$E$41*$D13,IF($E13="kW",VLOOKUP(S$5,'4. Billing Determinants'!$B$19:$N$41,5,0)/'4. Billing Determinants'!$F$41*$D13,IF($E13="Non-RPP kWh",VLOOKUP(S$5,'4. Billing Determinants'!$B$19:$N$41,6,0)/'4. Billing Determinants'!$G$41*$D13,IF($E13="Distribution Rev.",VLOOKUP(S$5,'4. Billing Determinants'!$B$19:$N$41,8,0)/'4. Billing Determinants'!$I$41*$D13, VLOOKUP(S$5,'4. Billing Determinants'!$B$19:$N$41,3,0)/'4. Billing Determinants'!$D$41*$D13)))))</f>
        <v>0</v>
      </c>
      <c r="T13" s="150">
        <f>IF(T$5="",0,IF($E13="kWh",VLOOKUP(T$5,'4. Billing Determinants'!$B$19:$N$41,4,0)/'4. Billing Determinants'!$E$41*$D13,IF($E13="kW",VLOOKUP(T$5,'4. Billing Determinants'!$B$19:$N$41,5,0)/'4. Billing Determinants'!$F$41*$D13,IF($E13="Non-RPP kWh",VLOOKUP(T$5,'4. Billing Determinants'!$B$19:$N$41,6,0)/'4. Billing Determinants'!$G$41*$D13,IF($E13="Distribution Rev.",VLOOKUP(T$5,'4. Billing Determinants'!$B$19:$N$41,8,0)/'4. Billing Determinants'!$I$41*$D13, VLOOKUP(T$5,'4. Billing Determinants'!$B$19:$N$41,3,0)/'4. Billing Determinants'!$D$41*$D13)))))</f>
        <v>0</v>
      </c>
      <c r="U13" s="150">
        <f>IF(U$5="",0,IF($E13="kWh",VLOOKUP(U$5,'4. Billing Determinants'!$B$19:$N$41,4,0)/'4. Billing Determinants'!$E$41*$D13,IF($E13="kW",VLOOKUP(U$5,'4. Billing Determinants'!$B$19:$N$41,5,0)/'4. Billing Determinants'!$F$41*$D13,IF($E13="Non-RPP kWh",VLOOKUP(U$5,'4. Billing Determinants'!$B$19:$N$41,6,0)/'4. Billing Determinants'!$G$41*$D13,IF($E13="Distribution Rev.",VLOOKUP(U$5,'4. Billing Determinants'!$B$19:$N$41,8,0)/'4. Billing Determinants'!$I$41*$D13, VLOOKUP(U$5,'4. Billing Determinants'!$B$19:$N$41,3,0)/'4. Billing Determinants'!$D$41*$D13)))))</f>
        <v>0</v>
      </c>
      <c r="V13" s="150">
        <f>IF(V$5="",0,IF($E13="kWh",VLOOKUP(V$5,'4. Billing Determinants'!$B$19:$N$41,4,0)/'4. Billing Determinants'!$E$41*$D13,IF($E13="kW",VLOOKUP(V$5,'4. Billing Determinants'!$B$19:$N$41,5,0)/'4. Billing Determinants'!$F$41*$D13,IF($E13="Non-RPP kWh",VLOOKUP(V$5,'4. Billing Determinants'!$B$19:$N$41,6,0)/'4. Billing Determinants'!$G$41*$D13,IF($E13="Distribution Rev.",VLOOKUP(V$5,'4. Billing Determinants'!$B$19:$N$41,8,0)/'4. Billing Determinants'!$I$41*$D13, VLOOKUP(V$5,'4. Billing Determinants'!$B$19:$N$41,3,0)/'4. Billing Determinants'!$D$41*$D13)))))</f>
        <v>0</v>
      </c>
      <c r="W13" s="150">
        <f>IF(W$5="",0,IF($E13="kWh",VLOOKUP(W$5,'4. Billing Determinants'!$B$19:$N$41,4,0)/'4. Billing Determinants'!$E$41*$D13,IF($E13="kW",VLOOKUP(W$5,'4. Billing Determinants'!$B$19:$N$41,5,0)/'4. Billing Determinants'!$F$41*$D13,IF($E13="Non-RPP kWh",VLOOKUP(W$5,'4. Billing Determinants'!$B$19:$N$41,6,0)/'4. Billing Determinants'!$G$41*$D13,IF($E13="Distribution Rev.",VLOOKUP(W$5,'4. Billing Determinants'!$B$19:$N$41,8,0)/'4. Billing Determinants'!$I$41*$D13, VLOOKUP(W$5,'4. Billing Determinants'!$B$19:$N$41,3,0)/'4. Billing Determinants'!$D$41*$D13)))))</f>
        <v>0</v>
      </c>
      <c r="X13" s="150">
        <f>IF(X$5="",0,IF($E13="kWh",VLOOKUP(X$5,'4. Billing Determinants'!$B$19:$N$41,4,0)/'4. Billing Determinants'!$E$41*$D13,IF($E13="kW",VLOOKUP(X$5,'4. Billing Determinants'!$B$19:$N$41,5,0)/'4. Billing Determinants'!$F$41*$D13,IF($E13="Non-RPP kWh",VLOOKUP(X$5,'4. Billing Determinants'!$B$19:$N$41,6,0)/'4. Billing Determinants'!$G$41*$D13,IF($E13="Distribution Rev.",VLOOKUP(X$5,'4. Billing Determinants'!$B$19:$N$41,8,0)/'4. Billing Determinants'!$I$41*$D13, VLOOKUP(X$5,'4. Billing Determinants'!$B$19:$N$41,3,0)/'4. Billing Determinants'!$D$41*$D13)))))</f>
        <v>0</v>
      </c>
      <c r="Y13" s="150">
        <f>IF(Y$5="",0,IF($E13="kWh",VLOOKUP(Y$5,'4. Billing Determinants'!$B$19:$N$41,4,0)/'4. Billing Determinants'!$E$41*$D13,IF($E13="kW",VLOOKUP(Y$5,'4. Billing Determinants'!$B$19:$N$41,5,0)/'4. Billing Determinants'!$F$41*$D13,IF($E13="Non-RPP kWh",VLOOKUP(Y$5,'4. Billing Determinants'!$B$19:$N$41,6,0)/'4. Billing Determinants'!$G$41*$D13,IF($E13="Distribution Rev.",VLOOKUP(Y$5,'4. Billing Determinants'!$B$19:$N$41,8,0)/'4. Billing Determinants'!$I$41*$D13, VLOOKUP(Y$5,'4. Billing Determinants'!$B$19:$N$41,3,0)/'4. Billing Determinants'!$D$41*$D13)))))</f>
        <v>0</v>
      </c>
    </row>
    <row r="14" spans="2:25" ht="25.5" x14ac:dyDescent="0.2">
      <c r="B14" s="191" t="s">
        <v>180</v>
      </c>
      <c r="C14" s="149">
        <v>1595</v>
      </c>
      <c r="D14" s="211">
        <f>'2. 2013 Continuity Schedule'!CF32</f>
        <v>-38085.85</v>
      </c>
      <c r="E14" s="212"/>
      <c r="F14" s="211">
        <f>D14*'4. Billing Determinants'!L21</f>
        <v>-9537.6541161171626</v>
      </c>
      <c r="G14" s="211">
        <f>D14*'4. Billing Determinants'!L22</f>
        <v>-5469.6863689991505</v>
      </c>
      <c r="H14" s="211">
        <f>+D14*'4. Billing Determinants'!L23</f>
        <v>-12640.035414678108</v>
      </c>
      <c r="I14" s="234">
        <f>D14*'4. Billing Determinants'!L24</f>
        <v>-9892.0181829804023</v>
      </c>
      <c r="J14" s="211">
        <f>+D14*'4. Billing Determinants'!L25</f>
        <v>-89.227465617611557</v>
      </c>
      <c r="K14" s="211">
        <f>+D14*'4. Billing Determinants'!L26</f>
        <v>-5.4654493105759672</v>
      </c>
      <c r="L14" s="211">
        <f>+D14*'4. Billing Determinants'!L27</f>
        <v>-451.76300229698938</v>
      </c>
      <c r="M14" s="150">
        <f>IF(M$5="",0,IF($E14="kWh",VLOOKUP(M$5,'4. Billing Determinants'!$B$19:$N$41,4,0)/'4. Billing Determinants'!$E$41*$D14,IF($E14="kW",VLOOKUP(M$5,'4. Billing Determinants'!$B$19:$N$41,5,0)/'4. Billing Determinants'!$F$41*$D14,IF($E14="Non-RPP kWh",VLOOKUP(M$5,'4. Billing Determinants'!$B$19:$N$41,6,0)/'4. Billing Determinants'!$G$41*$D14,IF($E14="Distribution Rev.",VLOOKUP(M$5,'4. Billing Determinants'!$B$19:$N$41,8,0)/'4. Billing Determinants'!$I$41*$D14, VLOOKUP(M$5,'4. Billing Determinants'!$B$19:$N$41,3,0)/'4. Billing Determinants'!$D$41*$D14)))))</f>
        <v>0</v>
      </c>
      <c r="N14" s="150">
        <f>IF(N$5="",0,IF($E14="kWh",VLOOKUP(N$5,'4. Billing Determinants'!$B$19:$N$41,4,0)/'4. Billing Determinants'!$E$41*$D14,IF($E14="kW",VLOOKUP(N$5,'4. Billing Determinants'!$B$19:$N$41,5,0)/'4. Billing Determinants'!$F$41*$D14,IF($E14="Non-RPP kWh",VLOOKUP(N$5,'4. Billing Determinants'!$B$19:$N$41,6,0)/'4. Billing Determinants'!$G$41*$D14,IF($E14="Distribution Rev.",VLOOKUP(N$5,'4. Billing Determinants'!$B$19:$N$41,8,0)/'4. Billing Determinants'!$I$41*$D14, VLOOKUP(N$5,'4. Billing Determinants'!$B$19:$N$41,3,0)/'4. Billing Determinants'!$D$41*$D14)))))</f>
        <v>0</v>
      </c>
      <c r="O14" s="150">
        <f>IF(O$5="",0,IF($E14="kWh",VLOOKUP(O$5,'4. Billing Determinants'!$B$19:$N$41,4,0)/'4. Billing Determinants'!$E$41*$D14,IF($E14="kW",VLOOKUP(O$5,'4. Billing Determinants'!$B$19:$N$41,5,0)/'4. Billing Determinants'!$F$41*$D14,IF($E14="Non-RPP kWh",VLOOKUP(O$5,'4. Billing Determinants'!$B$19:$N$41,6,0)/'4. Billing Determinants'!$G$41*$D14,IF($E14="Distribution Rev.",VLOOKUP(O$5,'4. Billing Determinants'!$B$19:$N$41,8,0)/'4. Billing Determinants'!$I$41*$D14, VLOOKUP(O$5,'4. Billing Determinants'!$B$19:$N$41,3,0)/'4. Billing Determinants'!$D$41*$D14)))))</f>
        <v>0</v>
      </c>
      <c r="P14" s="150">
        <f>IF(P$5="",0,IF($E14="kWh",VLOOKUP(P$5,'4. Billing Determinants'!$B$19:$N$41,4,0)/'4. Billing Determinants'!$E$41*$D14,IF($E14="kW",VLOOKUP(P$5,'4. Billing Determinants'!$B$19:$N$41,5,0)/'4. Billing Determinants'!$F$41*$D14,IF($E14="Non-RPP kWh",VLOOKUP(P$5,'4. Billing Determinants'!$B$19:$N$41,6,0)/'4. Billing Determinants'!$G$41*$D14,IF($E14="Distribution Rev.",VLOOKUP(P$5,'4. Billing Determinants'!$B$19:$N$41,8,0)/'4. Billing Determinants'!$I$41*$D14, VLOOKUP(P$5,'4. Billing Determinants'!$B$19:$N$41,3,0)/'4. Billing Determinants'!$D$41*$D14)))))</f>
        <v>0</v>
      </c>
      <c r="Q14" s="150">
        <f>IF(Q$5="",0,IF($E14="kWh",VLOOKUP(Q$5,'4. Billing Determinants'!$B$19:$N$41,4,0)/'4. Billing Determinants'!$E$41*$D14,IF($E14="kW",VLOOKUP(Q$5,'4. Billing Determinants'!$B$19:$N$41,5,0)/'4. Billing Determinants'!$F$41*$D14,IF($E14="Non-RPP kWh",VLOOKUP(Q$5,'4. Billing Determinants'!$B$19:$N$41,6,0)/'4. Billing Determinants'!$G$41*$D14,IF($E14="Distribution Rev.",VLOOKUP(Q$5,'4. Billing Determinants'!$B$19:$N$41,8,0)/'4. Billing Determinants'!$I$41*$D14, VLOOKUP(Q$5,'4. Billing Determinants'!$B$19:$N$41,3,0)/'4. Billing Determinants'!$D$41*$D14)))))</f>
        <v>0</v>
      </c>
      <c r="R14" s="150">
        <f>IF(R$5="",0,IF($E14="kWh",VLOOKUP(R$5,'4. Billing Determinants'!$B$19:$N$41,4,0)/'4. Billing Determinants'!$E$41*$D14,IF($E14="kW",VLOOKUP(R$5,'4. Billing Determinants'!$B$19:$N$41,5,0)/'4. Billing Determinants'!$F$41*$D14,IF($E14="Non-RPP kWh",VLOOKUP(R$5,'4. Billing Determinants'!$B$19:$N$41,6,0)/'4. Billing Determinants'!$G$41*$D14,IF($E14="Distribution Rev.",VLOOKUP(R$5,'4. Billing Determinants'!$B$19:$N$41,8,0)/'4. Billing Determinants'!$I$41*$D14, VLOOKUP(R$5,'4. Billing Determinants'!$B$19:$N$41,3,0)/'4. Billing Determinants'!$D$41*$D14)))))</f>
        <v>0</v>
      </c>
      <c r="S14" s="150">
        <f>IF(S$5="",0,IF($E14="kWh",VLOOKUP(S$5,'4. Billing Determinants'!$B$19:$N$41,4,0)/'4. Billing Determinants'!$E$41*$D14,IF($E14="kW",VLOOKUP(S$5,'4. Billing Determinants'!$B$19:$N$41,5,0)/'4. Billing Determinants'!$F$41*$D14,IF($E14="Non-RPP kWh",VLOOKUP(S$5,'4. Billing Determinants'!$B$19:$N$41,6,0)/'4. Billing Determinants'!$G$41*$D14,IF($E14="Distribution Rev.",VLOOKUP(S$5,'4. Billing Determinants'!$B$19:$N$41,8,0)/'4. Billing Determinants'!$I$41*$D14, VLOOKUP(S$5,'4. Billing Determinants'!$B$19:$N$41,3,0)/'4. Billing Determinants'!$D$41*$D14)))))</f>
        <v>0</v>
      </c>
      <c r="T14" s="150">
        <f>IF(T$5="",0,IF($E14="kWh",VLOOKUP(T$5,'4. Billing Determinants'!$B$19:$N$41,4,0)/'4. Billing Determinants'!$E$41*$D14,IF($E14="kW",VLOOKUP(T$5,'4. Billing Determinants'!$B$19:$N$41,5,0)/'4. Billing Determinants'!$F$41*$D14,IF($E14="Non-RPP kWh",VLOOKUP(T$5,'4. Billing Determinants'!$B$19:$N$41,6,0)/'4. Billing Determinants'!$G$41*$D14,IF($E14="Distribution Rev.",VLOOKUP(T$5,'4. Billing Determinants'!$B$19:$N$41,8,0)/'4. Billing Determinants'!$I$41*$D14, VLOOKUP(T$5,'4. Billing Determinants'!$B$19:$N$41,3,0)/'4. Billing Determinants'!$D$41*$D14)))))</f>
        <v>0</v>
      </c>
      <c r="U14" s="150">
        <f>IF(U$5="",0,IF($E14="kWh",VLOOKUP(U$5,'4. Billing Determinants'!$B$19:$N$41,4,0)/'4. Billing Determinants'!$E$41*$D14,IF($E14="kW",VLOOKUP(U$5,'4. Billing Determinants'!$B$19:$N$41,5,0)/'4. Billing Determinants'!$F$41*$D14,IF($E14="Non-RPP kWh",VLOOKUP(U$5,'4. Billing Determinants'!$B$19:$N$41,6,0)/'4. Billing Determinants'!$G$41*$D14,IF($E14="Distribution Rev.",VLOOKUP(U$5,'4. Billing Determinants'!$B$19:$N$41,8,0)/'4. Billing Determinants'!$I$41*$D14, VLOOKUP(U$5,'4. Billing Determinants'!$B$19:$N$41,3,0)/'4. Billing Determinants'!$D$41*$D14)))))</f>
        <v>0</v>
      </c>
      <c r="V14" s="150">
        <f>IF(V$5="",0,IF($E14="kWh",VLOOKUP(V$5,'4. Billing Determinants'!$B$19:$N$41,4,0)/'4. Billing Determinants'!$E$41*$D14,IF($E14="kW",VLOOKUP(V$5,'4. Billing Determinants'!$B$19:$N$41,5,0)/'4. Billing Determinants'!$F$41*$D14,IF($E14="Non-RPP kWh",VLOOKUP(V$5,'4. Billing Determinants'!$B$19:$N$41,6,0)/'4. Billing Determinants'!$G$41*$D14,IF($E14="Distribution Rev.",VLOOKUP(V$5,'4. Billing Determinants'!$B$19:$N$41,8,0)/'4. Billing Determinants'!$I$41*$D14, VLOOKUP(V$5,'4. Billing Determinants'!$B$19:$N$41,3,0)/'4. Billing Determinants'!$D$41*$D14)))))</f>
        <v>0</v>
      </c>
      <c r="W14" s="150">
        <f>IF(W$5="",0,IF($E14="kWh",VLOOKUP(W$5,'4. Billing Determinants'!$B$19:$N$41,4,0)/'4. Billing Determinants'!$E$41*$D14,IF($E14="kW",VLOOKUP(W$5,'4. Billing Determinants'!$B$19:$N$41,5,0)/'4. Billing Determinants'!$F$41*$D14,IF($E14="Non-RPP kWh",VLOOKUP(W$5,'4. Billing Determinants'!$B$19:$N$41,6,0)/'4. Billing Determinants'!$G$41*$D14,IF($E14="Distribution Rev.",VLOOKUP(W$5,'4. Billing Determinants'!$B$19:$N$41,8,0)/'4. Billing Determinants'!$I$41*$D14, VLOOKUP(W$5,'4. Billing Determinants'!$B$19:$N$41,3,0)/'4. Billing Determinants'!$D$41*$D14)))))</f>
        <v>0</v>
      </c>
      <c r="X14" s="150">
        <f>IF(X$5="",0,IF($E14="kWh",VLOOKUP(X$5,'4. Billing Determinants'!$B$19:$N$41,4,0)/'4. Billing Determinants'!$E$41*$D14,IF($E14="kW",VLOOKUP(X$5,'4. Billing Determinants'!$B$19:$N$41,5,0)/'4. Billing Determinants'!$F$41*$D14,IF($E14="Non-RPP kWh",VLOOKUP(X$5,'4. Billing Determinants'!$B$19:$N$41,6,0)/'4. Billing Determinants'!$G$41*$D14,IF($E14="Distribution Rev.",VLOOKUP(X$5,'4. Billing Determinants'!$B$19:$N$41,8,0)/'4. Billing Determinants'!$I$41*$D14, VLOOKUP(X$5,'4. Billing Determinants'!$B$19:$N$41,3,0)/'4. Billing Determinants'!$D$41*$D14)))))</f>
        <v>0</v>
      </c>
      <c r="Y14" s="150">
        <f>IF(Y$5="",0,IF($E14="kWh",VLOOKUP(Y$5,'4. Billing Determinants'!$B$19:$N$41,4,0)/'4. Billing Determinants'!$E$41*$D14,IF($E14="kW",VLOOKUP(Y$5,'4. Billing Determinants'!$B$19:$N$41,5,0)/'4. Billing Determinants'!$F$41*$D14,IF($E14="Non-RPP kWh",VLOOKUP(Y$5,'4. Billing Determinants'!$B$19:$N$41,6,0)/'4. Billing Determinants'!$G$41*$D14,IF($E14="Distribution Rev.",VLOOKUP(Y$5,'4. Billing Determinants'!$B$19:$N$41,8,0)/'4. Billing Determinants'!$I$41*$D14, VLOOKUP(Y$5,'4. Billing Determinants'!$B$19:$N$41,3,0)/'4. Billing Determinants'!$D$41*$D14)))))</f>
        <v>0</v>
      </c>
    </row>
    <row r="15" spans="2:25" ht="25.5" x14ac:dyDescent="0.2">
      <c r="B15" s="191" t="s">
        <v>181</v>
      </c>
      <c r="C15" s="149">
        <v>1595</v>
      </c>
      <c r="D15" s="211">
        <f>'2. 2013 Continuity Schedule'!CF33</f>
        <v>-118956.35720000001</v>
      </c>
      <c r="E15" s="212"/>
      <c r="F15" s="211">
        <f>D15*'4. Billing Determinants'!M21</f>
        <v>-30978.916317516658</v>
      </c>
      <c r="G15" s="211">
        <f>+D15*'4. Billing Determinants'!M22</f>
        <v>-14637.716335884626</v>
      </c>
      <c r="H15" s="211">
        <f>D15*'4. Billing Determinants'!M23</f>
        <v>-35490.649649866216</v>
      </c>
      <c r="I15" s="211">
        <f>+D15*'4. Billing Determinants'!M24</f>
        <v>-35816.296336366097</v>
      </c>
      <c r="J15" s="211">
        <f>+D15*'4. Billing Determinants'!M25</f>
        <v>-230.65243893648304</v>
      </c>
      <c r="K15" s="211">
        <f>+D15*'4. Billing Determinants'!M26</f>
        <v>-18.438279432328205</v>
      </c>
      <c r="L15" s="211">
        <f>+D15*'4. Billing Determinants'!M27</f>
        <v>-1783.6878419976019</v>
      </c>
      <c r="M15" s="150">
        <f>IF(M$5="",0,IF($E15="kWh",VLOOKUP(M$5,'4. Billing Determinants'!$B$19:$N$41,4,0)/'4. Billing Determinants'!$E$41*$D15,IF($E15="kW",VLOOKUP(M$5,'4. Billing Determinants'!$B$19:$N$41,5,0)/'4. Billing Determinants'!$F$41*$D15,IF($E15="Non-RPP kWh",VLOOKUP(M$5,'4. Billing Determinants'!$B$19:$N$41,6,0)/'4. Billing Determinants'!$G$41*$D15,IF($E15="Distribution Rev.",VLOOKUP(M$5,'4. Billing Determinants'!$B$19:$N$41,8,0)/'4. Billing Determinants'!$I$41*$D15, VLOOKUP(M$5,'4. Billing Determinants'!$B$19:$N$41,3,0)/'4. Billing Determinants'!$D$41*$D15)))))</f>
        <v>0</v>
      </c>
      <c r="N15" s="150">
        <f>IF(N$5="",0,IF($E15="kWh",VLOOKUP(N$5,'4. Billing Determinants'!$B$19:$N$41,4,0)/'4. Billing Determinants'!$E$41*$D15,IF($E15="kW",VLOOKUP(N$5,'4. Billing Determinants'!$B$19:$N$41,5,0)/'4. Billing Determinants'!$F$41*$D15,IF($E15="Non-RPP kWh",VLOOKUP(N$5,'4. Billing Determinants'!$B$19:$N$41,6,0)/'4. Billing Determinants'!$G$41*$D15,IF($E15="Distribution Rev.",VLOOKUP(N$5,'4. Billing Determinants'!$B$19:$N$41,8,0)/'4. Billing Determinants'!$I$41*$D15, VLOOKUP(N$5,'4. Billing Determinants'!$B$19:$N$41,3,0)/'4. Billing Determinants'!$D$41*$D15)))))</f>
        <v>0</v>
      </c>
      <c r="O15" s="150">
        <f>IF(O$5="",0,IF($E15="kWh",VLOOKUP(O$5,'4. Billing Determinants'!$B$19:$N$41,4,0)/'4. Billing Determinants'!$E$41*$D15,IF($E15="kW",VLOOKUP(O$5,'4. Billing Determinants'!$B$19:$N$41,5,0)/'4. Billing Determinants'!$F$41*$D15,IF($E15="Non-RPP kWh",VLOOKUP(O$5,'4. Billing Determinants'!$B$19:$N$41,6,0)/'4. Billing Determinants'!$G$41*$D15,IF($E15="Distribution Rev.",VLOOKUP(O$5,'4. Billing Determinants'!$B$19:$N$41,8,0)/'4. Billing Determinants'!$I$41*$D15, VLOOKUP(O$5,'4. Billing Determinants'!$B$19:$N$41,3,0)/'4. Billing Determinants'!$D$41*$D15)))))</f>
        <v>0</v>
      </c>
      <c r="P15" s="150">
        <f>IF(P$5="",0,IF($E15="kWh",VLOOKUP(P$5,'4. Billing Determinants'!$B$19:$N$41,4,0)/'4. Billing Determinants'!$E$41*$D15,IF($E15="kW",VLOOKUP(P$5,'4. Billing Determinants'!$B$19:$N$41,5,0)/'4. Billing Determinants'!$F$41*$D15,IF($E15="Non-RPP kWh",VLOOKUP(P$5,'4. Billing Determinants'!$B$19:$N$41,6,0)/'4. Billing Determinants'!$G$41*$D15,IF($E15="Distribution Rev.",VLOOKUP(P$5,'4. Billing Determinants'!$B$19:$N$41,8,0)/'4. Billing Determinants'!$I$41*$D15, VLOOKUP(P$5,'4. Billing Determinants'!$B$19:$N$41,3,0)/'4. Billing Determinants'!$D$41*$D15)))))</f>
        <v>0</v>
      </c>
      <c r="Q15" s="150">
        <f>IF(Q$5="",0,IF($E15="kWh",VLOOKUP(Q$5,'4. Billing Determinants'!$B$19:$N$41,4,0)/'4. Billing Determinants'!$E$41*$D15,IF($E15="kW",VLOOKUP(Q$5,'4. Billing Determinants'!$B$19:$N$41,5,0)/'4. Billing Determinants'!$F$41*$D15,IF($E15="Non-RPP kWh",VLOOKUP(Q$5,'4. Billing Determinants'!$B$19:$N$41,6,0)/'4. Billing Determinants'!$G$41*$D15,IF($E15="Distribution Rev.",VLOOKUP(Q$5,'4. Billing Determinants'!$B$19:$N$41,8,0)/'4. Billing Determinants'!$I$41*$D15, VLOOKUP(Q$5,'4. Billing Determinants'!$B$19:$N$41,3,0)/'4. Billing Determinants'!$D$41*$D15)))))</f>
        <v>0</v>
      </c>
      <c r="R15" s="150">
        <f>IF(R$5="",0,IF($E15="kWh",VLOOKUP(R$5,'4. Billing Determinants'!$B$19:$N$41,4,0)/'4. Billing Determinants'!$E$41*$D15,IF($E15="kW",VLOOKUP(R$5,'4. Billing Determinants'!$B$19:$N$41,5,0)/'4. Billing Determinants'!$F$41*$D15,IF($E15="Non-RPP kWh",VLOOKUP(R$5,'4. Billing Determinants'!$B$19:$N$41,6,0)/'4. Billing Determinants'!$G$41*$D15,IF($E15="Distribution Rev.",VLOOKUP(R$5,'4. Billing Determinants'!$B$19:$N$41,8,0)/'4. Billing Determinants'!$I$41*$D15, VLOOKUP(R$5,'4. Billing Determinants'!$B$19:$N$41,3,0)/'4. Billing Determinants'!$D$41*$D15)))))</f>
        <v>0</v>
      </c>
      <c r="S15" s="150">
        <f>IF(S$5="",0,IF($E15="kWh",VLOOKUP(S$5,'4. Billing Determinants'!$B$19:$N$41,4,0)/'4. Billing Determinants'!$E$41*$D15,IF($E15="kW",VLOOKUP(S$5,'4. Billing Determinants'!$B$19:$N$41,5,0)/'4. Billing Determinants'!$F$41*$D15,IF($E15="Non-RPP kWh",VLOOKUP(S$5,'4. Billing Determinants'!$B$19:$N$41,6,0)/'4. Billing Determinants'!$G$41*$D15,IF($E15="Distribution Rev.",VLOOKUP(S$5,'4. Billing Determinants'!$B$19:$N$41,8,0)/'4. Billing Determinants'!$I$41*$D15, VLOOKUP(S$5,'4. Billing Determinants'!$B$19:$N$41,3,0)/'4. Billing Determinants'!$D$41*$D15)))))</f>
        <v>0</v>
      </c>
      <c r="T15" s="150">
        <f>IF(T$5="",0,IF($E15="kWh",VLOOKUP(T$5,'4. Billing Determinants'!$B$19:$N$41,4,0)/'4. Billing Determinants'!$E$41*$D15,IF($E15="kW",VLOOKUP(T$5,'4. Billing Determinants'!$B$19:$N$41,5,0)/'4. Billing Determinants'!$F$41*$D15,IF($E15="Non-RPP kWh",VLOOKUP(T$5,'4. Billing Determinants'!$B$19:$N$41,6,0)/'4. Billing Determinants'!$G$41*$D15,IF($E15="Distribution Rev.",VLOOKUP(T$5,'4. Billing Determinants'!$B$19:$N$41,8,0)/'4. Billing Determinants'!$I$41*$D15, VLOOKUP(T$5,'4. Billing Determinants'!$B$19:$N$41,3,0)/'4. Billing Determinants'!$D$41*$D15)))))</f>
        <v>0</v>
      </c>
      <c r="U15" s="150">
        <f>IF(U$5="",0,IF($E15="kWh",VLOOKUP(U$5,'4. Billing Determinants'!$B$19:$N$41,4,0)/'4. Billing Determinants'!$E$41*$D15,IF($E15="kW",VLOOKUP(U$5,'4. Billing Determinants'!$B$19:$N$41,5,0)/'4. Billing Determinants'!$F$41*$D15,IF($E15="Non-RPP kWh",VLOOKUP(U$5,'4. Billing Determinants'!$B$19:$N$41,6,0)/'4. Billing Determinants'!$G$41*$D15,IF($E15="Distribution Rev.",VLOOKUP(U$5,'4. Billing Determinants'!$B$19:$N$41,8,0)/'4. Billing Determinants'!$I$41*$D15, VLOOKUP(U$5,'4. Billing Determinants'!$B$19:$N$41,3,0)/'4. Billing Determinants'!$D$41*$D15)))))</f>
        <v>0</v>
      </c>
      <c r="V15" s="150">
        <f>IF(V$5="",0,IF($E15="kWh",VLOOKUP(V$5,'4. Billing Determinants'!$B$19:$N$41,4,0)/'4. Billing Determinants'!$E$41*$D15,IF($E15="kW",VLOOKUP(V$5,'4. Billing Determinants'!$B$19:$N$41,5,0)/'4. Billing Determinants'!$F$41*$D15,IF($E15="Non-RPP kWh",VLOOKUP(V$5,'4. Billing Determinants'!$B$19:$N$41,6,0)/'4. Billing Determinants'!$G$41*$D15,IF($E15="Distribution Rev.",VLOOKUP(V$5,'4. Billing Determinants'!$B$19:$N$41,8,0)/'4. Billing Determinants'!$I$41*$D15, VLOOKUP(V$5,'4. Billing Determinants'!$B$19:$N$41,3,0)/'4. Billing Determinants'!$D$41*$D15)))))</f>
        <v>0</v>
      </c>
      <c r="W15" s="150">
        <f>IF(W$5="",0,IF($E15="kWh",VLOOKUP(W$5,'4. Billing Determinants'!$B$19:$N$41,4,0)/'4. Billing Determinants'!$E$41*$D15,IF($E15="kW",VLOOKUP(W$5,'4. Billing Determinants'!$B$19:$N$41,5,0)/'4. Billing Determinants'!$F$41*$D15,IF($E15="Non-RPP kWh",VLOOKUP(W$5,'4. Billing Determinants'!$B$19:$N$41,6,0)/'4. Billing Determinants'!$G$41*$D15,IF($E15="Distribution Rev.",VLOOKUP(W$5,'4. Billing Determinants'!$B$19:$N$41,8,0)/'4. Billing Determinants'!$I$41*$D15, VLOOKUP(W$5,'4. Billing Determinants'!$B$19:$N$41,3,0)/'4. Billing Determinants'!$D$41*$D15)))))</f>
        <v>0</v>
      </c>
      <c r="X15" s="150">
        <f>IF(X$5="",0,IF($E15="kWh",VLOOKUP(X$5,'4. Billing Determinants'!$B$19:$N$41,4,0)/'4. Billing Determinants'!$E$41*$D15,IF($E15="kW",VLOOKUP(X$5,'4. Billing Determinants'!$B$19:$N$41,5,0)/'4. Billing Determinants'!$F$41*$D15,IF($E15="Non-RPP kWh",VLOOKUP(X$5,'4. Billing Determinants'!$B$19:$N$41,6,0)/'4. Billing Determinants'!$G$41*$D15,IF($E15="Distribution Rev.",VLOOKUP(X$5,'4. Billing Determinants'!$B$19:$N$41,8,0)/'4. Billing Determinants'!$I$41*$D15, VLOOKUP(X$5,'4. Billing Determinants'!$B$19:$N$41,3,0)/'4. Billing Determinants'!$D$41*$D15)))))</f>
        <v>0</v>
      </c>
      <c r="Y15" s="150">
        <f>IF(Y$5="",0,IF($E15="kWh",VLOOKUP(Y$5,'4. Billing Determinants'!$B$19:$N$41,4,0)/'4. Billing Determinants'!$E$41*$D15,IF($E15="kW",VLOOKUP(Y$5,'4. Billing Determinants'!$B$19:$N$41,5,0)/'4. Billing Determinants'!$F$41*$D15,IF($E15="Non-RPP kWh",VLOOKUP(Y$5,'4. Billing Determinants'!$B$19:$N$41,6,0)/'4. Billing Determinants'!$G$41*$D15,IF($E15="Distribution Rev.",VLOOKUP(Y$5,'4. Billing Determinants'!$B$19:$N$41,8,0)/'4. Billing Determinants'!$I$41*$D15, VLOOKUP(Y$5,'4. Billing Determinants'!$B$19:$N$41,3,0)/'4. Billing Determinants'!$D$41*$D15)))))</f>
        <v>0</v>
      </c>
    </row>
    <row r="16" spans="2:25" s="133" customFormat="1" ht="25.5" x14ac:dyDescent="0.2">
      <c r="B16" s="203" t="s">
        <v>197</v>
      </c>
      <c r="C16" s="204"/>
      <c r="D16" s="214">
        <f>SUM(D6:D15)-D11</f>
        <v>-3512449.7826360003</v>
      </c>
      <c r="E16" s="215"/>
      <c r="F16" s="214">
        <f>SUM(F6:F15)-F11</f>
        <v>-1225782.5456900557</v>
      </c>
      <c r="G16" s="214">
        <f t="shared" ref="G16:Y16" si="0">SUM(G6:G15)-G11</f>
        <v>-495553.83920828096</v>
      </c>
      <c r="H16" s="214">
        <f t="shared" si="0"/>
        <v>-1057444.3735119132</v>
      </c>
      <c r="I16" s="214">
        <f t="shared" si="0"/>
        <v>-684307.85862251546</v>
      </c>
      <c r="J16" s="214">
        <f t="shared" si="0"/>
        <v>-7215.9044111200001</v>
      </c>
      <c r="K16" s="214">
        <f t="shared" si="0"/>
        <v>-457.49318806309611</v>
      </c>
      <c r="L16" s="214">
        <f t="shared" si="0"/>
        <v>-41687.76800405157</v>
      </c>
      <c r="M16" s="160">
        <f t="shared" si="0"/>
        <v>0</v>
      </c>
      <c r="N16" s="160">
        <f t="shared" si="0"/>
        <v>0</v>
      </c>
      <c r="O16" s="160">
        <f t="shared" si="0"/>
        <v>0</v>
      </c>
      <c r="P16" s="160">
        <f t="shared" si="0"/>
        <v>0</v>
      </c>
      <c r="Q16" s="160">
        <f t="shared" si="0"/>
        <v>0</v>
      </c>
      <c r="R16" s="160">
        <f t="shared" si="0"/>
        <v>0</v>
      </c>
      <c r="S16" s="160">
        <f t="shared" si="0"/>
        <v>0</v>
      </c>
      <c r="T16" s="160">
        <f t="shared" si="0"/>
        <v>0</v>
      </c>
      <c r="U16" s="160">
        <f t="shared" si="0"/>
        <v>0</v>
      </c>
      <c r="V16" s="160">
        <f t="shared" si="0"/>
        <v>0</v>
      </c>
      <c r="W16" s="160">
        <f t="shared" si="0"/>
        <v>0</v>
      </c>
      <c r="X16" s="160">
        <f t="shared" si="0"/>
        <v>0</v>
      </c>
      <c r="Y16" s="160">
        <f t="shared" si="0"/>
        <v>0</v>
      </c>
    </row>
    <row r="17" spans="2:25" ht="8.25" customHeight="1" x14ac:dyDescent="0.2">
      <c r="B17" s="192"/>
      <c r="C17" s="151"/>
      <c r="D17" s="216"/>
      <c r="E17" s="217"/>
      <c r="F17" s="218"/>
      <c r="G17" s="218"/>
      <c r="H17" s="218"/>
      <c r="I17" s="218"/>
      <c r="J17" s="218"/>
      <c r="K17" s="218"/>
      <c r="L17" s="218"/>
    </row>
    <row r="18" spans="2:25" ht="25.5" x14ac:dyDescent="0.2">
      <c r="B18" s="152" t="s">
        <v>14</v>
      </c>
      <c r="C18" s="149">
        <v>1508</v>
      </c>
      <c r="D18" s="211">
        <f>'2. 2013 Continuity Schedule'!CF40</f>
        <v>120.70000000000073</v>
      </c>
      <c r="E18" s="212" t="s">
        <v>232</v>
      </c>
      <c r="F18" s="211">
        <f>IF(F$5="",0,IF($E18="kWh",VLOOKUP(F$5,'4. Billing Determinants'!$B$19:$N$41,4,0)/'4. Billing Determinants'!$E$41*$D18,IF($E18="kW",VLOOKUP(F$5,'4. Billing Determinants'!$B$19:$N$41,5,0)/'4. Billing Determinants'!$F$41*$D18,IF($E18="Non-RPP kWh",VLOOKUP(F$5,'4. Billing Determinants'!$B$19:$N$41,6,0)/'4. Billing Determinants'!$G$41*$D18,IF($E18="Distribution Rev.",VLOOKUP(F$5,'4. Billing Determinants'!$B$19:$N$41,8,0)/'4. Billing Determinants'!$I$41*$D18, VLOOKUP(F$5,'4. Billing Determinants'!$B$19:$N$41,3,0)/'4. Billing Determinants'!$D$41*$D18)))))</f>
        <v>69.549101317813765</v>
      </c>
      <c r="G18" s="211">
        <f>IF(G$5="",0,IF($E18="kWh",VLOOKUP(G$5,'4. Billing Determinants'!$B$19:$N$41,4,0)/'4. Billing Determinants'!$E$41*$D18,IF($E18="kW",VLOOKUP(G$5,'4. Billing Determinants'!$B$19:$N$41,5,0)/'4. Billing Determinants'!$F$41*$D18,IF($E18="Non-RPP kWh",VLOOKUP(G$5,'4. Billing Determinants'!$B$19:$N$41,6,0)/'4. Billing Determinants'!$G$41*$D18,IF($E18="Distribution Rev.",VLOOKUP(G$5,'4. Billing Determinants'!$B$19:$N$41,8,0)/'4. Billing Determinants'!$I$41*$D18, VLOOKUP(G$5,'4. Billing Determinants'!$B$19:$N$41,3,0)/'4. Billing Determinants'!$D$41*$D18)))))</f>
        <v>19.262042102295425</v>
      </c>
      <c r="H18" s="211">
        <f>IF(H$5="",0,IF($E18="kWh",VLOOKUP(H$5,'4. Billing Determinants'!$B$19:$N$41,4,0)/'4. Billing Determinants'!$E$41*$D18,IF($E18="kW",VLOOKUP(H$5,'4. Billing Determinants'!$B$19:$N$41,5,0)/'4. Billing Determinants'!$F$41*$D18,IF($E18="Non-RPP kWh",VLOOKUP(H$5,'4. Billing Determinants'!$B$19:$N$41,6,0)/'4. Billing Determinants'!$G$41*$D18,IF($E18="Distribution Rev.",VLOOKUP(H$5,'4. Billing Determinants'!$B$19:$N$41,8,0)/'4. Billing Determinants'!$I$41*$D18, VLOOKUP(H$5,'4. Billing Determinants'!$B$19:$N$41,3,0)/'4. Billing Determinants'!$D$41*$D18)))))</f>
        <v>16.863991749842825</v>
      </c>
      <c r="I18" s="211">
        <f>IF(I$5="",0,IF($E18="kWh",VLOOKUP(I$5,'4. Billing Determinants'!$B$19:$N$41,4,0)/'4. Billing Determinants'!$E$41*$D18,IF($E18="kW",VLOOKUP(I$5,'4. Billing Determinants'!$B$19:$N$41,5,0)/'4. Billing Determinants'!$F$41*$D18,IF($E18="Non-RPP kWh",VLOOKUP(I$5,'4. Billing Determinants'!$B$19:$N$41,6,0)/'4. Billing Determinants'!$G$41*$D18,IF($E18="Distribution Rev.",VLOOKUP(I$5,'4. Billing Determinants'!$B$19:$N$41,8,0)/'4. Billing Determinants'!$I$41*$D18, VLOOKUP(I$5,'4. Billing Determinants'!$B$19:$N$41,3,0)/'4. Billing Determinants'!$D$41*$D18)))))</f>
        <v>9.0074802587258933</v>
      </c>
      <c r="J18" s="211">
        <f>IF(J$5="",0,IF($E18="kWh",VLOOKUP(J$5,'4. Billing Determinants'!$B$19:$N$41,4,0)/'4. Billing Determinants'!$E$41*$D18,IF($E18="kW",VLOOKUP(J$5,'4. Billing Determinants'!$B$19:$N$41,5,0)/'4. Billing Determinants'!$F$41*$D18,IF($E18="Non-RPP kWh",VLOOKUP(J$5,'4. Billing Determinants'!$B$19:$N$41,6,0)/'4. Billing Determinants'!$G$41*$D18,IF($E18="Distribution Rev.",VLOOKUP(J$5,'4. Billing Determinants'!$B$19:$N$41,8,0)/'4. Billing Determinants'!$I$41*$D18, VLOOKUP(J$5,'4. Billing Determinants'!$B$19:$N$41,3,0)/'4. Billing Determinants'!$D$41*$D18)))))</f>
        <v>0.87218142244119468</v>
      </c>
      <c r="K18" s="211">
        <f>IF(K$5="",0,IF($E18="kWh",VLOOKUP(K$5,'4. Billing Determinants'!$B$19:$N$41,4,0)/'4. Billing Determinants'!$E$41*$D18,IF($E18="kW",VLOOKUP(K$5,'4. Billing Determinants'!$B$19:$N$41,5,0)/'4. Billing Determinants'!$F$41*$D18,IF($E18="Non-RPP kWh",VLOOKUP(K$5,'4. Billing Determinants'!$B$19:$N$41,6,0)/'4. Billing Determinants'!$G$41*$D18,IF($E18="Distribution Rev.",VLOOKUP(K$5,'4. Billing Determinants'!$B$19:$N$41,8,0)/'4. Billing Determinants'!$I$41*$D18, VLOOKUP(K$5,'4. Billing Determinants'!$B$19:$N$41,3,0)/'4. Billing Determinants'!$D$41*$D18)))))</f>
        <v>9.2949246908824695E-2</v>
      </c>
      <c r="L18" s="211">
        <f>IF(L$5="",0,IF($E18="kWh",VLOOKUP(L$5,'4. Billing Determinants'!$B$19:$N$41,4,0)/'4. Billing Determinants'!$E$41*$D18,IF($E18="kW",VLOOKUP(L$5,'4. Billing Determinants'!$B$19:$N$41,5,0)/'4. Billing Determinants'!$F$41*$D18,IF($E18="Non-RPP kWh",VLOOKUP(L$5,'4. Billing Determinants'!$B$19:$N$41,6,0)/'4. Billing Determinants'!$G$41*$D18,IF($E18="Distribution Rev.",VLOOKUP(L$5,'4. Billing Determinants'!$B$19:$N$41,8,0)/'4. Billing Determinants'!$I$41*$D18, VLOOKUP(L$5,'4. Billing Determinants'!$B$19:$N$41,3,0)/'4. Billing Determinants'!$D$41*$D18)))))</f>
        <v>5.0522539019728008</v>
      </c>
      <c r="M18" s="150">
        <f>IF(M$5="",0,IF($E18="kWh",VLOOKUP(M$5,'4. Billing Determinants'!$B$19:$N$41,4,0)/'4. Billing Determinants'!$E$41*$D18,IF($E18="kW",VLOOKUP(M$5,'4. Billing Determinants'!$B$19:$N$41,5,0)/'4. Billing Determinants'!$F$41*$D18,IF($E18="Non-RPP kWh",VLOOKUP(M$5,'4. Billing Determinants'!$B$19:$N$41,6,0)/'4. Billing Determinants'!$G$41*$D18,IF($E18="Distribution Rev.",VLOOKUP(M$5,'4. Billing Determinants'!$B$19:$N$41,8,0)/'4. Billing Determinants'!$I$41*$D18, VLOOKUP(M$5,'4. Billing Determinants'!$B$19:$N$41,3,0)/'4. Billing Determinants'!$D$41*$D18)))))</f>
        <v>0</v>
      </c>
      <c r="N18" s="150">
        <f>IF(N$5="",0,IF($E18="kWh",VLOOKUP(N$5,'4. Billing Determinants'!$B$19:$N$41,4,0)/'4. Billing Determinants'!$E$41*$D18,IF($E18="kW",VLOOKUP(N$5,'4. Billing Determinants'!$B$19:$N$41,5,0)/'4. Billing Determinants'!$F$41*$D18,IF($E18="Non-RPP kWh",VLOOKUP(N$5,'4. Billing Determinants'!$B$19:$N$41,6,0)/'4. Billing Determinants'!$G$41*$D18,IF($E18="Distribution Rev.",VLOOKUP(N$5,'4. Billing Determinants'!$B$19:$N$41,8,0)/'4. Billing Determinants'!$I$41*$D18, VLOOKUP(N$5,'4. Billing Determinants'!$B$19:$N$41,3,0)/'4. Billing Determinants'!$D$41*$D18)))))</f>
        <v>0</v>
      </c>
      <c r="O18" s="150">
        <f>IF(O$5="",0,IF($E18="kWh",VLOOKUP(O$5,'4. Billing Determinants'!$B$19:$N$41,4,0)/'4. Billing Determinants'!$E$41*$D18,IF($E18="kW",VLOOKUP(O$5,'4. Billing Determinants'!$B$19:$N$41,5,0)/'4. Billing Determinants'!$F$41*$D18,IF($E18="Non-RPP kWh",VLOOKUP(O$5,'4. Billing Determinants'!$B$19:$N$41,6,0)/'4. Billing Determinants'!$G$41*$D18,IF($E18="Distribution Rev.",VLOOKUP(O$5,'4. Billing Determinants'!$B$19:$N$41,8,0)/'4. Billing Determinants'!$I$41*$D18, VLOOKUP(O$5,'4. Billing Determinants'!$B$19:$N$41,3,0)/'4. Billing Determinants'!$D$41*$D18)))))</f>
        <v>0</v>
      </c>
      <c r="P18" s="150">
        <f>IF(P$5="",0,IF($E18="kWh",VLOOKUP(P$5,'4. Billing Determinants'!$B$19:$N$41,4,0)/'4. Billing Determinants'!$E$41*$D18,IF($E18="kW",VLOOKUP(P$5,'4. Billing Determinants'!$B$19:$N$41,5,0)/'4. Billing Determinants'!$F$41*$D18,IF($E18="Non-RPP kWh",VLOOKUP(P$5,'4. Billing Determinants'!$B$19:$N$41,6,0)/'4. Billing Determinants'!$G$41*$D18,IF($E18="Distribution Rev.",VLOOKUP(P$5,'4. Billing Determinants'!$B$19:$N$41,8,0)/'4. Billing Determinants'!$I$41*$D18, VLOOKUP(P$5,'4. Billing Determinants'!$B$19:$N$41,3,0)/'4. Billing Determinants'!$D$41*$D18)))))</f>
        <v>0</v>
      </c>
      <c r="Q18" s="150">
        <f>IF(Q$5="",0,IF($E18="kWh",VLOOKUP(Q$5,'4. Billing Determinants'!$B$19:$N$41,4,0)/'4. Billing Determinants'!$E$41*$D18,IF($E18="kW",VLOOKUP(Q$5,'4. Billing Determinants'!$B$19:$N$41,5,0)/'4. Billing Determinants'!$F$41*$D18,IF($E18="Non-RPP kWh",VLOOKUP(Q$5,'4. Billing Determinants'!$B$19:$N$41,6,0)/'4. Billing Determinants'!$G$41*$D18,IF($E18="Distribution Rev.",VLOOKUP(Q$5,'4. Billing Determinants'!$B$19:$N$41,8,0)/'4. Billing Determinants'!$I$41*$D18, VLOOKUP(Q$5,'4. Billing Determinants'!$B$19:$N$41,3,0)/'4. Billing Determinants'!$D$41*$D18)))))</f>
        <v>0</v>
      </c>
      <c r="R18" s="150">
        <f>IF(R$5="",0,IF($E18="kWh",VLOOKUP(R$5,'4. Billing Determinants'!$B$19:$N$41,4,0)/'4. Billing Determinants'!$E$41*$D18,IF($E18="kW",VLOOKUP(R$5,'4. Billing Determinants'!$B$19:$N$41,5,0)/'4. Billing Determinants'!$F$41*$D18,IF($E18="Non-RPP kWh",VLOOKUP(R$5,'4. Billing Determinants'!$B$19:$N$41,6,0)/'4. Billing Determinants'!$G$41*$D18,IF($E18="Distribution Rev.",VLOOKUP(R$5,'4. Billing Determinants'!$B$19:$N$41,8,0)/'4. Billing Determinants'!$I$41*$D18, VLOOKUP(R$5,'4. Billing Determinants'!$B$19:$N$41,3,0)/'4. Billing Determinants'!$D$41*$D18)))))</f>
        <v>0</v>
      </c>
      <c r="S18" s="150">
        <f>IF(S$5="",0,IF($E18="kWh",VLOOKUP(S$5,'4. Billing Determinants'!$B$19:$N$41,4,0)/'4. Billing Determinants'!$E$41*$D18,IF($E18="kW",VLOOKUP(S$5,'4. Billing Determinants'!$B$19:$N$41,5,0)/'4. Billing Determinants'!$F$41*$D18,IF($E18="Non-RPP kWh",VLOOKUP(S$5,'4. Billing Determinants'!$B$19:$N$41,6,0)/'4. Billing Determinants'!$G$41*$D18,IF($E18="Distribution Rev.",VLOOKUP(S$5,'4. Billing Determinants'!$B$19:$N$41,8,0)/'4. Billing Determinants'!$I$41*$D18, VLOOKUP(S$5,'4. Billing Determinants'!$B$19:$N$41,3,0)/'4. Billing Determinants'!$D$41*$D18)))))</f>
        <v>0</v>
      </c>
      <c r="T18" s="150">
        <f>IF(T$5="",0,IF($E18="kWh",VLOOKUP(T$5,'4. Billing Determinants'!$B$19:$N$41,4,0)/'4. Billing Determinants'!$E$41*$D18,IF($E18="kW",VLOOKUP(T$5,'4. Billing Determinants'!$B$19:$N$41,5,0)/'4. Billing Determinants'!$F$41*$D18,IF($E18="Non-RPP kWh",VLOOKUP(T$5,'4. Billing Determinants'!$B$19:$N$41,6,0)/'4. Billing Determinants'!$G$41*$D18,IF($E18="Distribution Rev.",VLOOKUP(T$5,'4. Billing Determinants'!$B$19:$N$41,8,0)/'4. Billing Determinants'!$I$41*$D18, VLOOKUP(T$5,'4. Billing Determinants'!$B$19:$N$41,3,0)/'4. Billing Determinants'!$D$41*$D18)))))</f>
        <v>0</v>
      </c>
      <c r="U18" s="150">
        <f>IF(U$5="",0,IF($E18="kWh",VLOOKUP(U$5,'4. Billing Determinants'!$B$19:$N$41,4,0)/'4. Billing Determinants'!$E$41*$D18,IF($E18="kW",VLOOKUP(U$5,'4. Billing Determinants'!$B$19:$N$41,5,0)/'4. Billing Determinants'!$F$41*$D18,IF($E18="Non-RPP kWh",VLOOKUP(U$5,'4. Billing Determinants'!$B$19:$N$41,6,0)/'4. Billing Determinants'!$G$41*$D18,IF($E18="Distribution Rev.",VLOOKUP(U$5,'4. Billing Determinants'!$B$19:$N$41,8,0)/'4. Billing Determinants'!$I$41*$D18, VLOOKUP(U$5,'4. Billing Determinants'!$B$19:$N$41,3,0)/'4. Billing Determinants'!$D$41*$D18)))))</f>
        <v>0</v>
      </c>
      <c r="V18" s="150">
        <f>IF(V$5="",0,IF($E18="kWh",VLOOKUP(V$5,'4. Billing Determinants'!$B$19:$N$41,4,0)/'4. Billing Determinants'!$E$41*$D18,IF($E18="kW",VLOOKUP(V$5,'4. Billing Determinants'!$B$19:$N$41,5,0)/'4. Billing Determinants'!$F$41*$D18,IF($E18="Non-RPP kWh",VLOOKUP(V$5,'4. Billing Determinants'!$B$19:$N$41,6,0)/'4. Billing Determinants'!$G$41*$D18,IF($E18="Distribution Rev.",VLOOKUP(V$5,'4. Billing Determinants'!$B$19:$N$41,8,0)/'4. Billing Determinants'!$I$41*$D18, VLOOKUP(V$5,'4. Billing Determinants'!$B$19:$N$41,3,0)/'4. Billing Determinants'!$D$41*$D18)))))</f>
        <v>0</v>
      </c>
      <c r="W18" s="150">
        <f>IF(W$5="",0,IF($E18="kWh",VLOOKUP(W$5,'4. Billing Determinants'!$B$19:$N$41,4,0)/'4. Billing Determinants'!$E$41*$D18,IF($E18="kW",VLOOKUP(W$5,'4. Billing Determinants'!$B$19:$N$41,5,0)/'4. Billing Determinants'!$F$41*$D18,IF($E18="Non-RPP kWh",VLOOKUP(W$5,'4. Billing Determinants'!$B$19:$N$41,6,0)/'4. Billing Determinants'!$G$41*$D18,IF($E18="Distribution Rev.",VLOOKUP(W$5,'4. Billing Determinants'!$B$19:$N$41,8,0)/'4. Billing Determinants'!$I$41*$D18, VLOOKUP(W$5,'4. Billing Determinants'!$B$19:$N$41,3,0)/'4. Billing Determinants'!$D$41*$D18)))))</f>
        <v>0</v>
      </c>
      <c r="X18" s="150">
        <f>IF(X$5="",0,IF($E18="kWh",VLOOKUP(X$5,'4. Billing Determinants'!$B$19:$N$41,4,0)/'4. Billing Determinants'!$E$41*$D18,IF($E18="kW",VLOOKUP(X$5,'4. Billing Determinants'!$B$19:$N$41,5,0)/'4. Billing Determinants'!$F$41*$D18,IF($E18="Non-RPP kWh",VLOOKUP(X$5,'4. Billing Determinants'!$B$19:$N$41,6,0)/'4. Billing Determinants'!$G$41*$D18,IF($E18="Distribution Rev.",VLOOKUP(X$5,'4. Billing Determinants'!$B$19:$N$41,8,0)/'4. Billing Determinants'!$I$41*$D18, VLOOKUP(X$5,'4. Billing Determinants'!$B$19:$N$41,3,0)/'4. Billing Determinants'!$D$41*$D18)))))</f>
        <v>0</v>
      </c>
      <c r="Y18" s="150">
        <f>IF(Y$5="",0,IF($E18="kWh",VLOOKUP(Y$5,'4. Billing Determinants'!$B$19:$N$41,4,0)/'4. Billing Determinants'!$E$41*$D18,IF($E18="kW",VLOOKUP(Y$5,'4. Billing Determinants'!$B$19:$N$41,5,0)/'4. Billing Determinants'!$F$41*$D18,IF($E18="Non-RPP kWh",VLOOKUP(Y$5,'4. Billing Determinants'!$B$19:$N$41,6,0)/'4. Billing Determinants'!$G$41*$D18,IF($E18="Distribution Rev.",VLOOKUP(Y$5,'4. Billing Determinants'!$B$19:$N$41,8,0)/'4. Billing Determinants'!$I$41*$D18, VLOOKUP(Y$5,'4. Billing Determinants'!$B$19:$N$41,3,0)/'4. Billing Determinants'!$D$41*$D18)))))</f>
        <v>0</v>
      </c>
    </row>
    <row r="19" spans="2:25" ht="25.5" x14ac:dyDescent="0.2">
      <c r="B19" s="152" t="s">
        <v>15</v>
      </c>
      <c r="C19" s="149">
        <v>1508</v>
      </c>
      <c r="D19" s="211">
        <f>'2. 2013 Continuity Schedule'!CF41</f>
        <v>473.5</v>
      </c>
      <c r="E19" s="212" t="s">
        <v>232</v>
      </c>
      <c r="F19" s="211">
        <f>IF(F$5="",0,IF($E19="kWh",VLOOKUP(F$5,'4. Billing Determinants'!$B$19:$N$41,4,0)/'4. Billing Determinants'!$E$41*$D19,IF($E19="kW",VLOOKUP(F$5,'4. Billing Determinants'!$B$19:$N$41,5,0)/'4. Billing Determinants'!$F$41*$D19,IF($E19="Non-RPP kWh",VLOOKUP(F$5,'4. Billing Determinants'!$B$19:$N$41,6,0)/'4. Billing Determinants'!$G$41*$D19,IF($E19="Distribution Rev.",VLOOKUP(F$5,'4. Billing Determinants'!$B$19:$N$41,8,0)/'4. Billing Determinants'!$I$41*$D19, VLOOKUP(F$5,'4. Billing Determinants'!$B$19:$N$41,3,0)/'4. Billing Determinants'!$D$41*$D19)))))</f>
        <v>272.83760956076736</v>
      </c>
      <c r="G19" s="211">
        <f>IF(G$5="",0,IF($E19="kWh",VLOOKUP(G$5,'4. Billing Determinants'!$B$19:$N$41,4,0)/'4. Billing Determinants'!$E$41*$D19,IF($E19="kW",VLOOKUP(G$5,'4. Billing Determinants'!$B$19:$N$41,5,0)/'4. Billing Determinants'!$F$41*$D19,IF($E19="Non-RPP kWh",VLOOKUP(G$5,'4. Billing Determinants'!$B$19:$N$41,6,0)/'4. Billing Determinants'!$G$41*$D19,IF($E19="Distribution Rev.",VLOOKUP(G$5,'4. Billing Determinants'!$B$19:$N$41,8,0)/'4. Billing Determinants'!$I$41*$D19, VLOOKUP(G$5,'4. Billing Determinants'!$B$19:$N$41,3,0)/'4. Billing Determinants'!$D$41*$D19)))))</f>
        <v>75.564017692102979</v>
      </c>
      <c r="H19" s="211">
        <f>IF(H$5="",0,IF($E19="kWh",VLOOKUP(H$5,'4. Billing Determinants'!$B$19:$N$41,4,0)/'4. Billing Determinants'!$E$41*$D19,IF($E19="kW",VLOOKUP(H$5,'4. Billing Determinants'!$B$19:$N$41,5,0)/'4. Billing Determinants'!$F$41*$D19,IF($E19="Non-RPP kWh",VLOOKUP(H$5,'4. Billing Determinants'!$B$19:$N$41,6,0)/'4. Billing Determinants'!$G$41*$D19,IF($E19="Distribution Rev.",VLOOKUP(H$5,'4. Billing Determinants'!$B$19:$N$41,8,0)/'4. Billing Determinants'!$I$41*$D19, VLOOKUP(H$5,'4. Billing Determinants'!$B$19:$N$41,3,0)/'4. Billing Determinants'!$D$41*$D19)))))</f>
        <v>66.156587353359825</v>
      </c>
      <c r="I19" s="211">
        <f>IF(I$5="",0,IF($E19="kWh",VLOOKUP(I$5,'4. Billing Determinants'!$B$19:$N$41,4,0)/'4. Billing Determinants'!$E$41*$D19,IF($E19="kW",VLOOKUP(I$5,'4. Billing Determinants'!$B$19:$N$41,5,0)/'4. Billing Determinants'!$F$41*$D19,IF($E19="Non-RPP kWh",VLOOKUP(I$5,'4. Billing Determinants'!$B$19:$N$41,6,0)/'4. Billing Determinants'!$G$41*$D19,IF($E19="Distribution Rev.",VLOOKUP(I$5,'4. Billing Determinants'!$B$19:$N$41,8,0)/'4. Billing Determinants'!$I$41*$D19, VLOOKUP(I$5,'4. Billing Determinants'!$B$19:$N$41,3,0)/'4. Billing Determinants'!$D$41*$D19)))))</f>
        <v>35.3358898302128</v>
      </c>
      <c r="J19" s="211">
        <f>IF(J$5="",0,IF($E19="kWh",VLOOKUP(J$5,'4. Billing Determinants'!$B$19:$N$41,4,0)/'4. Billing Determinants'!$E$41*$D19,IF($E19="kW",VLOOKUP(J$5,'4. Billing Determinants'!$B$19:$N$41,5,0)/'4. Billing Determinants'!$F$41*$D19,IF($E19="Non-RPP kWh",VLOOKUP(J$5,'4. Billing Determinants'!$B$19:$N$41,6,0)/'4. Billing Determinants'!$G$41*$D19,IF($E19="Distribution Rev.",VLOOKUP(J$5,'4. Billing Determinants'!$B$19:$N$41,8,0)/'4. Billing Determinants'!$I$41*$D19, VLOOKUP(J$5,'4. Billing Determinants'!$B$19:$N$41,3,0)/'4. Billing Determinants'!$D$41*$D19)))))</f>
        <v>3.4215236414739287</v>
      </c>
      <c r="K19" s="211">
        <f>IF(K$5="",0,IF($E19="kWh",VLOOKUP(K$5,'4. Billing Determinants'!$B$19:$N$41,4,0)/'4. Billing Determinants'!$E$41*$D19,IF($E19="kW",VLOOKUP(K$5,'4. Billing Determinants'!$B$19:$N$41,5,0)/'4. Billing Determinants'!$F$41*$D19,IF($E19="Non-RPP kWh",VLOOKUP(K$5,'4. Billing Determinants'!$B$19:$N$41,6,0)/'4. Billing Determinants'!$G$41*$D19,IF($E19="Distribution Rev.",VLOOKUP(K$5,'4. Billing Determinants'!$B$19:$N$41,8,0)/'4. Billing Determinants'!$I$41*$D19, VLOOKUP(K$5,'4. Billing Determinants'!$B$19:$N$41,3,0)/'4. Billing Determinants'!$D$41*$D19)))))</f>
        <v>0.36463519810545342</v>
      </c>
      <c r="L19" s="211">
        <f>IF(L$5="",0,IF($E19="kWh",VLOOKUP(L$5,'4. Billing Determinants'!$B$19:$N$41,4,0)/'4. Billing Determinants'!$E$41*$D19,IF($E19="kW",VLOOKUP(L$5,'4. Billing Determinants'!$B$19:$N$41,5,0)/'4. Billing Determinants'!$F$41*$D19,IF($E19="Non-RPP kWh",VLOOKUP(L$5,'4. Billing Determinants'!$B$19:$N$41,6,0)/'4. Billing Determinants'!$G$41*$D19,IF($E19="Distribution Rev.",VLOOKUP(L$5,'4. Billing Determinants'!$B$19:$N$41,8,0)/'4. Billing Determinants'!$I$41*$D19, VLOOKUP(L$5,'4. Billing Determinants'!$B$19:$N$41,3,0)/'4. Billing Determinants'!$D$41*$D19)))))</f>
        <v>19.819736723977687</v>
      </c>
      <c r="M19" s="150">
        <f>IF(M$5="",0,IF($E19="kWh",VLOOKUP(M$5,'4. Billing Determinants'!$B$19:$N$41,4,0)/'4. Billing Determinants'!$E$41*$D19,IF($E19="kW",VLOOKUP(M$5,'4. Billing Determinants'!$B$19:$N$41,5,0)/'4. Billing Determinants'!$F$41*$D19,IF($E19="Non-RPP kWh",VLOOKUP(M$5,'4. Billing Determinants'!$B$19:$N$41,6,0)/'4. Billing Determinants'!$G$41*$D19,IF($E19="Distribution Rev.",VLOOKUP(M$5,'4. Billing Determinants'!$B$19:$N$41,8,0)/'4. Billing Determinants'!$I$41*$D19, VLOOKUP(M$5,'4. Billing Determinants'!$B$19:$N$41,3,0)/'4. Billing Determinants'!$D$41*$D19)))))</f>
        <v>0</v>
      </c>
      <c r="N19" s="150">
        <f>IF(N$5="",0,IF($E19="kWh",VLOOKUP(N$5,'4. Billing Determinants'!$B$19:$N$41,4,0)/'4. Billing Determinants'!$E$41*$D19,IF($E19="kW",VLOOKUP(N$5,'4. Billing Determinants'!$B$19:$N$41,5,0)/'4. Billing Determinants'!$F$41*$D19,IF($E19="Non-RPP kWh",VLOOKUP(N$5,'4. Billing Determinants'!$B$19:$N$41,6,0)/'4. Billing Determinants'!$G$41*$D19,IF($E19="Distribution Rev.",VLOOKUP(N$5,'4. Billing Determinants'!$B$19:$N$41,8,0)/'4. Billing Determinants'!$I$41*$D19, VLOOKUP(N$5,'4. Billing Determinants'!$B$19:$N$41,3,0)/'4. Billing Determinants'!$D$41*$D19)))))</f>
        <v>0</v>
      </c>
      <c r="O19" s="150">
        <f>IF(O$5="",0,IF($E19="kWh",VLOOKUP(O$5,'4. Billing Determinants'!$B$19:$N$41,4,0)/'4. Billing Determinants'!$E$41*$D19,IF($E19="kW",VLOOKUP(O$5,'4. Billing Determinants'!$B$19:$N$41,5,0)/'4. Billing Determinants'!$F$41*$D19,IF($E19="Non-RPP kWh",VLOOKUP(O$5,'4. Billing Determinants'!$B$19:$N$41,6,0)/'4. Billing Determinants'!$G$41*$D19,IF($E19="Distribution Rev.",VLOOKUP(O$5,'4. Billing Determinants'!$B$19:$N$41,8,0)/'4. Billing Determinants'!$I$41*$D19, VLOOKUP(O$5,'4. Billing Determinants'!$B$19:$N$41,3,0)/'4. Billing Determinants'!$D$41*$D19)))))</f>
        <v>0</v>
      </c>
      <c r="P19" s="150">
        <f>IF(P$5="",0,IF($E19="kWh",VLOOKUP(P$5,'4. Billing Determinants'!$B$19:$N$41,4,0)/'4. Billing Determinants'!$E$41*$D19,IF($E19="kW",VLOOKUP(P$5,'4. Billing Determinants'!$B$19:$N$41,5,0)/'4. Billing Determinants'!$F$41*$D19,IF($E19="Non-RPP kWh",VLOOKUP(P$5,'4. Billing Determinants'!$B$19:$N$41,6,0)/'4. Billing Determinants'!$G$41*$D19,IF($E19="Distribution Rev.",VLOOKUP(P$5,'4. Billing Determinants'!$B$19:$N$41,8,0)/'4. Billing Determinants'!$I$41*$D19, VLOOKUP(P$5,'4. Billing Determinants'!$B$19:$N$41,3,0)/'4. Billing Determinants'!$D$41*$D19)))))</f>
        <v>0</v>
      </c>
      <c r="Q19" s="150">
        <f>IF(Q$5="",0,IF($E19="kWh",VLOOKUP(Q$5,'4. Billing Determinants'!$B$19:$N$41,4,0)/'4. Billing Determinants'!$E$41*$D19,IF($E19="kW",VLOOKUP(Q$5,'4. Billing Determinants'!$B$19:$N$41,5,0)/'4. Billing Determinants'!$F$41*$D19,IF($E19="Non-RPP kWh",VLOOKUP(Q$5,'4. Billing Determinants'!$B$19:$N$41,6,0)/'4. Billing Determinants'!$G$41*$D19,IF($E19="Distribution Rev.",VLOOKUP(Q$5,'4. Billing Determinants'!$B$19:$N$41,8,0)/'4. Billing Determinants'!$I$41*$D19, VLOOKUP(Q$5,'4. Billing Determinants'!$B$19:$N$41,3,0)/'4. Billing Determinants'!$D$41*$D19)))))</f>
        <v>0</v>
      </c>
      <c r="R19" s="150">
        <f>IF(R$5="",0,IF($E19="kWh",VLOOKUP(R$5,'4. Billing Determinants'!$B$19:$N$41,4,0)/'4. Billing Determinants'!$E$41*$D19,IF($E19="kW",VLOOKUP(R$5,'4. Billing Determinants'!$B$19:$N$41,5,0)/'4. Billing Determinants'!$F$41*$D19,IF($E19="Non-RPP kWh",VLOOKUP(R$5,'4. Billing Determinants'!$B$19:$N$41,6,0)/'4. Billing Determinants'!$G$41*$D19,IF($E19="Distribution Rev.",VLOOKUP(R$5,'4. Billing Determinants'!$B$19:$N$41,8,0)/'4. Billing Determinants'!$I$41*$D19, VLOOKUP(R$5,'4. Billing Determinants'!$B$19:$N$41,3,0)/'4. Billing Determinants'!$D$41*$D19)))))</f>
        <v>0</v>
      </c>
      <c r="S19" s="150">
        <f>IF(S$5="",0,IF($E19="kWh",VLOOKUP(S$5,'4. Billing Determinants'!$B$19:$N$41,4,0)/'4. Billing Determinants'!$E$41*$D19,IF($E19="kW",VLOOKUP(S$5,'4. Billing Determinants'!$B$19:$N$41,5,0)/'4. Billing Determinants'!$F$41*$D19,IF($E19="Non-RPP kWh",VLOOKUP(S$5,'4. Billing Determinants'!$B$19:$N$41,6,0)/'4. Billing Determinants'!$G$41*$D19,IF($E19="Distribution Rev.",VLOOKUP(S$5,'4. Billing Determinants'!$B$19:$N$41,8,0)/'4. Billing Determinants'!$I$41*$D19, VLOOKUP(S$5,'4. Billing Determinants'!$B$19:$N$41,3,0)/'4. Billing Determinants'!$D$41*$D19)))))</f>
        <v>0</v>
      </c>
      <c r="T19" s="150">
        <f>IF(T$5="",0,IF($E19="kWh",VLOOKUP(T$5,'4. Billing Determinants'!$B$19:$N$41,4,0)/'4. Billing Determinants'!$E$41*$D19,IF($E19="kW",VLOOKUP(T$5,'4. Billing Determinants'!$B$19:$N$41,5,0)/'4. Billing Determinants'!$F$41*$D19,IF($E19="Non-RPP kWh",VLOOKUP(T$5,'4. Billing Determinants'!$B$19:$N$41,6,0)/'4. Billing Determinants'!$G$41*$D19,IF($E19="Distribution Rev.",VLOOKUP(T$5,'4. Billing Determinants'!$B$19:$N$41,8,0)/'4. Billing Determinants'!$I$41*$D19, VLOOKUP(T$5,'4. Billing Determinants'!$B$19:$N$41,3,0)/'4. Billing Determinants'!$D$41*$D19)))))</f>
        <v>0</v>
      </c>
      <c r="U19" s="150">
        <f>IF(U$5="",0,IF($E19="kWh",VLOOKUP(U$5,'4. Billing Determinants'!$B$19:$N$41,4,0)/'4. Billing Determinants'!$E$41*$D19,IF($E19="kW",VLOOKUP(U$5,'4. Billing Determinants'!$B$19:$N$41,5,0)/'4. Billing Determinants'!$F$41*$D19,IF($E19="Non-RPP kWh",VLOOKUP(U$5,'4. Billing Determinants'!$B$19:$N$41,6,0)/'4. Billing Determinants'!$G$41*$D19,IF($E19="Distribution Rev.",VLOOKUP(U$5,'4. Billing Determinants'!$B$19:$N$41,8,0)/'4. Billing Determinants'!$I$41*$D19, VLOOKUP(U$5,'4. Billing Determinants'!$B$19:$N$41,3,0)/'4. Billing Determinants'!$D$41*$D19)))))</f>
        <v>0</v>
      </c>
      <c r="V19" s="150">
        <f>IF(V$5="",0,IF($E19="kWh",VLOOKUP(V$5,'4. Billing Determinants'!$B$19:$N$41,4,0)/'4. Billing Determinants'!$E$41*$D19,IF($E19="kW",VLOOKUP(V$5,'4. Billing Determinants'!$B$19:$N$41,5,0)/'4. Billing Determinants'!$F$41*$D19,IF($E19="Non-RPP kWh",VLOOKUP(V$5,'4. Billing Determinants'!$B$19:$N$41,6,0)/'4. Billing Determinants'!$G$41*$D19,IF($E19="Distribution Rev.",VLOOKUP(V$5,'4. Billing Determinants'!$B$19:$N$41,8,0)/'4. Billing Determinants'!$I$41*$D19, VLOOKUP(V$5,'4. Billing Determinants'!$B$19:$N$41,3,0)/'4. Billing Determinants'!$D$41*$D19)))))</f>
        <v>0</v>
      </c>
      <c r="W19" s="150">
        <f>IF(W$5="",0,IF($E19="kWh",VLOOKUP(W$5,'4. Billing Determinants'!$B$19:$N$41,4,0)/'4. Billing Determinants'!$E$41*$D19,IF($E19="kW",VLOOKUP(W$5,'4. Billing Determinants'!$B$19:$N$41,5,0)/'4. Billing Determinants'!$F$41*$D19,IF($E19="Non-RPP kWh",VLOOKUP(W$5,'4. Billing Determinants'!$B$19:$N$41,6,0)/'4. Billing Determinants'!$G$41*$D19,IF($E19="Distribution Rev.",VLOOKUP(W$5,'4. Billing Determinants'!$B$19:$N$41,8,0)/'4. Billing Determinants'!$I$41*$D19, VLOOKUP(W$5,'4. Billing Determinants'!$B$19:$N$41,3,0)/'4. Billing Determinants'!$D$41*$D19)))))</f>
        <v>0</v>
      </c>
      <c r="X19" s="150">
        <f>IF(X$5="",0,IF($E19="kWh",VLOOKUP(X$5,'4. Billing Determinants'!$B$19:$N$41,4,0)/'4. Billing Determinants'!$E$41*$D19,IF($E19="kW",VLOOKUP(X$5,'4. Billing Determinants'!$B$19:$N$41,5,0)/'4. Billing Determinants'!$F$41*$D19,IF($E19="Non-RPP kWh",VLOOKUP(X$5,'4. Billing Determinants'!$B$19:$N$41,6,0)/'4. Billing Determinants'!$G$41*$D19,IF($E19="Distribution Rev.",VLOOKUP(X$5,'4. Billing Determinants'!$B$19:$N$41,8,0)/'4. Billing Determinants'!$I$41*$D19, VLOOKUP(X$5,'4. Billing Determinants'!$B$19:$N$41,3,0)/'4. Billing Determinants'!$D$41*$D19)))))</f>
        <v>0</v>
      </c>
      <c r="Y19" s="150">
        <f>IF(Y$5="",0,IF($E19="kWh",VLOOKUP(Y$5,'4. Billing Determinants'!$B$19:$N$41,4,0)/'4. Billing Determinants'!$E$41*$D19,IF($E19="kW",VLOOKUP(Y$5,'4. Billing Determinants'!$B$19:$N$41,5,0)/'4. Billing Determinants'!$F$41*$D19,IF($E19="Non-RPP kWh",VLOOKUP(Y$5,'4. Billing Determinants'!$B$19:$N$41,6,0)/'4. Billing Determinants'!$G$41*$D19,IF($E19="Distribution Rev.",VLOOKUP(Y$5,'4. Billing Determinants'!$B$19:$N$41,8,0)/'4. Billing Determinants'!$I$41*$D19, VLOOKUP(Y$5,'4. Billing Determinants'!$B$19:$N$41,3,0)/'4. Billing Determinants'!$D$41*$D19)))))</f>
        <v>0</v>
      </c>
    </row>
    <row r="20" spans="2:25" ht="25.5" x14ac:dyDescent="0.2">
      <c r="B20" s="152" t="s">
        <v>67</v>
      </c>
      <c r="C20" s="149">
        <v>1508</v>
      </c>
      <c r="D20" s="211">
        <f>'2. 2013 Continuity Schedule'!CF42</f>
        <v>0</v>
      </c>
      <c r="E20" s="212" t="s">
        <v>232</v>
      </c>
      <c r="F20" s="211">
        <f>IF(F$5="",0,IF($E20="kWh",VLOOKUP(F$5,'4. Billing Determinants'!$B$19:$N$41,4,0)/'4. Billing Determinants'!$E$41*$D20,IF($E20="kW",VLOOKUP(F$5,'4. Billing Determinants'!$B$19:$N$41,5,0)/'4. Billing Determinants'!$F$41*$D20,IF($E20="Non-RPP kWh",VLOOKUP(F$5,'4. Billing Determinants'!$B$19:$N$41,6,0)/'4. Billing Determinants'!$G$41*$D20,IF($E20="Distribution Rev.",VLOOKUP(F$5,'4. Billing Determinants'!$B$19:$N$41,8,0)/'4. Billing Determinants'!$I$41*$D20, VLOOKUP(F$5,'4. Billing Determinants'!$B$19:$N$41,3,0)/'4. Billing Determinants'!$D$41*$D20)))))</f>
        <v>0</v>
      </c>
      <c r="G20" s="211">
        <f>IF(G$5="",0,IF($E20="kWh",VLOOKUP(G$5,'4. Billing Determinants'!$B$19:$N$41,4,0)/'4. Billing Determinants'!$E$41*$D20,IF($E20="kW",VLOOKUP(G$5,'4. Billing Determinants'!$B$19:$N$41,5,0)/'4. Billing Determinants'!$F$41*$D20,IF($E20="Non-RPP kWh",VLOOKUP(G$5,'4. Billing Determinants'!$B$19:$N$41,6,0)/'4. Billing Determinants'!$G$41*$D20,IF($E20="Distribution Rev.",VLOOKUP(G$5,'4. Billing Determinants'!$B$19:$N$41,8,0)/'4. Billing Determinants'!$I$41*$D20, VLOOKUP(G$5,'4. Billing Determinants'!$B$19:$N$41,3,0)/'4. Billing Determinants'!$D$41*$D20)))))</f>
        <v>0</v>
      </c>
      <c r="H20" s="211">
        <f>IF(H$5="",0,IF($E20="kWh",VLOOKUP(H$5,'4. Billing Determinants'!$B$19:$N$41,4,0)/'4. Billing Determinants'!$E$41*$D20,IF($E20="kW",VLOOKUP(H$5,'4. Billing Determinants'!$B$19:$N$41,5,0)/'4. Billing Determinants'!$F$41*$D20,IF($E20="Non-RPP kWh",VLOOKUP(H$5,'4. Billing Determinants'!$B$19:$N$41,6,0)/'4. Billing Determinants'!$G$41*$D20,IF($E20="Distribution Rev.",VLOOKUP(H$5,'4. Billing Determinants'!$B$19:$N$41,8,0)/'4. Billing Determinants'!$I$41*$D20, VLOOKUP(H$5,'4. Billing Determinants'!$B$19:$N$41,3,0)/'4. Billing Determinants'!$D$41*$D20)))))</f>
        <v>0</v>
      </c>
      <c r="I20" s="211">
        <f>IF(I$5="",0,IF($E20="kWh",VLOOKUP(I$5,'4. Billing Determinants'!$B$19:$N$41,4,0)/'4. Billing Determinants'!$E$41*$D20,IF($E20="kW",VLOOKUP(I$5,'4. Billing Determinants'!$B$19:$N$41,5,0)/'4. Billing Determinants'!$F$41*$D20,IF($E20="Non-RPP kWh",VLOOKUP(I$5,'4. Billing Determinants'!$B$19:$N$41,6,0)/'4. Billing Determinants'!$G$41*$D20,IF($E20="Distribution Rev.",VLOOKUP(I$5,'4. Billing Determinants'!$B$19:$N$41,8,0)/'4. Billing Determinants'!$I$41*$D20, VLOOKUP(I$5,'4. Billing Determinants'!$B$19:$N$41,3,0)/'4. Billing Determinants'!$D$41*$D20)))))</f>
        <v>0</v>
      </c>
      <c r="J20" s="211">
        <f>IF(J$5="",0,IF($E20="kWh",VLOOKUP(J$5,'4. Billing Determinants'!$B$19:$N$41,4,0)/'4. Billing Determinants'!$E$41*$D20,IF($E20="kW",VLOOKUP(J$5,'4. Billing Determinants'!$B$19:$N$41,5,0)/'4. Billing Determinants'!$F$41*$D20,IF($E20="Non-RPP kWh",VLOOKUP(J$5,'4. Billing Determinants'!$B$19:$N$41,6,0)/'4. Billing Determinants'!$G$41*$D20,IF($E20="Distribution Rev.",VLOOKUP(J$5,'4. Billing Determinants'!$B$19:$N$41,8,0)/'4. Billing Determinants'!$I$41*$D20, VLOOKUP(J$5,'4. Billing Determinants'!$B$19:$N$41,3,0)/'4. Billing Determinants'!$D$41*$D20)))))</f>
        <v>0</v>
      </c>
      <c r="K20" s="211">
        <f>IF(K$5="",0,IF($E20="kWh",VLOOKUP(K$5,'4. Billing Determinants'!$B$19:$N$41,4,0)/'4. Billing Determinants'!$E$41*$D20,IF($E20="kW",VLOOKUP(K$5,'4. Billing Determinants'!$B$19:$N$41,5,0)/'4. Billing Determinants'!$F$41*$D20,IF($E20="Non-RPP kWh",VLOOKUP(K$5,'4. Billing Determinants'!$B$19:$N$41,6,0)/'4. Billing Determinants'!$G$41*$D20,IF($E20="Distribution Rev.",VLOOKUP(K$5,'4. Billing Determinants'!$B$19:$N$41,8,0)/'4. Billing Determinants'!$I$41*$D20, VLOOKUP(K$5,'4. Billing Determinants'!$B$19:$N$41,3,0)/'4. Billing Determinants'!$D$41*$D20)))))</f>
        <v>0</v>
      </c>
      <c r="L20" s="211">
        <f>IF(L$5="",0,IF($E20="kWh",VLOOKUP(L$5,'4. Billing Determinants'!$B$19:$N$41,4,0)/'4. Billing Determinants'!$E$41*$D20,IF($E20="kW",VLOOKUP(L$5,'4. Billing Determinants'!$B$19:$N$41,5,0)/'4. Billing Determinants'!$F$41*$D20,IF($E20="Non-RPP kWh",VLOOKUP(L$5,'4. Billing Determinants'!$B$19:$N$41,6,0)/'4. Billing Determinants'!$G$41*$D20,IF($E20="Distribution Rev.",VLOOKUP(L$5,'4. Billing Determinants'!$B$19:$N$41,8,0)/'4. Billing Determinants'!$I$41*$D20, VLOOKUP(L$5,'4. Billing Determinants'!$B$19:$N$41,3,0)/'4. Billing Determinants'!$D$41*$D20)))))</f>
        <v>0</v>
      </c>
      <c r="M20" s="150">
        <f>IF(M$5="",0,IF($E20="kWh",VLOOKUP(M$5,'4. Billing Determinants'!$B$19:$N$41,4,0)/'4. Billing Determinants'!$E$41*$D20,IF($E20="kW",VLOOKUP(M$5,'4. Billing Determinants'!$B$19:$N$41,5,0)/'4. Billing Determinants'!$F$41*$D20,IF($E20="Non-RPP kWh",VLOOKUP(M$5,'4. Billing Determinants'!$B$19:$N$41,6,0)/'4. Billing Determinants'!$G$41*$D20,IF($E20="Distribution Rev.",VLOOKUP(M$5,'4. Billing Determinants'!$B$19:$N$41,8,0)/'4. Billing Determinants'!$I$41*$D20, VLOOKUP(M$5,'4. Billing Determinants'!$B$19:$N$41,3,0)/'4. Billing Determinants'!$D$41*$D20)))))</f>
        <v>0</v>
      </c>
      <c r="N20" s="150">
        <f>IF(N$5="",0,IF($E20="kWh",VLOOKUP(N$5,'4. Billing Determinants'!$B$19:$N$41,4,0)/'4. Billing Determinants'!$E$41*$D20,IF($E20="kW",VLOOKUP(N$5,'4. Billing Determinants'!$B$19:$N$41,5,0)/'4. Billing Determinants'!$F$41*$D20,IF($E20="Non-RPP kWh",VLOOKUP(N$5,'4. Billing Determinants'!$B$19:$N$41,6,0)/'4. Billing Determinants'!$G$41*$D20,IF($E20="Distribution Rev.",VLOOKUP(N$5,'4. Billing Determinants'!$B$19:$N$41,8,0)/'4. Billing Determinants'!$I$41*$D20, VLOOKUP(N$5,'4. Billing Determinants'!$B$19:$N$41,3,0)/'4. Billing Determinants'!$D$41*$D20)))))</f>
        <v>0</v>
      </c>
      <c r="O20" s="150">
        <f>IF(O$5="",0,IF($E20="kWh",VLOOKUP(O$5,'4. Billing Determinants'!$B$19:$N$41,4,0)/'4. Billing Determinants'!$E$41*$D20,IF($E20="kW",VLOOKUP(O$5,'4. Billing Determinants'!$B$19:$N$41,5,0)/'4. Billing Determinants'!$F$41*$D20,IF($E20="Non-RPP kWh",VLOOKUP(O$5,'4. Billing Determinants'!$B$19:$N$41,6,0)/'4. Billing Determinants'!$G$41*$D20,IF($E20="Distribution Rev.",VLOOKUP(O$5,'4. Billing Determinants'!$B$19:$N$41,8,0)/'4. Billing Determinants'!$I$41*$D20, VLOOKUP(O$5,'4. Billing Determinants'!$B$19:$N$41,3,0)/'4. Billing Determinants'!$D$41*$D20)))))</f>
        <v>0</v>
      </c>
      <c r="P20" s="150">
        <f>IF(P$5="",0,IF($E20="kWh",VLOOKUP(P$5,'4. Billing Determinants'!$B$19:$N$41,4,0)/'4. Billing Determinants'!$E$41*$D20,IF($E20="kW",VLOOKUP(P$5,'4. Billing Determinants'!$B$19:$N$41,5,0)/'4. Billing Determinants'!$F$41*$D20,IF($E20="Non-RPP kWh",VLOOKUP(P$5,'4. Billing Determinants'!$B$19:$N$41,6,0)/'4. Billing Determinants'!$G$41*$D20,IF($E20="Distribution Rev.",VLOOKUP(P$5,'4. Billing Determinants'!$B$19:$N$41,8,0)/'4. Billing Determinants'!$I$41*$D20, VLOOKUP(P$5,'4. Billing Determinants'!$B$19:$N$41,3,0)/'4. Billing Determinants'!$D$41*$D20)))))</f>
        <v>0</v>
      </c>
      <c r="Q20" s="150">
        <f>IF(Q$5="",0,IF($E20="kWh",VLOOKUP(Q$5,'4. Billing Determinants'!$B$19:$N$41,4,0)/'4. Billing Determinants'!$E$41*$D20,IF($E20="kW",VLOOKUP(Q$5,'4. Billing Determinants'!$B$19:$N$41,5,0)/'4. Billing Determinants'!$F$41*$D20,IF($E20="Non-RPP kWh",VLOOKUP(Q$5,'4. Billing Determinants'!$B$19:$N$41,6,0)/'4. Billing Determinants'!$G$41*$D20,IF($E20="Distribution Rev.",VLOOKUP(Q$5,'4. Billing Determinants'!$B$19:$N$41,8,0)/'4. Billing Determinants'!$I$41*$D20, VLOOKUP(Q$5,'4. Billing Determinants'!$B$19:$N$41,3,0)/'4. Billing Determinants'!$D$41*$D20)))))</f>
        <v>0</v>
      </c>
      <c r="R20" s="150">
        <f>IF(R$5="",0,IF($E20="kWh",VLOOKUP(R$5,'4. Billing Determinants'!$B$19:$N$41,4,0)/'4. Billing Determinants'!$E$41*$D20,IF($E20="kW",VLOOKUP(R$5,'4. Billing Determinants'!$B$19:$N$41,5,0)/'4. Billing Determinants'!$F$41*$D20,IF($E20="Non-RPP kWh",VLOOKUP(R$5,'4. Billing Determinants'!$B$19:$N$41,6,0)/'4. Billing Determinants'!$G$41*$D20,IF($E20="Distribution Rev.",VLOOKUP(R$5,'4. Billing Determinants'!$B$19:$N$41,8,0)/'4. Billing Determinants'!$I$41*$D20, VLOOKUP(R$5,'4. Billing Determinants'!$B$19:$N$41,3,0)/'4. Billing Determinants'!$D$41*$D20)))))</f>
        <v>0</v>
      </c>
      <c r="S20" s="150">
        <f>IF(S$5="",0,IF($E20="kWh",VLOOKUP(S$5,'4. Billing Determinants'!$B$19:$N$41,4,0)/'4. Billing Determinants'!$E$41*$D20,IF($E20="kW",VLOOKUP(S$5,'4. Billing Determinants'!$B$19:$N$41,5,0)/'4. Billing Determinants'!$F$41*$D20,IF($E20="Non-RPP kWh",VLOOKUP(S$5,'4. Billing Determinants'!$B$19:$N$41,6,0)/'4. Billing Determinants'!$G$41*$D20,IF($E20="Distribution Rev.",VLOOKUP(S$5,'4. Billing Determinants'!$B$19:$N$41,8,0)/'4. Billing Determinants'!$I$41*$D20, VLOOKUP(S$5,'4. Billing Determinants'!$B$19:$N$41,3,0)/'4. Billing Determinants'!$D$41*$D20)))))</f>
        <v>0</v>
      </c>
      <c r="T20" s="150">
        <f>IF(T$5="",0,IF($E20="kWh",VLOOKUP(T$5,'4. Billing Determinants'!$B$19:$N$41,4,0)/'4. Billing Determinants'!$E$41*$D20,IF($E20="kW",VLOOKUP(T$5,'4. Billing Determinants'!$B$19:$N$41,5,0)/'4. Billing Determinants'!$F$41*$D20,IF($E20="Non-RPP kWh",VLOOKUP(T$5,'4. Billing Determinants'!$B$19:$N$41,6,0)/'4. Billing Determinants'!$G$41*$D20,IF($E20="Distribution Rev.",VLOOKUP(T$5,'4. Billing Determinants'!$B$19:$N$41,8,0)/'4. Billing Determinants'!$I$41*$D20, VLOOKUP(T$5,'4. Billing Determinants'!$B$19:$N$41,3,0)/'4. Billing Determinants'!$D$41*$D20)))))</f>
        <v>0</v>
      </c>
      <c r="U20" s="150">
        <f>IF(U$5="",0,IF($E20="kWh",VLOOKUP(U$5,'4. Billing Determinants'!$B$19:$N$41,4,0)/'4. Billing Determinants'!$E$41*$D20,IF($E20="kW",VLOOKUP(U$5,'4. Billing Determinants'!$B$19:$N$41,5,0)/'4. Billing Determinants'!$F$41*$D20,IF($E20="Non-RPP kWh",VLOOKUP(U$5,'4. Billing Determinants'!$B$19:$N$41,6,0)/'4. Billing Determinants'!$G$41*$D20,IF($E20="Distribution Rev.",VLOOKUP(U$5,'4. Billing Determinants'!$B$19:$N$41,8,0)/'4. Billing Determinants'!$I$41*$D20, VLOOKUP(U$5,'4. Billing Determinants'!$B$19:$N$41,3,0)/'4. Billing Determinants'!$D$41*$D20)))))</f>
        <v>0</v>
      </c>
      <c r="V20" s="150">
        <f>IF(V$5="",0,IF($E20="kWh",VLOOKUP(V$5,'4. Billing Determinants'!$B$19:$N$41,4,0)/'4. Billing Determinants'!$E$41*$D20,IF($E20="kW",VLOOKUP(V$5,'4. Billing Determinants'!$B$19:$N$41,5,0)/'4. Billing Determinants'!$F$41*$D20,IF($E20="Non-RPP kWh",VLOOKUP(V$5,'4. Billing Determinants'!$B$19:$N$41,6,0)/'4. Billing Determinants'!$G$41*$D20,IF($E20="Distribution Rev.",VLOOKUP(V$5,'4. Billing Determinants'!$B$19:$N$41,8,0)/'4. Billing Determinants'!$I$41*$D20, VLOOKUP(V$5,'4. Billing Determinants'!$B$19:$N$41,3,0)/'4. Billing Determinants'!$D$41*$D20)))))</f>
        <v>0</v>
      </c>
      <c r="W20" s="150">
        <f>IF(W$5="",0,IF($E20="kWh",VLOOKUP(W$5,'4. Billing Determinants'!$B$19:$N$41,4,0)/'4. Billing Determinants'!$E$41*$D20,IF($E20="kW",VLOOKUP(W$5,'4. Billing Determinants'!$B$19:$N$41,5,0)/'4. Billing Determinants'!$F$41*$D20,IF($E20="Non-RPP kWh",VLOOKUP(W$5,'4. Billing Determinants'!$B$19:$N$41,6,0)/'4. Billing Determinants'!$G$41*$D20,IF($E20="Distribution Rev.",VLOOKUP(W$5,'4. Billing Determinants'!$B$19:$N$41,8,0)/'4. Billing Determinants'!$I$41*$D20, VLOOKUP(W$5,'4. Billing Determinants'!$B$19:$N$41,3,0)/'4. Billing Determinants'!$D$41*$D20)))))</f>
        <v>0</v>
      </c>
      <c r="X20" s="150">
        <f>IF(X$5="",0,IF($E20="kWh",VLOOKUP(X$5,'4. Billing Determinants'!$B$19:$N$41,4,0)/'4. Billing Determinants'!$E$41*$D20,IF($E20="kW",VLOOKUP(X$5,'4. Billing Determinants'!$B$19:$N$41,5,0)/'4. Billing Determinants'!$F$41*$D20,IF($E20="Non-RPP kWh",VLOOKUP(X$5,'4. Billing Determinants'!$B$19:$N$41,6,0)/'4. Billing Determinants'!$G$41*$D20,IF($E20="Distribution Rev.",VLOOKUP(X$5,'4. Billing Determinants'!$B$19:$N$41,8,0)/'4. Billing Determinants'!$I$41*$D20, VLOOKUP(X$5,'4. Billing Determinants'!$B$19:$N$41,3,0)/'4. Billing Determinants'!$D$41*$D20)))))</f>
        <v>0</v>
      </c>
      <c r="Y20" s="150">
        <f>IF(Y$5="",0,IF($E20="kWh",VLOOKUP(Y$5,'4. Billing Determinants'!$B$19:$N$41,4,0)/'4. Billing Determinants'!$E$41*$D20,IF($E20="kW",VLOOKUP(Y$5,'4. Billing Determinants'!$B$19:$N$41,5,0)/'4. Billing Determinants'!$F$41*$D20,IF($E20="Non-RPP kWh",VLOOKUP(Y$5,'4. Billing Determinants'!$B$19:$N$41,6,0)/'4. Billing Determinants'!$G$41*$D20,IF($E20="Distribution Rev.",VLOOKUP(Y$5,'4. Billing Determinants'!$B$19:$N$41,8,0)/'4. Billing Determinants'!$I$41*$D20, VLOOKUP(Y$5,'4. Billing Determinants'!$B$19:$N$41,3,0)/'4. Billing Determinants'!$D$41*$D20)))))</f>
        <v>0</v>
      </c>
    </row>
    <row r="21" spans="2:25" ht="25.5" hidden="1" x14ac:dyDescent="0.2">
      <c r="B21" s="152" t="s">
        <v>68</v>
      </c>
      <c r="C21" s="149">
        <v>1508</v>
      </c>
      <c r="D21" s="211">
        <f>'2. 2013 Continuity Schedule'!CF43</f>
        <v>0</v>
      </c>
      <c r="E21" s="212"/>
      <c r="F21" s="211">
        <f>IF(F$5="",0,IF($E21="kWh",VLOOKUP(F$5,'4. Billing Determinants'!$B$19:$N$41,4,0)/'4. Billing Determinants'!$E$41*$D21,IF($E21="kW",VLOOKUP(F$5,'4. Billing Determinants'!$B$19:$N$41,5,0)/'4. Billing Determinants'!$F$41*$D21,IF($E21="Non-RPP kWh",VLOOKUP(F$5,'4. Billing Determinants'!$B$19:$N$41,6,0)/'4. Billing Determinants'!$G$41*$D21,IF($E21="Distribution Rev.",VLOOKUP(F$5,'4. Billing Determinants'!$B$19:$N$41,8,0)/'4. Billing Determinants'!$I$41*$D21, VLOOKUP(F$5,'4. Billing Determinants'!$B$19:$N$41,3,0)/'4. Billing Determinants'!$D$41*$D21)))))</f>
        <v>0</v>
      </c>
      <c r="G21" s="211">
        <f>IF(G$5="",0,IF($E21="kWh",VLOOKUP(G$5,'4. Billing Determinants'!$B$19:$N$41,4,0)/'4. Billing Determinants'!$E$41*$D21,IF($E21="kW",VLOOKUP(G$5,'4. Billing Determinants'!$B$19:$N$41,5,0)/'4. Billing Determinants'!$F$41*$D21,IF($E21="Non-RPP kWh",VLOOKUP(G$5,'4. Billing Determinants'!$B$19:$N$41,6,0)/'4. Billing Determinants'!$G$41*$D21,IF($E21="Distribution Rev.",VLOOKUP(G$5,'4. Billing Determinants'!$B$19:$N$41,8,0)/'4. Billing Determinants'!$I$41*$D21, VLOOKUP(G$5,'4. Billing Determinants'!$B$19:$N$41,3,0)/'4. Billing Determinants'!$D$41*$D21)))))</f>
        <v>0</v>
      </c>
      <c r="H21" s="211">
        <f>IF(H$5="",0,IF($E21="kWh",VLOOKUP(H$5,'4. Billing Determinants'!$B$19:$N$41,4,0)/'4. Billing Determinants'!$E$41*$D21,IF($E21="kW",VLOOKUP(H$5,'4. Billing Determinants'!$B$19:$N$41,5,0)/'4. Billing Determinants'!$F$41*$D21,IF($E21="Non-RPP kWh",VLOOKUP(H$5,'4. Billing Determinants'!$B$19:$N$41,6,0)/'4. Billing Determinants'!$G$41*$D21,IF($E21="Distribution Rev.",VLOOKUP(H$5,'4. Billing Determinants'!$B$19:$N$41,8,0)/'4. Billing Determinants'!$I$41*$D21, VLOOKUP(H$5,'4. Billing Determinants'!$B$19:$N$41,3,0)/'4. Billing Determinants'!$D$41*$D21)))))</f>
        <v>0</v>
      </c>
      <c r="I21" s="211">
        <f>IF(I$5="",0,IF($E21="kWh",VLOOKUP(I$5,'4. Billing Determinants'!$B$19:$N$41,4,0)/'4. Billing Determinants'!$E$41*$D21,IF($E21="kW",VLOOKUP(I$5,'4. Billing Determinants'!$B$19:$N$41,5,0)/'4. Billing Determinants'!$F$41*$D21,IF($E21="Non-RPP kWh",VLOOKUP(I$5,'4. Billing Determinants'!$B$19:$N$41,6,0)/'4. Billing Determinants'!$G$41*$D21,IF($E21="Distribution Rev.",VLOOKUP(I$5,'4. Billing Determinants'!$B$19:$N$41,8,0)/'4. Billing Determinants'!$I$41*$D21, VLOOKUP(I$5,'4. Billing Determinants'!$B$19:$N$41,3,0)/'4. Billing Determinants'!$D$41*$D21)))))</f>
        <v>0</v>
      </c>
      <c r="J21" s="211">
        <f>IF(J$5="",0,IF($E21="kWh",VLOOKUP(J$5,'4. Billing Determinants'!$B$19:$N$41,4,0)/'4. Billing Determinants'!$E$41*$D21,IF($E21="kW",VLOOKUP(J$5,'4. Billing Determinants'!$B$19:$N$41,5,0)/'4. Billing Determinants'!$F$41*$D21,IF($E21="Non-RPP kWh",VLOOKUP(J$5,'4. Billing Determinants'!$B$19:$N$41,6,0)/'4. Billing Determinants'!$G$41*$D21,IF($E21="Distribution Rev.",VLOOKUP(J$5,'4. Billing Determinants'!$B$19:$N$41,8,0)/'4. Billing Determinants'!$I$41*$D21, VLOOKUP(J$5,'4. Billing Determinants'!$B$19:$N$41,3,0)/'4. Billing Determinants'!$D$41*$D21)))))</f>
        <v>0</v>
      </c>
      <c r="K21" s="211">
        <f>IF(K$5="",0,IF($E21="kWh",VLOOKUP(K$5,'4. Billing Determinants'!$B$19:$N$41,4,0)/'4. Billing Determinants'!$E$41*$D21,IF($E21="kW",VLOOKUP(K$5,'4. Billing Determinants'!$B$19:$N$41,5,0)/'4. Billing Determinants'!$F$41*$D21,IF($E21="Non-RPP kWh",VLOOKUP(K$5,'4. Billing Determinants'!$B$19:$N$41,6,0)/'4. Billing Determinants'!$G$41*$D21,IF($E21="Distribution Rev.",VLOOKUP(K$5,'4. Billing Determinants'!$B$19:$N$41,8,0)/'4. Billing Determinants'!$I$41*$D21, VLOOKUP(K$5,'4. Billing Determinants'!$B$19:$N$41,3,0)/'4. Billing Determinants'!$D$41*$D21)))))</f>
        <v>0</v>
      </c>
      <c r="L21" s="211">
        <f>IF(L$5="",0,IF($E21="kWh",VLOOKUP(L$5,'4. Billing Determinants'!$B$19:$N$41,4,0)/'4. Billing Determinants'!$E$41*$D21,IF($E21="kW",VLOOKUP(L$5,'4. Billing Determinants'!$B$19:$N$41,5,0)/'4. Billing Determinants'!$F$41*$D21,IF($E21="Non-RPP kWh",VLOOKUP(L$5,'4. Billing Determinants'!$B$19:$N$41,6,0)/'4. Billing Determinants'!$G$41*$D21,IF($E21="Distribution Rev.",VLOOKUP(L$5,'4. Billing Determinants'!$B$19:$N$41,8,0)/'4. Billing Determinants'!$I$41*$D21, VLOOKUP(L$5,'4. Billing Determinants'!$B$19:$N$41,3,0)/'4. Billing Determinants'!$D$41*$D21)))))</f>
        <v>0</v>
      </c>
      <c r="M21" s="150">
        <f>IF(M$5="",0,IF($E21="kWh",VLOOKUP(M$5,'4. Billing Determinants'!$B$19:$N$41,4,0)/'4. Billing Determinants'!$E$41*$D21,IF($E21="kW",VLOOKUP(M$5,'4. Billing Determinants'!$B$19:$N$41,5,0)/'4. Billing Determinants'!$F$41*$D21,IF($E21="Non-RPP kWh",VLOOKUP(M$5,'4. Billing Determinants'!$B$19:$N$41,6,0)/'4. Billing Determinants'!$G$41*$D21,IF($E21="Distribution Rev.",VLOOKUP(M$5,'4. Billing Determinants'!$B$19:$N$41,8,0)/'4. Billing Determinants'!$I$41*$D21, VLOOKUP(M$5,'4. Billing Determinants'!$B$19:$N$41,3,0)/'4. Billing Determinants'!$D$41*$D21)))))</f>
        <v>0</v>
      </c>
      <c r="N21" s="150">
        <f>IF(N$5="",0,IF($E21="kWh",VLOOKUP(N$5,'4. Billing Determinants'!$B$19:$N$41,4,0)/'4. Billing Determinants'!$E$41*$D21,IF($E21="kW",VLOOKUP(N$5,'4. Billing Determinants'!$B$19:$N$41,5,0)/'4. Billing Determinants'!$F$41*$D21,IF($E21="Non-RPP kWh",VLOOKUP(N$5,'4. Billing Determinants'!$B$19:$N$41,6,0)/'4. Billing Determinants'!$G$41*$D21,IF($E21="Distribution Rev.",VLOOKUP(N$5,'4. Billing Determinants'!$B$19:$N$41,8,0)/'4. Billing Determinants'!$I$41*$D21, VLOOKUP(N$5,'4. Billing Determinants'!$B$19:$N$41,3,0)/'4. Billing Determinants'!$D$41*$D21)))))</f>
        <v>0</v>
      </c>
      <c r="O21" s="150">
        <f>IF(O$5="",0,IF($E21="kWh",VLOOKUP(O$5,'4. Billing Determinants'!$B$19:$N$41,4,0)/'4. Billing Determinants'!$E$41*$D21,IF($E21="kW",VLOOKUP(O$5,'4. Billing Determinants'!$B$19:$N$41,5,0)/'4. Billing Determinants'!$F$41*$D21,IF($E21="Non-RPP kWh",VLOOKUP(O$5,'4. Billing Determinants'!$B$19:$N$41,6,0)/'4. Billing Determinants'!$G$41*$D21,IF($E21="Distribution Rev.",VLOOKUP(O$5,'4. Billing Determinants'!$B$19:$N$41,8,0)/'4. Billing Determinants'!$I$41*$D21, VLOOKUP(O$5,'4. Billing Determinants'!$B$19:$N$41,3,0)/'4. Billing Determinants'!$D$41*$D21)))))</f>
        <v>0</v>
      </c>
      <c r="P21" s="150">
        <f>IF(P$5="",0,IF($E21="kWh",VLOOKUP(P$5,'4. Billing Determinants'!$B$19:$N$41,4,0)/'4. Billing Determinants'!$E$41*$D21,IF($E21="kW",VLOOKUP(P$5,'4. Billing Determinants'!$B$19:$N$41,5,0)/'4. Billing Determinants'!$F$41*$D21,IF($E21="Non-RPP kWh",VLOOKUP(P$5,'4. Billing Determinants'!$B$19:$N$41,6,0)/'4. Billing Determinants'!$G$41*$D21,IF($E21="Distribution Rev.",VLOOKUP(P$5,'4. Billing Determinants'!$B$19:$N$41,8,0)/'4. Billing Determinants'!$I$41*$D21, VLOOKUP(P$5,'4. Billing Determinants'!$B$19:$N$41,3,0)/'4. Billing Determinants'!$D$41*$D21)))))</f>
        <v>0</v>
      </c>
      <c r="Q21" s="150">
        <f>IF(Q$5="",0,IF($E21="kWh",VLOOKUP(Q$5,'4. Billing Determinants'!$B$19:$N$41,4,0)/'4. Billing Determinants'!$E$41*$D21,IF($E21="kW",VLOOKUP(Q$5,'4. Billing Determinants'!$B$19:$N$41,5,0)/'4. Billing Determinants'!$F$41*$D21,IF($E21="Non-RPP kWh",VLOOKUP(Q$5,'4. Billing Determinants'!$B$19:$N$41,6,0)/'4. Billing Determinants'!$G$41*$D21,IF($E21="Distribution Rev.",VLOOKUP(Q$5,'4. Billing Determinants'!$B$19:$N$41,8,0)/'4. Billing Determinants'!$I$41*$D21, VLOOKUP(Q$5,'4. Billing Determinants'!$B$19:$N$41,3,0)/'4. Billing Determinants'!$D$41*$D21)))))</f>
        <v>0</v>
      </c>
      <c r="R21" s="150">
        <f>IF(R$5="",0,IF($E21="kWh",VLOOKUP(R$5,'4. Billing Determinants'!$B$19:$N$41,4,0)/'4. Billing Determinants'!$E$41*$D21,IF($E21="kW",VLOOKUP(R$5,'4. Billing Determinants'!$B$19:$N$41,5,0)/'4. Billing Determinants'!$F$41*$D21,IF($E21="Non-RPP kWh",VLOOKUP(R$5,'4. Billing Determinants'!$B$19:$N$41,6,0)/'4. Billing Determinants'!$G$41*$D21,IF($E21="Distribution Rev.",VLOOKUP(R$5,'4. Billing Determinants'!$B$19:$N$41,8,0)/'4. Billing Determinants'!$I$41*$D21, VLOOKUP(R$5,'4. Billing Determinants'!$B$19:$N$41,3,0)/'4. Billing Determinants'!$D$41*$D21)))))</f>
        <v>0</v>
      </c>
      <c r="S21" s="150">
        <f>IF(S$5="",0,IF($E21="kWh",VLOOKUP(S$5,'4. Billing Determinants'!$B$19:$N$41,4,0)/'4. Billing Determinants'!$E$41*$D21,IF($E21="kW",VLOOKUP(S$5,'4. Billing Determinants'!$B$19:$N$41,5,0)/'4. Billing Determinants'!$F$41*$D21,IF($E21="Non-RPP kWh",VLOOKUP(S$5,'4. Billing Determinants'!$B$19:$N$41,6,0)/'4. Billing Determinants'!$G$41*$D21,IF($E21="Distribution Rev.",VLOOKUP(S$5,'4. Billing Determinants'!$B$19:$N$41,8,0)/'4. Billing Determinants'!$I$41*$D21, VLOOKUP(S$5,'4. Billing Determinants'!$B$19:$N$41,3,0)/'4. Billing Determinants'!$D$41*$D21)))))</f>
        <v>0</v>
      </c>
      <c r="T21" s="150">
        <f>IF(T$5="",0,IF($E21="kWh",VLOOKUP(T$5,'4. Billing Determinants'!$B$19:$N$41,4,0)/'4. Billing Determinants'!$E$41*$D21,IF($E21="kW",VLOOKUP(T$5,'4. Billing Determinants'!$B$19:$N$41,5,0)/'4. Billing Determinants'!$F$41*$D21,IF($E21="Non-RPP kWh",VLOOKUP(T$5,'4. Billing Determinants'!$B$19:$N$41,6,0)/'4. Billing Determinants'!$G$41*$D21,IF($E21="Distribution Rev.",VLOOKUP(T$5,'4. Billing Determinants'!$B$19:$N$41,8,0)/'4. Billing Determinants'!$I$41*$D21, VLOOKUP(T$5,'4. Billing Determinants'!$B$19:$N$41,3,0)/'4. Billing Determinants'!$D$41*$D21)))))</f>
        <v>0</v>
      </c>
      <c r="U21" s="150">
        <f>IF(U$5="",0,IF($E21="kWh",VLOOKUP(U$5,'4. Billing Determinants'!$B$19:$N$41,4,0)/'4. Billing Determinants'!$E$41*$D21,IF($E21="kW",VLOOKUP(U$5,'4. Billing Determinants'!$B$19:$N$41,5,0)/'4. Billing Determinants'!$F$41*$D21,IF($E21="Non-RPP kWh",VLOOKUP(U$5,'4. Billing Determinants'!$B$19:$N$41,6,0)/'4. Billing Determinants'!$G$41*$D21,IF($E21="Distribution Rev.",VLOOKUP(U$5,'4. Billing Determinants'!$B$19:$N$41,8,0)/'4. Billing Determinants'!$I$41*$D21, VLOOKUP(U$5,'4. Billing Determinants'!$B$19:$N$41,3,0)/'4. Billing Determinants'!$D$41*$D21)))))</f>
        <v>0</v>
      </c>
      <c r="V21" s="150">
        <f>IF(V$5="",0,IF($E21="kWh",VLOOKUP(V$5,'4. Billing Determinants'!$B$19:$N$41,4,0)/'4. Billing Determinants'!$E$41*$D21,IF($E21="kW",VLOOKUP(V$5,'4. Billing Determinants'!$B$19:$N$41,5,0)/'4. Billing Determinants'!$F$41*$D21,IF($E21="Non-RPP kWh",VLOOKUP(V$5,'4. Billing Determinants'!$B$19:$N$41,6,0)/'4. Billing Determinants'!$G$41*$D21,IF($E21="Distribution Rev.",VLOOKUP(V$5,'4. Billing Determinants'!$B$19:$N$41,8,0)/'4. Billing Determinants'!$I$41*$D21, VLOOKUP(V$5,'4. Billing Determinants'!$B$19:$N$41,3,0)/'4. Billing Determinants'!$D$41*$D21)))))</f>
        <v>0</v>
      </c>
      <c r="W21" s="150">
        <f>IF(W$5="",0,IF($E21="kWh",VLOOKUP(W$5,'4. Billing Determinants'!$B$19:$N$41,4,0)/'4. Billing Determinants'!$E$41*$D21,IF($E21="kW",VLOOKUP(W$5,'4. Billing Determinants'!$B$19:$N$41,5,0)/'4. Billing Determinants'!$F$41*$D21,IF($E21="Non-RPP kWh",VLOOKUP(W$5,'4. Billing Determinants'!$B$19:$N$41,6,0)/'4. Billing Determinants'!$G$41*$D21,IF($E21="Distribution Rev.",VLOOKUP(W$5,'4. Billing Determinants'!$B$19:$N$41,8,0)/'4. Billing Determinants'!$I$41*$D21, VLOOKUP(W$5,'4. Billing Determinants'!$B$19:$N$41,3,0)/'4. Billing Determinants'!$D$41*$D21)))))</f>
        <v>0</v>
      </c>
      <c r="X21" s="150">
        <f>IF(X$5="",0,IF($E21="kWh",VLOOKUP(X$5,'4. Billing Determinants'!$B$19:$N$41,4,0)/'4. Billing Determinants'!$E$41*$D21,IF($E21="kW",VLOOKUP(X$5,'4. Billing Determinants'!$B$19:$N$41,5,0)/'4. Billing Determinants'!$F$41*$D21,IF($E21="Non-RPP kWh",VLOOKUP(X$5,'4. Billing Determinants'!$B$19:$N$41,6,0)/'4. Billing Determinants'!$G$41*$D21,IF($E21="Distribution Rev.",VLOOKUP(X$5,'4. Billing Determinants'!$B$19:$N$41,8,0)/'4. Billing Determinants'!$I$41*$D21, VLOOKUP(X$5,'4. Billing Determinants'!$B$19:$N$41,3,0)/'4. Billing Determinants'!$D$41*$D21)))))</f>
        <v>0</v>
      </c>
      <c r="Y21" s="150">
        <f>IF(Y$5="",0,IF($E21="kWh",VLOOKUP(Y$5,'4. Billing Determinants'!$B$19:$N$41,4,0)/'4. Billing Determinants'!$E$41*$D21,IF($E21="kW",VLOOKUP(Y$5,'4. Billing Determinants'!$B$19:$N$41,5,0)/'4. Billing Determinants'!$F$41*$D21,IF($E21="Non-RPP kWh",VLOOKUP(Y$5,'4. Billing Determinants'!$B$19:$N$41,6,0)/'4. Billing Determinants'!$G$41*$D21,IF($E21="Distribution Rev.",VLOOKUP(Y$5,'4. Billing Determinants'!$B$19:$N$41,8,0)/'4. Billing Determinants'!$I$41*$D21, VLOOKUP(Y$5,'4. Billing Determinants'!$B$19:$N$41,3,0)/'4. Billing Determinants'!$D$41*$D21)))))</f>
        <v>0</v>
      </c>
    </row>
    <row r="22" spans="2:25" ht="38.25" hidden="1" x14ac:dyDescent="0.2">
      <c r="B22" s="152" t="s">
        <v>182</v>
      </c>
      <c r="C22" s="149">
        <v>1508</v>
      </c>
      <c r="D22" s="211">
        <f>'2. 2013 Continuity Schedule'!CF44</f>
        <v>0</v>
      </c>
      <c r="E22" s="212"/>
      <c r="F22" s="211">
        <f>IF(F$5="",0,IF($E22="kWh",VLOOKUP(F$5,'4. Billing Determinants'!$B$19:$N$41,4,0)/'4. Billing Determinants'!$E$41*$D22,IF($E22="kW",VLOOKUP(F$5,'4. Billing Determinants'!$B$19:$N$41,5,0)/'4. Billing Determinants'!$F$41*$D22,IF($E22="Non-RPP kWh",VLOOKUP(F$5,'4. Billing Determinants'!$B$19:$N$41,6,0)/'4. Billing Determinants'!$G$41*$D22,IF($E22="Distribution Rev.",VLOOKUP(F$5,'4. Billing Determinants'!$B$19:$N$41,8,0)/'4. Billing Determinants'!$I$41*$D22, VLOOKUP(F$5,'4. Billing Determinants'!$B$19:$N$41,3,0)/'4. Billing Determinants'!$D$41*$D22)))))</f>
        <v>0</v>
      </c>
      <c r="G22" s="211">
        <f>IF(G$5="",0,IF($E22="kWh",VLOOKUP(G$5,'4. Billing Determinants'!$B$19:$N$41,4,0)/'4. Billing Determinants'!$E$41*$D22,IF($E22="kW",VLOOKUP(G$5,'4. Billing Determinants'!$B$19:$N$41,5,0)/'4. Billing Determinants'!$F$41*$D22,IF($E22="Non-RPP kWh",VLOOKUP(G$5,'4. Billing Determinants'!$B$19:$N$41,6,0)/'4. Billing Determinants'!$G$41*$D22,IF($E22="Distribution Rev.",VLOOKUP(G$5,'4. Billing Determinants'!$B$19:$N$41,8,0)/'4. Billing Determinants'!$I$41*$D22, VLOOKUP(G$5,'4. Billing Determinants'!$B$19:$N$41,3,0)/'4. Billing Determinants'!$D$41*$D22)))))</f>
        <v>0</v>
      </c>
      <c r="H22" s="211">
        <f>IF(H$5="",0,IF($E22="kWh",VLOOKUP(H$5,'4. Billing Determinants'!$B$19:$N$41,4,0)/'4. Billing Determinants'!$E$41*$D22,IF($E22="kW",VLOOKUP(H$5,'4. Billing Determinants'!$B$19:$N$41,5,0)/'4. Billing Determinants'!$F$41*$D22,IF($E22="Non-RPP kWh",VLOOKUP(H$5,'4. Billing Determinants'!$B$19:$N$41,6,0)/'4. Billing Determinants'!$G$41*$D22,IF($E22="Distribution Rev.",VLOOKUP(H$5,'4. Billing Determinants'!$B$19:$N$41,8,0)/'4. Billing Determinants'!$I$41*$D22, VLOOKUP(H$5,'4. Billing Determinants'!$B$19:$N$41,3,0)/'4. Billing Determinants'!$D$41*$D22)))))</f>
        <v>0</v>
      </c>
      <c r="I22" s="211">
        <f>IF(I$5="",0,IF($E22="kWh",VLOOKUP(I$5,'4. Billing Determinants'!$B$19:$N$41,4,0)/'4. Billing Determinants'!$E$41*$D22,IF($E22="kW",VLOOKUP(I$5,'4. Billing Determinants'!$B$19:$N$41,5,0)/'4. Billing Determinants'!$F$41*$D22,IF($E22="Non-RPP kWh",VLOOKUP(I$5,'4. Billing Determinants'!$B$19:$N$41,6,0)/'4. Billing Determinants'!$G$41*$D22,IF($E22="Distribution Rev.",VLOOKUP(I$5,'4. Billing Determinants'!$B$19:$N$41,8,0)/'4. Billing Determinants'!$I$41*$D22, VLOOKUP(I$5,'4. Billing Determinants'!$B$19:$N$41,3,0)/'4. Billing Determinants'!$D$41*$D22)))))</f>
        <v>0</v>
      </c>
      <c r="J22" s="211">
        <f>IF(J$5="",0,IF($E22="kWh",VLOOKUP(J$5,'4. Billing Determinants'!$B$19:$N$41,4,0)/'4. Billing Determinants'!$E$41*$D22,IF($E22="kW",VLOOKUP(J$5,'4. Billing Determinants'!$B$19:$N$41,5,0)/'4. Billing Determinants'!$F$41*$D22,IF($E22="Non-RPP kWh",VLOOKUP(J$5,'4. Billing Determinants'!$B$19:$N$41,6,0)/'4. Billing Determinants'!$G$41*$D22,IF($E22="Distribution Rev.",VLOOKUP(J$5,'4. Billing Determinants'!$B$19:$N$41,8,0)/'4. Billing Determinants'!$I$41*$D22, VLOOKUP(J$5,'4. Billing Determinants'!$B$19:$N$41,3,0)/'4. Billing Determinants'!$D$41*$D22)))))</f>
        <v>0</v>
      </c>
      <c r="K22" s="211">
        <f>IF(K$5="",0,IF($E22="kWh",VLOOKUP(K$5,'4. Billing Determinants'!$B$19:$N$41,4,0)/'4. Billing Determinants'!$E$41*$D22,IF($E22="kW",VLOOKUP(K$5,'4. Billing Determinants'!$B$19:$N$41,5,0)/'4. Billing Determinants'!$F$41*$D22,IF($E22="Non-RPP kWh",VLOOKUP(K$5,'4. Billing Determinants'!$B$19:$N$41,6,0)/'4. Billing Determinants'!$G$41*$D22,IF($E22="Distribution Rev.",VLOOKUP(K$5,'4. Billing Determinants'!$B$19:$N$41,8,0)/'4. Billing Determinants'!$I$41*$D22, VLOOKUP(K$5,'4. Billing Determinants'!$B$19:$N$41,3,0)/'4. Billing Determinants'!$D$41*$D22)))))</f>
        <v>0</v>
      </c>
      <c r="L22" s="211">
        <f>IF(L$5="",0,IF($E22="kWh",VLOOKUP(L$5,'4. Billing Determinants'!$B$19:$N$41,4,0)/'4. Billing Determinants'!$E$41*$D22,IF($E22="kW",VLOOKUP(L$5,'4. Billing Determinants'!$B$19:$N$41,5,0)/'4. Billing Determinants'!$F$41*$D22,IF($E22="Non-RPP kWh",VLOOKUP(L$5,'4. Billing Determinants'!$B$19:$N$41,6,0)/'4. Billing Determinants'!$G$41*$D22,IF($E22="Distribution Rev.",VLOOKUP(L$5,'4. Billing Determinants'!$B$19:$N$41,8,0)/'4. Billing Determinants'!$I$41*$D22, VLOOKUP(L$5,'4. Billing Determinants'!$B$19:$N$41,3,0)/'4. Billing Determinants'!$D$41*$D22)))))</f>
        <v>0</v>
      </c>
      <c r="M22" s="150">
        <f>IF(M$5="",0,IF($E22="kWh",VLOOKUP(M$5,'4. Billing Determinants'!$B$19:$N$41,4,0)/'4. Billing Determinants'!$E$41*$D22,IF($E22="kW",VLOOKUP(M$5,'4. Billing Determinants'!$B$19:$N$41,5,0)/'4. Billing Determinants'!$F$41*$D22,IF($E22="Non-RPP kWh",VLOOKUP(M$5,'4. Billing Determinants'!$B$19:$N$41,6,0)/'4. Billing Determinants'!$G$41*$D22,IF($E22="Distribution Rev.",VLOOKUP(M$5,'4. Billing Determinants'!$B$19:$N$41,8,0)/'4. Billing Determinants'!$I$41*$D22, VLOOKUP(M$5,'4. Billing Determinants'!$B$19:$N$41,3,0)/'4. Billing Determinants'!$D$41*$D22)))))</f>
        <v>0</v>
      </c>
      <c r="N22" s="150">
        <f>IF(N$5="",0,IF($E22="kWh",VLOOKUP(N$5,'4. Billing Determinants'!$B$19:$N$41,4,0)/'4. Billing Determinants'!$E$41*$D22,IF($E22="kW",VLOOKUP(N$5,'4. Billing Determinants'!$B$19:$N$41,5,0)/'4. Billing Determinants'!$F$41*$D22,IF($E22="Non-RPP kWh",VLOOKUP(N$5,'4. Billing Determinants'!$B$19:$N$41,6,0)/'4. Billing Determinants'!$G$41*$D22,IF($E22="Distribution Rev.",VLOOKUP(N$5,'4. Billing Determinants'!$B$19:$N$41,8,0)/'4. Billing Determinants'!$I$41*$D22, VLOOKUP(N$5,'4. Billing Determinants'!$B$19:$N$41,3,0)/'4. Billing Determinants'!$D$41*$D22)))))</f>
        <v>0</v>
      </c>
      <c r="O22" s="150">
        <f>IF(O$5="",0,IF($E22="kWh",VLOOKUP(O$5,'4. Billing Determinants'!$B$19:$N$41,4,0)/'4. Billing Determinants'!$E$41*$D22,IF($E22="kW",VLOOKUP(O$5,'4. Billing Determinants'!$B$19:$N$41,5,0)/'4. Billing Determinants'!$F$41*$D22,IF($E22="Non-RPP kWh",VLOOKUP(O$5,'4. Billing Determinants'!$B$19:$N$41,6,0)/'4. Billing Determinants'!$G$41*$D22,IF($E22="Distribution Rev.",VLOOKUP(O$5,'4. Billing Determinants'!$B$19:$N$41,8,0)/'4. Billing Determinants'!$I$41*$D22, VLOOKUP(O$5,'4. Billing Determinants'!$B$19:$N$41,3,0)/'4. Billing Determinants'!$D$41*$D22)))))</f>
        <v>0</v>
      </c>
      <c r="P22" s="150">
        <f>IF(P$5="",0,IF($E22="kWh",VLOOKUP(P$5,'4. Billing Determinants'!$B$19:$N$41,4,0)/'4. Billing Determinants'!$E$41*$D22,IF($E22="kW",VLOOKUP(P$5,'4. Billing Determinants'!$B$19:$N$41,5,0)/'4. Billing Determinants'!$F$41*$D22,IF($E22="Non-RPP kWh",VLOOKUP(P$5,'4. Billing Determinants'!$B$19:$N$41,6,0)/'4. Billing Determinants'!$G$41*$D22,IF($E22="Distribution Rev.",VLOOKUP(P$5,'4. Billing Determinants'!$B$19:$N$41,8,0)/'4. Billing Determinants'!$I$41*$D22, VLOOKUP(P$5,'4. Billing Determinants'!$B$19:$N$41,3,0)/'4. Billing Determinants'!$D$41*$D22)))))</f>
        <v>0</v>
      </c>
      <c r="Q22" s="150">
        <f>IF(Q$5="",0,IF($E22="kWh",VLOOKUP(Q$5,'4. Billing Determinants'!$B$19:$N$41,4,0)/'4. Billing Determinants'!$E$41*$D22,IF($E22="kW",VLOOKUP(Q$5,'4. Billing Determinants'!$B$19:$N$41,5,0)/'4. Billing Determinants'!$F$41*$D22,IF($E22="Non-RPP kWh",VLOOKUP(Q$5,'4. Billing Determinants'!$B$19:$N$41,6,0)/'4. Billing Determinants'!$G$41*$D22,IF($E22="Distribution Rev.",VLOOKUP(Q$5,'4. Billing Determinants'!$B$19:$N$41,8,0)/'4. Billing Determinants'!$I$41*$D22, VLOOKUP(Q$5,'4. Billing Determinants'!$B$19:$N$41,3,0)/'4. Billing Determinants'!$D$41*$D22)))))</f>
        <v>0</v>
      </c>
      <c r="R22" s="150">
        <f>IF(R$5="",0,IF($E22="kWh",VLOOKUP(R$5,'4. Billing Determinants'!$B$19:$N$41,4,0)/'4. Billing Determinants'!$E$41*$D22,IF($E22="kW",VLOOKUP(R$5,'4. Billing Determinants'!$B$19:$N$41,5,0)/'4. Billing Determinants'!$F$41*$D22,IF($E22="Non-RPP kWh",VLOOKUP(R$5,'4. Billing Determinants'!$B$19:$N$41,6,0)/'4. Billing Determinants'!$G$41*$D22,IF($E22="Distribution Rev.",VLOOKUP(R$5,'4. Billing Determinants'!$B$19:$N$41,8,0)/'4. Billing Determinants'!$I$41*$D22, VLOOKUP(R$5,'4. Billing Determinants'!$B$19:$N$41,3,0)/'4. Billing Determinants'!$D$41*$D22)))))</f>
        <v>0</v>
      </c>
      <c r="S22" s="150">
        <f>IF(S$5="",0,IF($E22="kWh",VLOOKUP(S$5,'4. Billing Determinants'!$B$19:$N$41,4,0)/'4. Billing Determinants'!$E$41*$D22,IF($E22="kW",VLOOKUP(S$5,'4. Billing Determinants'!$B$19:$N$41,5,0)/'4. Billing Determinants'!$F$41*$D22,IF($E22="Non-RPP kWh",VLOOKUP(S$5,'4. Billing Determinants'!$B$19:$N$41,6,0)/'4. Billing Determinants'!$G$41*$D22,IF($E22="Distribution Rev.",VLOOKUP(S$5,'4. Billing Determinants'!$B$19:$N$41,8,0)/'4. Billing Determinants'!$I$41*$D22, VLOOKUP(S$5,'4. Billing Determinants'!$B$19:$N$41,3,0)/'4. Billing Determinants'!$D$41*$D22)))))</f>
        <v>0</v>
      </c>
      <c r="T22" s="150">
        <f>IF(T$5="",0,IF($E22="kWh",VLOOKUP(T$5,'4. Billing Determinants'!$B$19:$N$41,4,0)/'4. Billing Determinants'!$E$41*$D22,IF($E22="kW",VLOOKUP(T$5,'4. Billing Determinants'!$B$19:$N$41,5,0)/'4. Billing Determinants'!$F$41*$D22,IF($E22="Non-RPP kWh",VLOOKUP(T$5,'4. Billing Determinants'!$B$19:$N$41,6,0)/'4. Billing Determinants'!$G$41*$D22,IF($E22="Distribution Rev.",VLOOKUP(T$5,'4. Billing Determinants'!$B$19:$N$41,8,0)/'4. Billing Determinants'!$I$41*$D22, VLOOKUP(T$5,'4. Billing Determinants'!$B$19:$N$41,3,0)/'4. Billing Determinants'!$D$41*$D22)))))</f>
        <v>0</v>
      </c>
      <c r="U22" s="150">
        <f>IF(U$5="",0,IF($E22="kWh",VLOOKUP(U$5,'4. Billing Determinants'!$B$19:$N$41,4,0)/'4. Billing Determinants'!$E$41*$D22,IF($E22="kW",VLOOKUP(U$5,'4. Billing Determinants'!$B$19:$N$41,5,0)/'4. Billing Determinants'!$F$41*$D22,IF($E22="Non-RPP kWh",VLOOKUP(U$5,'4. Billing Determinants'!$B$19:$N$41,6,0)/'4. Billing Determinants'!$G$41*$D22,IF($E22="Distribution Rev.",VLOOKUP(U$5,'4. Billing Determinants'!$B$19:$N$41,8,0)/'4. Billing Determinants'!$I$41*$D22, VLOOKUP(U$5,'4. Billing Determinants'!$B$19:$N$41,3,0)/'4. Billing Determinants'!$D$41*$D22)))))</f>
        <v>0</v>
      </c>
      <c r="V22" s="150">
        <f>IF(V$5="",0,IF($E22="kWh",VLOOKUP(V$5,'4. Billing Determinants'!$B$19:$N$41,4,0)/'4. Billing Determinants'!$E$41*$D22,IF($E22="kW",VLOOKUP(V$5,'4. Billing Determinants'!$B$19:$N$41,5,0)/'4. Billing Determinants'!$F$41*$D22,IF($E22="Non-RPP kWh",VLOOKUP(V$5,'4. Billing Determinants'!$B$19:$N$41,6,0)/'4. Billing Determinants'!$G$41*$D22,IF($E22="Distribution Rev.",VLOOKUP(V$5,'4. Billing Determinants'!$B$19:$N$41,8,0)/'4. Billing Determinants'!$I$41*$D22, VLOOKUP(V$5,'4. Billing Determinants'!$B$19:$N$41,3,0)/'4. Billing Determinants'!$D$41*$D22)))))</f>
        <v>0</v>
      </c>
      <c r="W22" s="150">
        <f>IF(W$5="",0,IF($E22="kWh",VLOOKUP(W$5,'4. Billing Determinants'!$B$19:$N$41,4,0)/'4. Billing Determinants'!$E$41*$D22,IF($E22="kW",VLOOKUP(W$5,'4. Billing Determinants'!$B$19:$N$41,5,0)/'4. Billing Determinants'!$F$41*$D22,IF($E22="Non-RPP kWh",VLOOKUP(W$5,'4. Billing Determinants'!$B$19:$N$41,6,0)/'4. Billing Determinants'!$G$41*$D22,IF($E22="Distribution Rev.",VLOOKUP(W$5,'4. Billing Determinants'!$B$19:$N$41,8,0)/'4. Billing Determinants'!$I$41*$D22, VLOOKUP(W$5,'4. Billing Determinants'!$B$19:$N$41,3,0)/'4. Billing Determinants'!$D$41*$D22)))))</f>
        <v>0</v>
      </c>
      <c r="X22" s="150">
        <f>IF(X$5="",0,IF($E22="kWh",VLOOKUP(X$5,'4. Billing Determinants'!$B$19:$N$41,4,0)/'4. Billing Determinants'!$E$41*$D22,IF($E22="kW",VLOOKUP(X$5,'4. Billing Determinants'!$B$19:$N$41,5,0)/'4. Billing Determinants'!$F$41*$D22,IF($E22="Non-RPP kWh",VLOOKUP(X$5,'4. Billing Determinants'!$B$19:$N$41,6,0)/'4. Billing Determinants'!$G$41*$D22,IF($E22="Distribution Rev.",VLOOKUP(X$5,'4. Billing Determinants'!$B$19:$N$41,8,0)/'4. Billing Determinants'!$I$41*$D22, VLOOKUP(X$5,'4. Billing Determinants'!$B$19:$N$41,3,0)/'4. Billing Determinants'!$D$41*$D22)))))</f>
        <v>0</v>
      </c>
      <c r="Y22" s="150">
        <f>IF(Y$5="",0,IF($E22="kWh",VLOOKUP(Y$5,'4. Billing Determinants'!$B$19:$N$41,4,0)/'4. Billing Determinants'!$E$41*$D22,IF($E22="kW",VLOOKUP(Y$5,'4. Billing Determinants'!$B$19:$N$41,5,0)/'4. Billing Determinants'!$F$41*$D22,IF($E22="Non-RPP kWh",VLOOKUP(Y$5,'4. Billing Determinants'!$B$19:$N$41,6,0)/'4. Billing Determinants'!$G$41*$D22,IF($E22="Distribution Rev.",VLOOKUP(Y$5,'4. Billing Determinants'!$B$19:$N$41,8,0)/'4. Billing Determinants'!$I$41*$D22, VLOOKUP(Y$5,'4. Billing Determinants'!$B$19:$N$41,3,0)/'4. Billing Determinants'!$D$41*$D22)))))</f>
        <v>0</v>
      </c>
    </row>
    <row r="23" spans="2:25" ht="25.5" hidden="1" x14ac:dyDescent="0.2">
      <c r="B23" s="152" t="s">
        <v>92</v>
      </c>
      <c r="C23" s="149">
        <v>1508</v>
      </c>
      <c r="D23" s="211">
        <f>'2. 2013 Continuity Schedule'!CF45</f>
        <v>0</v>
      </c>
      <c r="E23" s="212"/>
      <c r="F23" s="211">
        <f>IF(F$5="",0,IF($E23="kWh",VLOOKUP(F$5,'4. Billing Determinants'!$B$19:$N$41,4,0)/'4. Billing Determinants'!$E$41*$D23,IF($E23="kW",VLOOKUP(F$5,'4. Billing Determinants'!$B$19:$N$41,5,0)/'4. Billing Determinants'!$F$41*$D23,IF($E23="Non-RPP kWh",VLOOKUP(F$5,'4. Billing Determinants'!$B$19:$N$41,6,0)/'4. Billing Determinants'!$G$41*$D23,IF($E23="Distribution Rev.",VLOOKUP(F$5,'4. Billing Determinants'!$B$19:$N$41,8,0)/'4. Billing Determinants'!$I$41*$D23, VLOOKUP(F$5,'4. Billing Determinants'!$B$19:$N$41,3,0)/'4. Billing Determinants'!$D$41*$D23)))))</f>
        <v>0</v>
      </c>
      <c r="G23" s="211">
        <f>IF(G$5="",0,IF($E23="kWh",VLOOKUP(G$5,'4. Billing Determinants'!$B$19:$N$41,4,0)/'4. Billing Determinants'!$E$41*$D23,IF($E23="kW",VLOOKUP(G$5,'4. Billing Determinants'!$B$19:$N$41,5,0)/'4. Billing Determinants'!$F$41*$D23,IF($E23="Non-RPP kWh",VLOOKUP(G$5,'4. Billing Determinants'!$B$19:$N$41,6,0)/'4. Billing Determinants'!$G$41*$D23,IF($E23="Distribution Rev.",VLOOKUP(G$5,'4. Billing Determinants'!$B$19:$N$41,8,0)/'4. Billing Determinants'!$I$41*$D23, VLOOKUP(G$5,'4. Billing Determinants'!$B$19:$N$41,3,0)/'4. Billing Determinants'!$D$41*$D23)))))</f>
        <v>0</v>
      </c>
      <c r="H23" s="211">
        <f>IF(H$5="",0,IF($E23="kWh",VLOOKUP(H$5,'4. Billing Determinants'!$B$19:$N$41,4,0)/'4. Billing Determinants'!$E$41*$D23,IF($E23="kW",VLOOKUP(H$5,'4. Billing Determinants'!$B$19:$N$41,5,0)/'4. Billing Determinants'!$F$41*$D23,IF($E23="Non-RPP kWh",VLOOKUP(H$5,'4. Billing Determinants'!$B$19:$N$41,6,0)/'4. Billing Determinants'!$G$41*$D23,IF($E23="Distribution Rev.",VLOOKUP(H$5,'4. Billing Determinants'!$B$19:$N$41,8,0)/'4. Billing Determinants'!$I$41*$D23, VLOOKUP(H$5,'4. Billing Determinants'!$B$19:$N$41,3,0)/'4. Billing Determinants'!$D$41*$D23)))))</f>
        <v>0</v>
      </c>
      <c r="I23" s="211">
        <f>IF(I$5="",0,IF($E23="kWh",VLOOKUP(I$5,'4. Billing Determinants'!$B$19:$N$41,4,0)/'4. Billing Determinants'!$E$41*$D23,IF($E23="kW",VLOOKUP(I$5,'4. Billing Determinants'!$B$19:$N$41,5,0)/'4. Billing Determinants'!$F$41*$D23,IF($E23="Non-RPP kWh",VLOOKUP(I$5,'4. Billing Determinants'!$B$19:$N$41,6,0)/'4. Billing Determinants'!$G$41*$D23,IF($E23="Distribution Rev.",VLOOKUP(I$5,'4. Billing Determinants'!$B$19:$N$41,8,0)/'4. Billing Determinants'!$I$41*$D23, VLOOKUP(I$5,'4. Billing Determinants'!$B$19:$N$41,3,0)/'4. Billing Determinants'!$D$41*$D23)))))</f>
        <v>0</v>
      </c>
      <c r="J23" s="211">
        <f>IF(J$5="",0,IF($E23="kWh",VLOOKUP(J$5,'4. Billing Determinants'!$B$19:$N$41,4,0)/'4. Billing Determinants'!$E$41*$D23,IF($E23="kW",VLOOKUP(J$5,'4. Billing Determinants'!$B$19:$N$41,5,0)/'4. Billing Determinants'!$F$41*$D23,IF($E23="Non-RPP kWh",VLOOKUP(J$5,'4. Billing Determinants'!$B$19:$N$41,6,0)/'4. Billing Determinants'!$G$41*$D23,IF($E23="Distribution Rev.",VLOOKUP(J$5,'4. Billing Determinants'!$B$19:$N$41,8,0)/'4. Billing Determinants'!$I$41*$D23, VLOOKUP(J$5,'4. Billing Determinants'!$B$19:$N$41,3,0)/'4. Billing Determinants'!$D$41*$D23)))))</f>
        <v>0</v>
      </c>
      <c r="K23" s="211">
        <f>IF(K$5="",0,IF($E23="kWh",VLOOKUP(K$5,'4. Billing Determinants'!$B$19:$N$41,4,0)/'4. Billing Determinants'!$E$41*$D23,IF($E23="kW",VLOOKUP(K$5,'4. Billing Determinants'!$B$19:$N$41,5,0)/'4. Billing Determinants'!$F$41*$D23,IF($E23="Non-RPP kWh",VLOOKUP(K$5,'4. Billing Determinants'!$B$19:$N$41,6,0)/'4. Billing Determinants'!$G$41*$D23,IF($E23="Distribution Rev.",VLOOKUP(K$5,'4. Billing Determinants'!$B$19:$N$41,8,0)/'4. Billing Determinants'!$I$41*$D23, VLOOKUP(K$5,'4. Billing Determinants'!$B$19:$N$41,3,0)/'4. Billing Determinants'!$D$41*$D23)))))</f>
        <v>0</v>
      </c>
      <c r="L23" s="211">
        <f>IF(L$5="",0,IF($E23="kWh",VLOOKUP(L$5,'4. Billing Determinants'!$B$19:$N$41,4,0)/'4. Billing Determinants'!$E$41*$D23,IF($E23="kW",VLOOKUP(L$5,'4. Billing Determinants'!$B$19:$N$41,5,0)/'4. Billing Determinants'!$F$41*$D23,IF($E23="Non-RPP kWh",VLOOKUP(L$5,'4. Billing Determinants'!$B$19:$N$41,6,0)/'4. Billing Determinants'!$G$41*$D23,IF($E23="Distribution Rev.",VLOOKUP(L$5,'4. Billing Determinants'!$B$19:$N$41,8,0)/'4. Billing Determinants'!$I$41*$D23, VLOOKUP(L$5,'4. Billing Determinants'!$B$19:$N$41,3,0)/'4. Billing Determinants'!$D$41*$D23)))))</f>
        <v>0</v>
      </c>
      <c r="M23" s="150">
        <f>IF(M$5="",0,IF($E23="kWh",VLOOKUP(M$5,'4. Billing Determinants'!$B$19:$N$41,4,0)/'4. Billing Determinants'!$E$41*$D23,IF($E23="kW",VLOOKUP(M$5,'4. Billing Determinants'!$B$19:$N$41,5,0)/'4. Billing Determinants'!$F$41*$D23,IF($E23="Non-RPP kWh",VLOOKUP(M$5,'4. Billing Determinants'!$B$19:$N$41,6,0)/'4. Billing Determinants'!$G$41*$D23,IF($E23="Distribution Rev.",VLOOKUP(M$5,'4. Billing Determinants'!$B$19:$N$41,8,0)/'4. Billing Determinants'!$I$41*$D23, VLOOKUP(M$5,'4. Billing Determinants'!$B$19:$N$41,3,0)/'4. Billing Determinants'!$D$41*$D23)))))</f>
        <v>0</v>
      </c>
      <c r="N23" s="150">
        <f>IF(N$5="",0,IF($E23="kWh",VLOOKUP(N$5,'4. Billing Determinants'!$B$19:$N$41,4,0)/'4. Billing Determinants'!$E$41*$D23,IF($E23="kW",VLOOKUP(N$5,'4. Billing Determinants'!$B$19:$N$41,5,0)/'4. Billing Determinants'!$F$41*$D23,IF($E23="Non-RPP kWh",VLOOKUP(N$5,'4. Billing Determinants'!$B$19:$N$41,6,0)/'4. Billing Determinants'!$G$41*$D23,IF($E23="Distribution Rev.",VLOOKUP(N$5,'4. Billing Determinants'!$B$19:$N$41,8,0)/'4. Billing Determinants'!$I$41*$D23, VLOOKUP(N$5,'4. Billing Determinants'!$B$19:$N$41,3,0)/'4. Billing Determinants'!$D$41*$D23)))))</f>
        <v>0</v>
      </c>
      <c r="O23" s="150">
        <f>IF(O$5="",0,IF($E23="kWh",VLOOKUP(O$5,'4. Billing Determinants'!$B$19:$N$41,4,0)/'4. Billing Determinants'!$E$41*$D23,IF($E23="kW",VLOOKUP(O$5,'4. Billing Determinants'!$B$19:$N$41,5,0)/'4. Billing Determinants'!$F$41*$D23,IF($E23="Non-RPP kWh",VLOOKUP(O$5,'4. Billing Determinants'!$B$19:$N$41,6,0)/'4. Billing Determinants'!$G$41*$D23,IF($E23="Distribution Rev.",VLOOKUP(O$5,'4. Billing Determinants'!$B$19:$N$41,8,0)/'4. Billing Determinants'!$I$41*$D23, VLOOKUP(O$5,'4. Billing Determinants'!$B$19:$N$41,3,0)/'4. Billing Determinants'!$D$41*$D23)))))</f>
        <v>0</v>
      </c>
      <c r="P23" s="150">
        <f>IF(P$5="",0,IF($E23="kWh",VLOOKUP(P$5,'4. Billing Determinants'!$B$19:$N$41,4,0)/'4. Billing Determinants'!$E$41*$D23,IF($E23="kW",VLOOKUP(P$5,'4. Billing Determinants'!$B$19:$N$41,5,0)/'4. Billing Determinants'!$F$41*$D23,IF($E23="Non-RPP kWh",VLOOKUP(P$5,'4. Billing Determinants'!$B$19:$N$41,6,0)/'4. Billing Determinants'!$G$41*$D23,IF($E23="Distribution Rev.",VLOOKUP(P$5,'4. Billing Determinants'!$B$19:$N$41,8,0)/'4. Billing Determinants'!$I$41*$D23, VLOOKUP(P$5,'4. Billing Determinants'!$B$19:$N$41,3,0)/'4. Billing Determinants'!$D$41*$D23)))))</f>
        <v>0</v>
      </c>
      <c r="Q23" s="150">
        <f>IF(Q$5="",0,IF($E23="kWh",VLOOKUP(Q$5,'4. Billing Determinants'!$B$19:$N$41,4,0)/'4. Billing Determinants'!$E$41*$D23,IF($E23="kW",VLOOKUP(Q$5,'4. Billing Determinants'!$B$19:$N$41,5,0)/'4. Billing Determinants'!$F$41*$D23,IF($E23="Non-RPP kWh",VLOOKUP(Q$5,'4. Billing Determinants'!$B$19:$N$41,6,0)/'4. Billing Determinants'!$G$41*$D23,IF($E23="Distribution Rev.",VLOOKUP(Q$5,'4. Billing Determinants'!$B$19:$N$41,8,0)/'4. Billing Determinants'!$I$41*$D23, VLOOKUP(Q$5,'4. Billing Determinants'!$B$19:$N$41,3,0)/'4. Billing Determinants'!$D$41*$D23)))))</f>
        <v>0</v>
      </c>
      <c r="R23" s="150">
        <f>IF(R$5="",0,IF($E23="kWh",VLOOKUP(R$5,'4. Billing Determinants'!$B$19:$N$41,4,0)/'4. Billing Determinants'!$E$41*$D23,IF($E23="kW",VLOOKUP(R$5,'4. Billing Determinants'!$B$19:$N$41,5,0)/'4. Billing Determinants'!$F$41*$D23,IF($E23="Non-RPP kWh",VLOOKUP(R$5,'4. Billing Determinants'!$B$19:$N$41,6,0)/'4. Billing Determinants'!$G$41*$D23,IF($E23="Distribution Rev.",VLOOKUP(R$5,'4. Billing Determinants'!$B$19:$N$41,8,0)/'4. Billing Determinants'!$I$41*$D23, VLOOKUP(R$5,'4. Billing Determinants'!$B$19:$N$41,3,0)/'4. Billing Determinants'!$D$41*$D23)))))</f>
        <v>0</v>
      </c>
      <c r="S23" s="150">
        <f>IF(S$5="",0,IF($E23="kWh",VLOOKUP(S$5,'4. Billing Determinants'!$B$19:$N$41,4,0)/'4. Billing Determinants'!$E$41*$D23,IF($E23="kW",VLOOKUP(S$5,'4. Billing Determinants'!$B$19:$N$41,5,0)/'4. Billing Determinants'!$F$41*$D23,IF($E23="Non-RPP kWh",VLOOKUP(S$5,'4. Billing Determinants'!$B$19:$N$41,6,0)/'4. Billing Determinants'!$G$41*$D23,IF($E23="Distribution Rev.",VLOOKUP(S$5,'4. Billing Determinants'!$B$19:$N$41,8,0)/'4. Billing Determinants'!$I$41*$D23, VLOOKUP(S$5,'4. Billing Determinants'!$B$19:$N$41,3,0)/'4. Billing Determinants'!$D$41*$D23)))))</f>
        <v>0</v>
      </c>
      <c r="T23" s="150">
        <f>IF(T$5="",0,IF($E23="kWh",VLOOKUP(T$5,'4. Billing Determinants'!$B$19:$N$41,4,0)/'4. Billing Determinants'!$E$41*$D23,IF($E23="kW",VLOOKUP(T$5,'4. Billing Determinants'!$B$19:$N$41,5,0)/'4. Billing Determinants'!$F$41*$D23,IF($E23="Non-RPP kWh",VLOOKUP(T$5,'4. Billing Determinants'!$B$19:$N$41,6,0)/'4. Billing Determinants'!$G$41*$D23,IF($E23="Distribution Rev.",VLOOKUP(T$5,'4. Billing Determinants'!$B$19:$N$41,8,0)/'4. Billing Determinants'!$I$41*$D23, VLOOKUP(T$5,'4. Billing Determinants'!$B$19:$N$41,3,0)/'4. Billing Determinants'!$D$41*$D23)))))</f>
        <v>0</v>
      </c>
      <c r="U23" s="150">
        <f>IF(U$5="",0,IF($E23="kWh",VLOOKUP(U$5,'4. Billing Determinants'!$B$19:$N$41,4,0)/'4. Billing Determinants'!$E$41*$D23,IF($E23="kW",VLOOKUP(U$5,'4. Billing Determinants'!$B$19:$N$41,5,0)/'4. Billing Determinants'!$F$41*$D23,IF($E23="Non-RPP kWh",VLOOKUP(U$5,'4. Billing Determinants'!$B$19:$N$41,6,0)/'4. Billing Determinants'!$G$41*$D23,IF($E23="Distribution Rev.",VLOOKUP(U$5,'4. Billing Determinants'!$B$19:$N$41,8,0)/'4. Billing Determinants'!$I$41*$D23, VLOOKUP(U$5,'4. Billing Determinants'!$B$19:$N$41,3,0)/'4. Billing Determinants'!$D$41*$D23)))))</f>
        <v>0</v>
      </c>
      <c r="V23" s="150">
        <f>IF(V$5="",0,IF($E23="kWh",VLOOKUP(V$5,'4. Billing Determinants'!$B$19:$N$41,4,0)/'4. Billing Determinants'!$E$41*$D23,IF($E23="kW",VLOOKUP(V$5,'4. Billing Determinants'!$B$19:$N$41,5,0)/'4. Billing Determinants'!$F$41*$D23,IF($E23="Non-RPP kWh",VLOOKUP(V$5,'4. Billing Determinants'!$B$19:$N$41,6,0)/'4. Billing Determinants'!$G$41*$D23,IF($E23="Distribution Rev.",VLOOKUP(V$5,'4. Billing Determinants'!$B$19:$N$41,8,0)/'4. Billing Determinants'!$I$41*$D23, VLOOKUP(V$5,'4. Billing Determinants'!$B$19:$N$41,3,0)/'4. Billing Determinants'!$D$41*$D23)))))</f>
        <v>0</v>
      </c>
      <c r="W23" s="150">
        <f>IF(W$5="",0,IF($E23="kWh",VLOOKUP(W$5,'4. Billing Determinants'!$B$19:$N$41,4,0)/'4. Billing Determinants'!$E$41*$D23,IF($E23="kW",VLOOKUP(W$5,'4. Billing Determinants'!$B$19:$N$41,5,0)/'4. Billing Determinants'!$F$41*$D23,IF($E23="Non-RPP kWh",VLOOKUP(W$5,'4. Billing Determinants'!$B$19:$N$41,6,0)/'4. Billing Determinants'!$G$41*$D23,IF($E23="Distribution Rev.",VLOOKUP(W$5,'4. Billing Determinants'!$B$19:$N$41,8,0)/'4. Billing Determinants'!$I$41*$D23, VLOOKUP(W$5,'4. Billing Determinants'!$B$19:$N$41,3,0)/'4. Billing Determinants'!$D$41*$D23)))))</f>
        <v>0</v>
      </c>
      <c r="X23" s="150">
        <f>IF(X$5="",0,IF($E23="kWh",VLOOKUP(X$5,'4. Billing Determinants'!$B$19:$N$41,4,0)/'4. Billing Determinants'!$E$41*$D23,IF($E23="kW",VLOOKUP(X$5,'4. Billing Determinants'!$B$19:$N$41,5,0)/'4. Billing Determinants'!$F$41*$D23,IF($E23="Non-RPP kWh",VLOOKUP(X$5,'4. Billing Determinants'!$B$19:$N$41,6,0)/'4. Billing Determinants'!$G$41*$D23,IF($E23="Distribution Rev.",VLOOKUP(X$5,'4. Billing Determinants'!$B$19:$N$41,8,0)/'4. Billing Determinants'!$I$41*$D23, VLOOKUP(X$5,'4. Billing Determinants'!$B$19:$N$41,3,0)/'4. Billing Determinants'!$D$41*$D23)))))</f>
        <v>0</v>
      </c>
      <c r="Y23" s="150">
        <f>IF(Y$5="",0,IF($E23="kWh",VLOOKUP(Y$5,'4. Billing Determinants'!$B$19:$N$41,4,0)/'4. Billing Determinants'!$E$41*$D23,IF($E23="kW",VLOOKUP(Y$5,'4. Billing Determinants'!$B$19:$N$41,5,0)/'4. Billing Determinants'!$F$41*$D23,IF($E23="Non-RPP kWh",VLOOKUP(Y$5,'4. Billing Determinants'!$B$19:$N$41,6,0)/'4. Billing Determinants'!$G$41*$D23,IF($E23="Distribution Rev.",VLOOKUP(Y$5,'4. Billing Determinants'!$B$19:$N$41,8,0)/'4. Billing Determinants'!$I$41*$D23, VLOOKUP(Y$5,'4. Billing Determinants'!$B$19:$N$41,3,0)/'4. Billing Determinants'!$D$41*$D23)))))</f>
        <v>0</v>
      </c>
    </row>
    <row r="24" spans="2:25" hidden="1" x14ac:dyDescent="0.2">
      <c r="B24" s="152" t="s">
        <v>183</v>
      </c>
      <c r="C24" s="149">
        <v>1508</v>
      </c>
      <c r="D24" s="211">
        <f>'2. 2013 Continuity Schedule'!CF46</f>
        <v>0</v>
      </c>
      <c r="E24" s="212"/>
      <c r="F24" s="211">
        <f>IF(F$5="",0,IF($E24="kWh",VLOOKUP(F$5,'4. Billing Determinants'!$B$19:$N$41,4,0)/'4. Billing Determinants'!$E$41*$D24,IF($E24="kW",VLOOKUP(F$5,'4. Billing Determinants'!$B$19:$N$41,5,0)/'4. Billing Determinants'!$F$41*$D24,IF($E24="Non-RPP kWh",VLOOKUP(F$5,'4. Billing Determinants'!$B$19:$N$41,6,0)/'4. Billing Determinants'!$G$41*$D24,IF($E24="Distribution Rev.",VLOOKUP(F$5,'4. Billing Determinants'!$B$19:$N$41,8,0)/'4. Billing Determinants'!$I$41*$D24, VLOOKUP(F$5,'4. Billing Determinants'!$B$19:$N$41,3,0)/'4. Billing Determinants'!$D$41*$D24)))))</f>
        <v>0</v>
      </c>
      <c r="G24" s="211">
        <f>IF(G$5="",0,IF($E24="kWh",VLOOKUP(G$5,'4. Billing Determinants'!$B$19:$N$41,4,0)/'4. Billing Determinants'!$E$41*$D24,IF($E24="kW",VLOOKUP(G$5,'4. Billing Determinants'!$B$19:$N$41,5,0)/'4. Billing Determinants'!$F$41*$D24,IF($E24="Non-RPP kWh",VLOOKUP(G$5,'4. Billing Determinants'!$B$19:$N$41,6,0)/'4. Billing Determinants'!$G$41*$D24,IF($E24="Distribution Rev.",VLOOKUP(G$5,'4. Billing Determinants'!$B$19:$N$41,8,0)/'4. Billing Determinants'!$I$41*$D24, VLOOKUP(G$5,'4. Billing Determinants'!$B$19:$N$41,3,0)/'4. Billing Determinants'!$D$41*$D24)))))</f>
        <v>0</v>
      </c>
      <c r="H24" s="211">
        <f>IF(H$5="",0,IF($E24="kWh",VLOOKUP(H$5,'4. Billing Determinants'!$B$19:$N$41,4,0)/'4. Billing Determinants'!$E$41*$D24,IF($E24="kW",VLOOKUP(H$5,'4. Billing Determinants'!$B$19:$N$41,5,0)/'4. Billing Determinants'!$F$41*$D24,IF($E24="Non-RPP kWh",VLOOKUP(H$5,'4. Billing Determinants'!$B$19:$N$41,6,0)/'4. Billing Determinants'!$G$41*$D24,IF($E24="Distribution Rev.",VLOOKUP(H$5,'4. Billing Determinants'!$B$19:$N$41,8,0)/'4. Billing Determinants'!$I$41*$D24, VLOOKUP(H$5,'4. Billing Determinants'!$B$19:$N$41,3,0)/'4. Billing Determinants'!$D$41*$D24)))))</f>
        <v>0</v>
      </c>
      <c r="I24" s="211">
        <f>IF(I$5="",0,IF($E24="kWh",VLOOKUP(I$5,'4. Billing Determinants'!$B$19:$N$41,4,0)/'4. Billing Determinants'!$E$41*$D24,IF($E24="kW",VLOOKUP(I$5,'4. Billing Determinants'!$B$19:$N$41,5,0)/'4. Billing Determinants'!$F$41*$D24,IF($E24="Non-RPP kWh",VLOOKUP(I$5,'4. Billing Determinants'!$B$19:$N$41,6,0)/'4. Billing Determinants'!$G$41*$D24,IF($E24="Distribution Rev.",VLOOKUP(I$5,'4. Billing Determinants'!$B$19:$N$41,8,0)/'4. Billing Determinants'!$I$41*$D24, VLOOKUP(I$5,'4. Billing Determinants'!$B$19:$N$41,3,0)/'4. Billing Determinants'!$D$41*$D24)))))</f>
        <v>0</v>
      </c>
      <c r="J24" s="211">
        <f>IF(J$5="",0,IF($E24="kWh",VLOOKUP(J$5,'4. Billing Determinants'!$B$19:$N$41,4,0)/'4. Billing Determinants'!$E$41*$D24,IF($E24="kW",VLOOKUP(J$5,'4. Billing Determinants'!$B$19:$N$41,5,0)/'4. Billing Determinants'!$F$41*$D24,IF($E24="Non-RPP kWh",VLOOKUP(J$5,'4. Billing Determinants'!$B$19:$N$41,6,0)/'4. Billing Determinants'!$G$41*$D24,IF($E24="Distribution Rev.",VLOOKUP(J$5,'4. Billing Determinants'!$B$19:$N$41,8,0)/'4. Billing Determinants'!$I$41*$D24, VLOOKUP(J$5,'4. Billing Determinants'!$B$19:$N$41,3,0)/'4. Billing Determinants'!$D$41*$D24)))))</f>
        <v>0</v>
      </c>
      <c r="K24" s="211">
        <f>IF(K$5="",0,IF($E24="kWh",VLOOKUP(K$5,'4. Billing Determinants'!$B$19:$N$41,4,0)/'4. Billing Determinants'!$E$41*$D24,IF($E24="kW",VLOOKUP(K$5,'4. Billing Determinants'!$B$19:$N$41,5,0)/'4. Billing Determinants'!$F$41*$D24,IF($E24="Non-RPP kWh",VLOOKUP(K$5,'4. Billing Determinants'!$B$19:$N$41,6,0)/'4. Billing Determinants'!$G$41*$D24,IF($E24="Distribution Rev.",VLOOKUP(K$5,'4. Billing Determinants'!$B$19:$N$41,8,0)/'4. Billing Determinants'!$I$41*$D24, VLOOKUP(K$5,'4. Billing Determinants'!$B$19:$N$41,3,0)/'4. Billing Determinants'!$D$41*$D24)))))</f>
        <v>0</v>
      </c>
      <c r="L24" s="211">
        <f>IF(L$5="",0,IF($E24="kWh",VLOOKUP(L$5,'4. Billing Determinants'!$B$19:$N$41,4,0)/'4. Billing Determinants'!$E$41*$D24,IF($E24="kW",VLOOKUP(L$5,'4. Billing Determinants'!$B$19:$N$41,5,0)/'4. Billing Determinants'!$F$41*$D24,IF($E24="Non-RPP kWh",VLOOKUP(L$5,'4. Billing Determinants'!$B$19:$N$41,6,0)/'4. Billing Determinants'!$G$41*$D24,IF($E24="Distribution Rev.",VLOOKUP(L$5,'4. Billing Determinants'!$B$19:$N$41,8,0)/'4. Billing Determinants'!$I$41*$D24, VLOOKUP(L$5,'4. Billing Determinants'!$B$19:$N$41,3,0)/'4. Billing Determinants'!$D$41*$D24)))))</f>
        <v>0</v>
      </c>
      <c r="M24" s="150">
        <f>IF(M$5="",0,IF($E24="kWh",VLOOKUP(M$5,'4. Billing Determinants'!$B$19:$N$41,4,0)/'4. Billing Determinants'!$E$41*$D24,IF($E24="kW",VLOOKUP(M$5,'4. Billing Determinants'!$B$19:$N$41,5,0)/'4. Billing Determinants'!$F$41*$D24,IF($E24="Non-RPP kWh",VLOOKUP(M$5,'4. Billing Determinants'!$B$19:$N$41,6,0)/'4. Billing Determinants'!$G$41*$D24,IF($E24="Distribution Rev.",VLOOKUP(M$5,'4. Billing Determinants'!$B$19:$N$41,8,0)/'4. Billing Determinants'!$I$41*$D24, VLOOKUP(M$5,'4. Billing Determinants'!$B$19:$N$41,3,0)/'4. Billing Determinants'!$D$41*$D24)))))</f>
        <v>0</v>
      </c>
      <c r="N24" s="150">
        <f>IF(N$5="",0,IF($E24="kWh",VLOOKUP(N$5,'4. Billing Determinants'!$B$19:$N$41,4,0)/'4. Billing Determinants'!$E$41*$D24,IF($E24="kW",VLOOKUP(N$5,'4. Billing Determinants'!$B$19:$N$41,5,0)/'4. Billing Determinants'!$F$41*$D24,IF($E24="Non-RPP kWh",VLOOKUP(N$5,'4. Billing Determinants'!$B$19:$N$41,6,0)/'4. Billing Determinants'!$G$41*$D24,IF($E24="Distribution Rev.",VLOOKUP(N$5,'4. Billing Determinants'!$B$19:$N$41,8,0)/'4. Billing Determinants'!$I$41*$D24, VLOOKUP(N$5,'4. Billing Determinants'!$B$19:$N$41,3,0)/'4. Billing Determinants'!$D$41*$D24)))))</f>
        <v>0</v>
      </c>
      <c r="O24" s="150">
        <f>IF(O$5="",0,IF($E24="kWh",VLOOKUP(O$5,'4. Billing Determinants'!$B$19:$N$41,4,0)/'4. Billing Determinants'!$E$41*$D24,IF($E24="kW",VLOOKUP(O$5,'4. Billing Determinants'!$B$19:$N$41,5,0)/'4. Billing Determinants'!$F$41*$D24,IF($E24="Non-RPP kWh",VLOOKUP(O$5,'4. Billing Determinants'!$B$19:$N$41,6,0)/'4. Billing Determinants'!$G$41*$D24,IF($E24="Distribution Rev.",VLOOKUP(O$5,'4. Billing Determinants'!$B$19:$N$41,8,0)/'4. Billing Determinants'!$I$41*$D24, VLOOKUP(O$5,'4. Billing Determinants'!$B$19:$N$41,3,0)/'4. Billing Determinants'!$D$41*$D24)))))</f>
        <v>0</v>
      </c>
      <c r="P24" s="150">
        <f>IF(P$5="",0,IF($E24="kWh",VLOOKUP(P$5,'4. Billing Determinants'!$B$19:$N$41,4,0)/'4. Billing Determinants'!$E$41*$D24,IF($E24="kW",VLOOKUP(P$5,'4. Billing Determinants'!$B$19:$N$41,5,0)/'4. Billing Determinants'!$F$41*$D24,IF($E24="Non-RPP kWh",VLOOKUP(P$5,'4. Billing Determinants'!$B$19:$N$41,6,0)/'4. Billing Determinants'!$G$41*$D24,IF($E24="Distribution Rev.",VLOOKUP(P$5,'4. Billing Determinants'!$B$19:$N$41,8,0)/'4. Billing Determinants'!$I$41*$D24, VLOOKUP(P$5,'4. Billing Determinants'!$B$19:$N$41,3,0)/'4. Billing Determinants'!$D$41*$D24)))))</f>
        <v>0</v>
      </c>
      <c r="Q24" s="150">
        <f>IF(Q$5="",0,IF($E24="kWh",VLOOKUP(Q$5,'4. Billing Determinants'!$B$19:$N$41,4,0)/'4. Billing Determinants'!$E$41*$D24,IF($E24="kW",VLOOKUP(Q$5,'4. Billing Determinants'!$B$19:$N$41,5,0)/'4. Billing Determinants'!$F$41*$D24,IF($E24="Non-RPP kWh",VLOOKUP(Q$5,'4. Billing Determinants'!$B$19:$N$41,6,0)/'4. Billing Determinants'!$G$41*$D24,IF($E24="Distribution Rev.",VLOOKUP(Q$5,'4. Billing Determinants'!$B$19:$N$41,8,0)/'4. Billing Determinants'!$I$41*$D24, VLOOKUP(Q$5,'4. Billing Determinants'!$B$19:$N$41,3,0)/'4. Billing Determinants'!$D$41*$D24)))))</f>
        <v>0</v>
      </c>
      <c r="R24" s="150">
        <f>IF(R$5="",0,IF($E24="kWh",VLOOKUP(R$5,'4. Billing Determinants'!$B$19:$N$41,4,0)/'4. Billing Determinants'!$E$41*$D24,IF($E24="kW",VLOOKUP(R$5,'4. Billing Determinants'!$B$19:$N$41,5,0)/'4. Billing Determinants'!$F$41*$D24,IF($E24="Non-RPP kWh",VLOOKUP(R$5,'4. Billing Determinants'!$B$19:$N$41,6,0)/'4. Billing Determinants'!$G$41*$D24,IF($E24="Distribution Rev.",VLOOKUP(R$5,'4. Billing Determinants'!$B$19:$N$41,8,0)/'4. Billing Determinants'!$I$41*$D24, VLOOKUP(R$5,'4. Billing Determinants'!$B$19:$N$41,3,0)/'4. Billing Determinants'!$D$41*$D24)))))</f>
        <v>0</v>
      </c>
      <c r="S24" s="150">
        <f>IF(S$5="",0,IF($E24="kWh",VLOOKUP(S$5,'4. Billing Determinants'!$B$19:$N$41,4,0)/'4. Billing Determinants'!$E$41*$D24,IF($E24="kW",VLOOKUP(S$5,'4. Billing Determinants'!$B$19:$N$41,5,0)/'4. Billing Determinants'!$F$41*$D24,IF($E24="Non-RPP kWh",VLOOKUP(S$5,'4. Billing Determinants'!$B$19:$N$41,6,0)/'4. Billing Determinants'!$G$41*$D24,IF($E24="Distribution Rev.",VLOOKUP(S$5,'4. Billing Determinants'!$B$19:$N$41,8,0)/'4. Billing Determinants'!$I$41*$D24, VLOOKUP(S$5,'4. Billing Determinants'!$B$19:$N$41,3,0)/'4. Billing Determinants'!$D$41*$D24)))))</f>
        <v>0</v>
      </c>
      <c r="T24" s="150">
        <f>IF(T$5="",0,IF($E24="kWh",VLOOKUP(T$5,'4. Billing Determinants'!$B$19:$N$41,4,0)/'4. Billing Determinants'!$E$41*$D24,IF($E24="kW",VLOOKUP(T$5,'4. Billing Determinants'!$B$19:$N$41,5,0)/'4. Billing Determinants'!$F$41*$D24,IF($E24="Non-RPP kWh",VLOOKUP(T$5,'4. Billing Determinants'!$B$19:$N$41,6,0)/'4. Billing Determinants'!$G$41*$D24,IF($E24="Distribution Rev.",VLOOKUP(T$5,'4. Billing Determinants'!$B$19:$N$41,8,0)/'4. Billing Determinants'!$I$41*$D24, VLOOKUP(T$5,'4. Billing Determinants'!$B$19:$N$41,3,0)/'4. Billing Determinants'!$D$41*$D24)))))</f>
        <v>0</v>
      </c>
      <c r="U24" s="150">
        <f>IF(U$5="",0,IF($E24="kWh",VLOOKUP(U$5,'4. Billing Determinants'!$B$19:$N$41,4,0)/'4. Billing Determinants'!$E$41*$D24,IF($E24="kW",VLOOKUP(U$5,'4. Billing Determinants'!$B$19:$N$41,5,0)/'4. Billing Determinants'!$F$41*$D24,IF($E24="Non-RPP kWh",VLOOKUP(U$5,'4. Billing Determinants'!$B$19:$N$41,6,0)/'4. Billing Determinants'!$G$41*$D24,IF($E24="Distribution Rev.",VLOOKUP(U$5,'4. Billing Determinants'!$B$19:$N$41,8,0)/'4. Billing Determinants'!$I$41*$D24, VLOOKUP(U$5,'4. Billing Determinants'!$B$19:$N$41,3,0)/'4. Billing Determinants'!$D$41*$D24)))))</f>
        <v>0</v>
      </c>
      <c r="V24" s="150">
        <f>IF(V$5="",0,IF($E24="kWh",VLOOKUP(V$5,'4. Billing Determinants'!$B$19:$N$41,4,0)/'4. Billing Determinants'!$E$41*$D24,IF($E24="kW",VLOOKUP(V$5,'4. Billing Determinants'!$B$19:$N$41,5,0)/'4. Billing Determinants'!$F$41*$D24,IF($E24="Non-RPP kWh",VLOOKUP(V$5,'4. Billing Determinants'!$B$19:$N$41,6,0)/'4. Billing Determinants'!$G$41*$D24,IF($E24="Distribution Rev.",VLOOKUP(V$5,'4. Billing Determinants'!$B$19:$N$41,8,0)/'4. Billing Determinants'!$I$41*$D24, VLOOKUP(V$5,'4. Billing Determinants'!$B$19:$N$41,3,0)/'4. Billing Determinants'!$D$41*$D24)))))</f>
        <v>0</v>
      </c>
      <c r="W24" s="150">
        <f>IF(W$5="",0,IF($E24="kWh",VLOOKUP(W$5,'4. Billing Determinants'!$B$19:$N$41,4,0)/'4. Billing Determinants'!$E$41*$D24,IF($E24="kW",VLOOKUP(W$5,'4. Billing Determinants'!$B$19:$N$41,5,0)/'4. Billing Determinants'!$F$41*$D24,IF($E24="Non-RPP kWh",VLOOKUP(W$5,'4. Billing Determinants'!$B$19:$N$41,6,0)/'4. Billing Determinants'!$G$41*$D24,IF($E24="Distribution Rev.",VLOOKUP(W$5,'4. Billing Determinants'!$B$19:$N$41,8,0)/'4. Billing Determinants'!$I$41*$D24, VLOOKUP(W$5,'4. Billing Determinants'!$B$19:$N$41,3,0)/'4. Billing Determinants'!$D$41*$D24)))))</f>
        <v>0</v>
      </c>
      <c r="X24" s="150">
        <f>IF(X$5="",0,IF($E24="kWh",VLOOKUP(X$5,'4. Billing Determinants'!$B$19:$N$41,4,0)/'4. Billing Determinants'!$E$41*$D24,IF($E24="kW",VLOOKUP(X$5,'4. Billing Determinants'!$B$19:$N$41,5,0)/'4. Billing Determinants'!$F$41*$D24,IF($E24="Non-RPP kWh",VLOOKUP(X$5,'4. Billing Determinants'!$B$19:$N$41,6,0)/'4. Billing Determinants'!$G$41*$D24,IF($E24="Distribution Rev.",VLOOKUP(X$5,'4. Billing Determinants'!$B$19:$N$41,8,0)/'4. Billing Determinants'!$I$41*$D24, VLOOKUP(X$5,'4. Billing Determinants'!$B$19:$N$41,3,0)/'4. Billing Determinants'!$D$41*$D24)))))</f>
        <v>0</v>
      </c>
      <c r="Y24" s="150">
        <f>IF(Y$5="",0,IF($E24="kWh",VLOOKUP(Y$5,'4. Billing Determinants'!$B$19:$N$41,4,0)/'4. Billing Determinants'!$E$41*$D24,IF($E24="kW",VLOOKUP(Y$5,'4. Billing Determinants'!$B$19:$N$41,5,0)/'4. Billing Determinants'!$F$41*$D24,IF($E24="Non-RPP kWh",VLOOKUP(Y$5,'4. Billing Determinants'!$B$19:$N$41,6,0)/'4. Billing Determinants'!$G$41*$D24,IF($E24="Distribution Rev.",VLOOKUP(Y$5,'4. Billing Determinants'!$B$19:$N$41,8,0)/'4. Billing Determinants'!$I$41*$D24, VLOOKUP(Y$5,'4. Billing Determinants'!$B$19:$N$41,3,0)/'4. Billing Determinants'!$D$41*$D24)))))</f>
        <v>0</v>
      </c>
    </row>
    <row r="25" spans="2:25" x14ac:dyDescent="0.2">
      <c r="B25" s="152" t="s">
        <v>4</v>
      </c>
      <c r="C25" s="149">
        <v>1518</v>
      </c>
      <c r="D25" s="211">
        <f>'2. 2013 Continuity Schedule'!CF47</f>
        <v>148737.329276</v>
      </c>
      <c r="E25" s="212" t="s">
        <v>189</v>
      </c>
      <c r="F25" s="211">
        <f>IF(F$5="",0,IF($E25="kWh",VLOOKUP(F$5,'4. Billing Determinants'!$B$19:$N$41,4,0)/'4. Billing Determinants'!$E$41*$D25,IF($E25="kW",VLOOKUP(F$5,'4. Billing Determinants'!$B$19:$N$41,5,0)/'4. Billing Determinants'!$F$41*$D25,IF($E25="Non-RPP kWh",VLOOKUP(F$5,'4. Billing Determinants'!$B$19:$N$41,6,0)/'4. Billing Determinants'!$G$41*$D25,IF($E25="Distribution Rev.",VLOOKUP(F$5,'4. Billing Determinants'!$B$19:$N$41,8,0)/'4. Billing Determinants'!$I$41*$D25, VLOOKUP(F$5,'4. Billing Determinants'!$B$19:$N$41,3,0)/'4. Billing Determinants'!$D$41*$D25)))))</f>
        <v>133191.5222078709</v>
      </c>
      <c r="G25" s="211">
        <f>IF(G$5="",0,IF($E25="kWh",VLOOKUP(G$5,'4. Billing Determinants'!$B$19:$N$41,4,0)/'4. Billing Determinants'!$E$41*$D25,IF($E25="kW",VLOOKUP(G$5,'4. Billing Determinants'!$B$19:$N$41,5,0)/'4. Billing Determinants'!$F$41*$D25,IF($E25="Non-RPP kWh",VLOOKUP(G$5,'4. Billing Determinants'!$B$19:$N$41,6,0)/'4. Billing Determinants'!$G$41*$D25,IF($E25="Distribution Rev.",VLOOKUP(G$5,'4. Billing Determinants'!$B$19:$N$41,8,0)/'4. Billing Determinants'!$I$41*$D25, VLOOKUP(G$5,'4. Billing Determinants'!$B$19:$N$41,3,0)/'4. Billing Determinants'!$D$41*$D25)))))</f>
        <v>13349.213995894901</v>
      </c>
      <c r="H25" s="211">
        <f>IF(H$5="",0,IF($E25="kWh",VLOOKUP(H$5,'4. Billing Determinants'!$B$19:$N$41,4,0)/'4. Billing Determinants'!$E$41*$D25,IF($E25="kW",VLOOKUP(H$5,'4. Billing Determinants'!$B$19:$N$41,5,0)/'4. Billing Determinants'!$F$41*$D25,IF($E25="Non-RPP kWh",VLOOKUP(H$5,'4. Billing Determinants'!$B$19:$N$41,6,0)/'4. Billing Determinants'!$G$41*$D25,IF($E25="Distribution Rev.",VLOOKUP(H$5,'4. Billing Determinants'!$B$19:$N$41,8,0)/'4. Billing Determinants'!$I$41*$D25, VLOOKUP(H$5,'4. Billing Determinants'!$B$19:$N$41,3,0)/'4. Billing Determinants'!$D$41*$D25)))))</f>
        <v>1520.9472356526855</v>
      </c>
      <c r="I25" s="211">
        <f>IF(I$5="",0,IF($E25="kWh",VLOOKUP(I$5,'4. Billing Determinants'!$B$19:$N$41,4,0)/'4. Billing Determinants'!$E$41*$D25,IF($E25="kW",VLOOKUP(I$5,'4. Billing Determinants'!$B$19:$N$41,5,0)/'4. Billing Determinants'!$F$41*$D25,IF($E25="Non-RPP kWh",VLOOKUP(I$5,'4. Billing Determinants'!$B$19:$N$41,6,0)/'4. Billing Determinants'!$G$41*$D25,IF($E25="Distribution Rev.",VLOOKUP(I$5,'4. Billing Determinants'!$B$19:$N$41,8,0)/'4. Billing Determinants'!$I$41*$D25, VLOOKUP(I$5,'4. Billing Determinants'!$B$19:$N$41,3,0)/'4. Billing Determinants'!$D$41*$D25)))))</f>
        <v>59.528267540222529</v>
      </c>
      <c r="J25" s="211">
        <f>IF(J$5="",0,IF($E25="kWh",VLOOKUP(J$5,'4. Billing Determinants'!$B$19:$N$41,4,0)/'4. Billing Determinants'!$E$41*$D25,IF($E25="kW",VLOOKUP(J$5,'4. Billing Determinants'!$B$19:$N$41,5,0)/'4. Billing Determinants'!$F$41*$D25,IF($E25="Non-RPP kWh",VLOOKUP(J$5,'4. Billing Determinants'!$B$19:$N$41,6,0)/'4. Billing Determinants'!$G$41*$D25,IF($E25="Distribution Rev.",VLOOKUP(J$5,'4. Billing Determinants'!$B$19:$N$41,8,0)/'4. Billing Determinants'!$I$41*$D25, VLOOKUP(J$5,'4. Billing Determinants'!$B$19:$N$41,3,0)/'4. Billing Determinants'!$D$41*$D25)))))</f>
        <v>166.67914911262307</v>
      </c>
      <c r="K25" s="211">
        <f>IF(K$5="",0,IF($E25="kWh",VLOOKUP(K$5,'4. Billing Determinants'!$B$19:$N$41,4,0)/'4. Billing Determinants'!$E$41*$D25,IF($E25="kW",VLOOKUP(K$5,'4. Billing Determinants'!$B$19:$N$41,5,0)/'4. Billing Determinants'!$F$41*$D25,IF($E25="Non-RPP kWh",VLOOKUP(K$5,'4. Billing Determinants'!$B$19:$N$41,6,0)/'4. Billing Determinants'!$G$41*$D25,IF($E25="Distribution Rev.",VLOOKUP(K$5,'4. Billing Determinants'!$B$19:$N$41,8,0)/'4. Billing Determinants'!$I$41*$D25, VLOOKUP(K$5,'4. Billing Determinants'!$B$19:$N$41,3,0)/'4. Billing Determinants'!$D$41*$D25)))))</f>
        <v>440.50917979764671</v>
      </c>
      <c r="L25" s="211">
        <f>IF(L$5="",0,IF($E25="kWh",VLOOKUP(L$5,'4. Billing Determinants'!$B$19:$N$41,4,0)/'4. Billing Determinants'!$E$41*$D25,IF($E25="kW",VLOOKUP(L$5,'4. Billing Determinants'!$B$19:$N$41,5,0)/'4. Billing Determinants'!$F$41*$D25,IF($E25="Non-RPP kWh",VLOOKUP(L$5,'4. Billing Determinants'!$B$19:$N$41,6,0)/'4. Billing Determinants'!$G$41*$D25,IF($E25="Distribution Rev.",VLOOKUP(L$5,'4. Billing Determinants'!$B$19:$N$41,8,0)/'4. Billing Determinants'!$I$41*$D25, VLOOKUP(L$5,'4. Billing Determinants'!$B$19:$N$41,3,0)/'4. Billing Determinants'!$D$41*$D25)))))</f>
        <v>8.9292401310333798</v>
      </c>
      <c r="M25" s="150">
        <f>IF(M$5="",0,IF($E25="kWh",VLOOKUP(M$5,'4. Billing Determinants'!$B$19:$N$41,4,0)/'4. Billing Determinants'!$E$41*$D25,IF($E25="kW",VLOOKUP(M$5,'4. Billing Determinants'!$B$19:$N$41,5,0)/'4. Billing Determinants'!$F$41*$D25,IF($E25="Non-RPP kWh",VLOOKUP(M$5,'4. Billing Determinants'!$B$19:$N$41,6,0)/'4. Billing Determinants'!$G$41*$D25,IF($E25="Distribution Rev.",VLOOKUP(M$5,'4. Billing Determinants'!$B$19:$N$41,8,0)/'4. Billing Determinants'!$I$41*$D25, VLOOKUP(M$5,'4. Billing Determinants'!$B$19:$N$41,3,0)/'4. Billing Determinants'!$D$41*$D25)))))</f>
        <v>0</v>
      </c>
      <c r="N25" s="150">
        <f>IF(N$5="",0,IF($E25="kWh",VLOOKUP(N$5,'4. Billing Determinants'!$B$19:$N$41,4,0)/'4. Billing Determinants'!$E$41*$D25,IF($E25="kW",VLOOKUP(N$5,'4. Billing Determinants'!$B$19:$N$41,5,0)/'4. Billing Determinants'!$F$41*$D25,IF($E25="Non-RPP kWh",VLOOKUP(N$5,'4. Billing Determinants'!$B$19:$N$41,6,0)/'4. Billing Determinants'!$G$41*$D25,IF($E25="Distribution Rev.",VLOOKUP(N$5,'4. Billing Determinants'!$B$19:$N$41,8,0)/'4. Billing Determinants'!$I$41*$D25, VLOOKUP(N$5,'4. Billing Determinants'!$B$19:$N$41,3,0)/'4. Billing Determinants'!$D$41*$D25)))))</f>
        <v>0</v>
      </c>
      <c r="O25" s="150">
        <f>IF(O$5="",0,IF($E25="kWh",VLOOKUP(O$5,'4. Billing Determinants'!$B$19:$N$41,4,0)/'4. Billing Determinants'!$E$41*$D25,IF($E25="kW",VLOOKUP(O$5,'4. Billing Determinants'!$B$19:$N$41,5,0)/'4. Billing Determinants'!$F$41*$D25,IF($E25="Non-RPP kWh",VLOOKUP(O$5,'4. Billing Determinants'!$B$19:$N$41,6,0)/'4. Billing Determinants'!$G$41*$D25,IF($E25="Distribution Rev.",VLOOKUP(O$5,'4. Billing Determinants'!$B$19:$N$41,8,0)/'4. Billing Determinants'!$I$41*$D25, VLOOKUP(O$5,'4. Billing Determinants'!$B$19:$N$41,3,0)/'4. Billing Determinants'!$D$41*$D25)))))</f>
        <v>0</v>
      </c>
      <c r="P25" s="150">
        <f>IF(P$5="",0,IF($E25="kWh",VLOOKUP(P$5,'4. Billing Determinants'!$B$19:$N$41,4,0)/'4. Billing Determinants'!$E$41*$D25,IF($E25="kW",VLOOKUP(P$5,'4. Billing Determinants'!$B$19:$N$41,5,0)/'4. Billing Determinants'!$F$41*$D25,IF($E25="Non-RPP kWh",VLOOKUP(P$5,'4. Billing Determinants'!$B$19:$N$41,6,0)/'4. Billing Determinants'!$G$41*$D25,IF($E25="Distribution Rev.",VLOOKUP(P$5,'4. Billing Determinants'!$B$19:$N$41,8,0)/'4. Billing Determinants'!$I$41*$D25, VLOOKUP(P$5,'4. Billing Determinants'!$B$19:$N$41,3,0)/'4. Billing Determinants'!$D$41*$D25)))))</f>
        <v>0</v>
      </c>
      <c r="Q25" s="150">
        <f>IF(Q$5="",0,IF($E25="kWh",VLOOKUP(Q$5,'4. Billing Determinants'!$B$19:$N$41,4,0)/'4. Billing Determinants'!$E$41*$D25,IF($E25="kW",VLOOKUP(Q$5,'4. Billing Determinants'!$B$19:$N$41,5,0)/'4. Billing Determinants'!$F$41*$D25,IF($E25="Non-RPP kWh",VLOOKUP(Q$5,'4. Billing Determinants'!$B$19:$N$41,6,0)/'4. Billing Determinants'!$G$41*$D25,IF($E25="Distribution Rev.",VLOOKUP(Q$5,'4. Billing Determinants'!$B$19:$N$41,8,0)/'4. Billing Determinants'!$I$41*$D25, VLOOKUP(Q$5,'4. Billing Determinants'!$B$19:$N$41,3,0)/'4. Billing Determinants'!$D$41*$D25)))))</f>
        <v>0</v>
      </c>
      <c r="R25" s="150">
        <f>IF(R$5="",0,IF($E25="kWh",VLOOKUP(R$5,'4. Billing Determinants'!$B$19:$N$41,4,0)/'4. Billing Determinants'!$E$41*$D25,IF($E25="kW",VLOOKUP(R$5,'4. Billing Determinants'!$B$19:$N$41,5,0)/'4. Billing Determinants'!$F$41*$D25,IF($E25="Non-RPP kWh",VLOOKUP(R$5,'4. Billing Determinants'!$B$19:$N$41,6,0)/'4. Billing Determinants'!$G$41*$D25,IF($E25="Distribution Rev.",VLOOKUP(R$5,'4. Billing Determinants'!$B$19:$N$41,8,0)/'4. Billing Determinants'!$I$41*$D25, VLOOKUP(R$5,'4. Billing Determinants'!$B$19:$N$41,3,0)/'4. Billing Determinants'!$D$41*$D25)))))</f>
        <v>0</v>
      </c>
      <c r="S25" s="150">
        <f>IF(S$5="",0,IF($E25="kWh",VLOOKUP(S$5,'4. Billing Determinants'!$B$19:$N$41,4,0)/'4. Billing Determinants'!$E$41*$D25,IF($E25="kW",VLOOKUP(S$5,'4. Billing Determinants'!$B$19:$N$41,5,0)/'4. Billing Determinants'!$F$41*$D25,IF($E25="Non-RPP kWh",VLOOKUP(S$5,'4. Billing Determinants'!$B$19:$N$41,6,0)/'4. Billing Determinants'!$G$41*$D25,IF($E25="Distribution Rev.",VLOOKUP(S$5,'4. Billing Determinants'!$B$19:$N$41,8,0)/'4. Billing Determinants'!$I$41*$D25, VLOOKUP(S$5,'4. Billing Determinants'!$B$19:$N$41,3,0)/'4. Billing Determinants'!$D$41*$D25)))))</f>
        <v>0</v>
      </c>
      <c r="T25" s="150">
        <f>IF(T$5="",0,IF($E25="kWh",VLOOKUP(T$5,'4. Billing Determinants'!$B$19:$N$41,4,0)/'4. Billing Determinants'!$E$41*$D25,IF($E25="kW",VLOOKUP(T$5,'4. Billing Determinants'!$B$19:$N$41,5,0)/'4. Billing Determinants'!$F$41*$D25,IF($E25="Non-RPP kWh",VLOOKUP(T$5,'4. Billing Determinants'!$B$19:$N$41,6,0)/'4. Billing Determinants'!$G$41*$D25,IF($E25="Distribution Rev.",VLOOKUP(T$5,'4. Billing Determinants'!$B$19:$N$41,8,0)/'4. Billing Determinants'!$I$41*$D25, VLOOKUP(T$5,'4. Billing Determinants'!$B$19:$N$41,3,0)/'4. Billing Determinants'!$D$41*$D25)))))</f>
        <v>0</v>
      </c>
      <c r="U25" s="150">
        <f>IF(U$5="",0,IF($E25="kWh",VLOOKUP(U$5,'4. Billing Determinants'!$B$19:$N$41,4,0)/'4. Billing Determinants'!$E$41*$D25,IF($E25="kW",VLOOKUP(U$5,'4. Billing Determinants'!$B$19:$N$41,5,0)/'4. Billing Determinants'!$F$41*$D25,IF($E25="Non-RPP kWh",VLOOKUP(U$5,'4. Billing Determinants'!$B$19:$N$41,6,0)/'4. Billing Determinants'!$G$41*$D25,IF($E25="Distribution Rev.",VLOOKUP(U$5,'4. Billing Determinants'!$B$19:$N$41,8,0)/'4. Billing Determinants'!$I$41*$D25, VLOOKUP(U$5,'4. Billing Determinants'!$B$19:$N$41,3,0)/'4. Billing Determinants'!$D$41*$D25)))))</f>
        <v>0</v>
      </c>
      <c r="V25" s="150">
        <f>IF(V$5="",0,IF($E25="kWh",VLOOKUP(V$5,'4. Billing Determinants'!$B$19:$N$41,4,0)/'4. Billing Determinants'!$E$41*$D25,IF($E25="kW",VLOOKUP(V$5,'4. Billing Determinants'!$B$19:$N$41,5,0)/'4. Billing Determinants'!$F$41*$D25,IF($E25="Non-RPP kWh",VLOOKUP(V$5,'4. Billing Determinants'!$B$19:$N$41,6,0)/'4. Billing Determinants'!$G$41*$D25,IF($E25="Distribution Rev.",VLOOKUP(V$5,'4. Billing Determinants'!$B$19:$N$41,8,0)/'4. Billing Determinants'!$I$41*$D25, VLOOKUP(V$5,'4. Billing Determinants'!$B$19:$N$41,3,0)/'4. Billing Determinants'!$D$41*$D25)))))</f>
        <v>0</v>
      </c>
      <c r="W25" s="150">
        <f>IF(W$5="",0,IF($E25="kWh",VLOOKUP(W$5,'4. Billing Determinants'!$B$19:$N$41,4,0)/'4. Billing Determinants'!$E$41*$D25,IF($E25="kW",VLOOKUP(W$5,'4. Billing Determinants'!$B$19:$N$41,5,0)/'4. Billing Determinants'!$F$41*$D25,IF($E25="Non-RPP kWh",VLOOKUP(W$5,'4. Billing Determinants'!$B$19:$N$41,6,0)/'4. Billing Determinants'!$G$41*$D25,IF($E25="Distribution Rev.",VLOOKUP(W$5,'4. Billing Determinants'!$B$19:$N$41,8,0)/'4. Billing Determinants'!$I$41*$D25, VLOOKUP(W$5,'4. Billing Determinants'!$B$19:$N$41,3,0)/'4. Billing Determinants'!$D$41*$D25)))))</f>
        <v>0</v>
      </c>
      <c r="X25" s="150">
        <f>IF(X$5="",0,IF($E25="kWh",VLOOKUP(X$5,'4. Billing Determinants'!$B$19:$N$41,4,0)/'4. Billing Determinants'!$E$41*$D25,IF($E25="kW",VLOOKUP(X$5,'4. Billing Determinants'!$B$19:$N$41,5,0)/'4. Billing Determinants'!$F$41*$D25,IF($E25="Non-RPP kWh",VLOOKUP(X$5,'4. Billing Determinants'!$B$19:$N$41,6,0)/'4. Billing Determinants'!$G$41*$D25,IF($E25="Distribution Rev.",VLOOKUP(X$5,'4. Billing Determinants'!$B$19:$N$41,8,0)/'4. Billing Determinants'!$I$41*$D25, VLOOKUP(X$5,'4. Billing Determinants'!$B$19:$N$41,3,0)/'4. Billing Determinants'!$D$41*$D25)))))</f>
        <v>0</v>
      </c>
      <c r="Y25" s="150">
        <f>IF(Y$5="",0,IF($E25="kWh",VLOOKUP(Y$5,'4. Billing Determinants'!$B$19:$N$41,4,0)/'4. Billing Determinants'!$E$41*$D25,IF($E25="kW",VLOOKUP(Y$5,'4. Billing Determinants'!$B$19:$N$41,5,0)/'4. Billing Determinants'!$F$41*$D25,IF($E25="Non-RPP kWh",VLOOKUP(Y$5,'4. Billing Determinants'!$B$19:$N$41,6,0)/'4. Billing Determinants'!$G$41*$D25,IF($E25="Distribution Rev.",VLOOKUP(Y$5,'4. Billing Determinants'!$B$19:$N$41,8,0)/'4. Billing Determinants'!$I$41*$D25, VLOOKUP(Y$5,'4. Billing Determinants'!$B$19:$N$41,3,0)/'4. Billing Determinants'!$D$41*$D25)))))</f>
        <v>0</v>
      </c>
    </row>
    <row r="26" spans="2:25" x14ac:dyDescent="0.2">
      <c r="B26" s="152" t="s">
        <v>17</v>
      </c>
      <c r="C26" s="149">
        <v>1525</v>
      </c>
      <c r="D26" s="211">
        <f>'2. 2013 Continuity Schedule'!CF48</f>
        <v>1.0699999999999932</v>
      </c>
      <c r="E26" s="212" t="s">
        <v>189</v>
      </c>
      <c r="F26" s="211">
        <f>IF(F$5="",0,IF($E26="kWh",VLOOKUP(F$5,'4. Billing Determinants'!$B$19:$N$41,4,0)/'4. Billing Determinants'!$E$41*$D26,IF($E26="kW",VLOOKUP(F$5,'4. Billing Determinants'!$B$19:$N$41,5,0)/'4. Billing Determinants'!$F$41*$D26,IF($E26="Non-RPP kWh",VLOOKUP(F$5,'4. Billing Determinants'!$B$19:$N$41,6,0)/'4. Billing Determinants'!$G$41*$D26,IF($E26="Distribution Rev.",VLOOKUP(F$5,'4. Billing Determinants'!$B$19:$N$41,8,0)/'4. Billing Determinants'!$I$41*$D26, VLOOKUP(F$5,'4. Billing Determinants'!$B$19:$N$41,3,0)/'4. Billing Determinants'!$D$41*$D26)))))</f>
        <v>0.95816517249659205</v>
      </c>
      <c r="G26" s="211">
        <f>IF(G$5="",0,IF($E26="kWh",VLOOKUP(G$5,'4. Billing Determinants'!$B$19:$N$41,4,0)/'4. Billing Determinants'!$E$41*$D26,IF($E26="kW",VLOOKUP(G$5,'4. Billing Determinants'!$B$19:$N$41,5,0)/'4. Billing Determinants'!$F$41*$D26,IF($E26="Non-RPP kWh",VLOOKUP(G$5,'4. Billing Determinants'!$B$19:$N$41,6,0)/'4. Billing Determinants'!$G$41*$D26,IF($E26="Distribution Rev.",VLOOKUP(G$5,'4. Billing Determinants'!$B$19:$N$41,8,0)/'4. Billing Determinants'!$I$41*$D26, VLOOKUP(G$5,'4. Billing Determinants'!$B$19:$N$41,3,0)/'4. Billing Determinants'!$D$41*$D26)))))</f>
        <v>9.6032778355878673E-2</v>
      </c>
      <c r="H26" s="211">
        <f>IF(H$5="",0,IF($E26="kWh",VLOOKUP(H$5,'4. Billing Determinants'!$B$19:$N$41,4,0)/'4. Billing Determinants'!$E$41*$D26,IF($E26="kW",VLOOKUP(H$5,'4. Billing Determinants'!$B$19:$N$41,5,0)/'4. Billing Determinants'!$F$41*$D26,IF($E26="Non-RPP kWh",VLOOKUP(H$5,'4. Billing Determinants'!$B$19:$N$41,6,0)/'4. Billing Determinants'!$G$41*$D26,IF($E26="Distribution Rev.",VLOOKUP(H$5,'4. Billing Determinants'!$B$19:$N$41,8,0)/'4. Billing Determinants'!$I$41*$D26, VLOOKUP(H$5,'4. Billing Determinants'!$B$19:$N$41,3,0)/'4. Billing Determinants'!$D$41*$D26)))))</f>
        <v>1.0941527255262876E-2</v>
      </c>
      <c r="I26" s="211">
        <f>IF(I$5="",0,IF($E26="kWh",VLOOKUP(I$5,'4. Billing Determinants'!$B$19:$N$41,4,0)/'4. Billing Determinants'!$E$41*$D26,IF($E26="kW",VLOOKUP(I$5,'4. Billing Determinants'!$B$19:$N$41,5,0)/'4. Billing Determinants'!$F$41*$D26,IF($E26="Non-RPP kWh",VLOOKUP(I$5,'4. Billing Determinants'!$B$19:$N$41,6,0)/'4. Billing Determinants'!$G$41*$D26,IF($E26="Distribution Rev.",VLOOKUP(I$5,'4. Billing Determinants'!$B$19:$N$41,8,0)/'4. Billing Determinants'!$I$41*$D26, VLOOKUP(I$5,'4. Billing Determinants'!$B$19:$N$41,3,0)/'4. Billing Determinants'!$D$41*$D26)))))</f>
        <v>4.2823981429600304E-4</v>
      </c>
      <c r="J26" s="211">
        <f>IF(J$5="",0,IF($E26="kWh",VLOOKUP(J$5,'4. Billing Determinants'!$B$19:$N$41,4,0)/'4. Billing Determinants'!$E$41*$D26,IF($E26="kW",VLOOKUP(J$5,'4. Billing Determinants'!$B$19:$N$41,5,0)/'4. Billing Determinants'!$F$41*$D26,IF($E26="Non-RPP kWh",VLOOKUP(J$5,'4. Billing Determinants'!$B$19:$N$41,6,0)/'4. Billing Determinants'!$G$41*$D26,IF($E26="Distribution Rev.",VLOOKUP(J$5,'4. Billing Determinants'!$B$19:$N$41,8,0)/'4. Billing Determinants'!$I$41*$D26, VLOOKUP(J$5,'4. Billing Determinants'!$B$19:$N$41,3,0)/'4. Billing Determinants'!$D$41*$D26)))))</f>
        <v>1.1990714800288085E-3</v>
      </c>
      <c r="K26" s="211">
        <f>IF(K$5="",0,IF($E26="kWh",VLOOKUP(K$5,'4. Billing Determinants'!$B$19:$N$41,4,0)/'4. Billing Determinants'!$E$41*$D26,IF($E26="kW",VLOOKUP(K$5,'4. Billing Determinants'!$B$19:$N$41,5,0)/'4. Billing Determinants'!$F$41*$D26,IF($E26="Non-RPP kWh",VLOOKUP(K$5,'4. Billing Determinants'!$B$19:$N$41,6,0)/'4. Billing Determinants'!$G$41*$D26,IF($E26="Distribution Rev.",VLOOKUP(K$5,'4. Billing Determinants'!$B$19:$N$41,8,0)/'4. Billing Determinants'!$I$41*$D26, VLOOKUP(K$5,'4. Billing Determinants'!$B$19:$N$41,3,0)/'4. Billing Determinants'!$D$41*$D26)))))</f>
        <v>3.1689746257904227E-3</v>
      </c>
      <c r="L26" s="211">
        <f>IF(L$5="",0,IF($E26="kWh",VLOOKUP(L$5,'4. Billing Determinants'!$B$19:$N$41,4,0)/'4. Billing Determinants'!$E$41*$D26,IF($E26="kW",VLOOKUP(L$5,'4. Billing Determinants'!$B$19:$N$41,5,0)/'4. Billing Determinants'!$F$41*$D26,IF($E26="Non-RPP kWh",VLOOKUP(L$5,'4. Billing Determinants'!$B$19:$N$41,6,0)/'4. Billing Determinants'!$G$41*$D26,IF($E26="Distribution Rev.",VLOOKUP(L$5,'4. Billing Determinants'!$B$19:$N$41,8,0)/'4. Billing Determinants'!$I$41*$D26, VLOOKUP(L$5,'4. Billing Determinants'!$B$19:$N$41,3,0)/'4. Billing Determinants'!$D$41*$D26)))))</f>
        <v>6.4235972144400459E-5</v>
      </c>
      <c r="M26" s="150">
        <f>IF(M$5="",0,IF($E26="kWh",VLOOKUP(M$5,'4. Billing Determinants'!$B$19:$N$41,4,0)/'4. Billing Determinants'!$E$41*$D26,IF($E26="kW",VLOOKUP(M$5,'4. Billing Determinants'!$B$19:$N$41,5,0)/'4. Billing Determinants'!$F$41*$D26,IF($E26="Non-RPP kWh",VLOOKUP(M$5,'4. Billing Determinants'!$B$19:$N$41,6,0)/'4. Billing Determinants'!$G$41*$D26,IF($E26="Distribution Rev.",VLOOKUP(M$5,'4. Billing Determinants'!$B$19:$N$41,8,0)/'4. Billing Determinants'!$I$41*$D26, VLOOKUP(M$5,'4. Billing Determinants'!$B$19:$N$41,3,0)/'4. Billing Determinants'!$D$41*$D26)))))</f>
        <v>0</v>
      </c>
      <c r="N26" s="150">
        <f>IF(N$5="",0,IF($E26="kWh",VLOOKUP(N$5,'4. Billing Determinants'!$B$19:$N$41,4,0)/'4. Billing Determinants'!$E$41*$D26,IF($E26="kW",VLOOKUP(N$5,'4. Billing Determinants'!$B$19:$N$41,5,0)/'4. Billing Determinants'!$F$41*$D26,IF($E26="Non-RPP kWh",VLOOKUP(N$5,'4. Billing Determinants'!$B$19:$N$41,6,0)/'4. Billing Determinants'!$G$41*$D26,IF($E26="Distribution Rev.",VLOOKUP(N$5,'4. Billing Determinants'!$B$19:$N$41,8,0)/'4. Billing Determinants'!$I$41*$D26, VLOOKUP(N$5,'4. Billing Determinants'!$B$19:$N$41,3,0)/'4. Billing Determinants'!$D$41*$D26)))))</f>
        <v>0</v>
      </c>
      <c r="O26" s="150">
        <f>IF(O$5="",0,IF($E26="kWh",VLOOKUP(O$5,'4. Billing Determinants'!$B$19:$N$41,4,0)/'4. Billing Determinants'!$E$41*$D26,IF($E26="kW",VLOOKUP(O$5,'4. Billing Determinants'!$B$19:$N$41,5,0)/'4. Billing Determinants'!$F$41*$D26,IF($E26="Non-RPP kWh",VLOOKUP(O$5,'4. Billing Determinants'!$B$19:$N$41,6,0)/'4. Billing Determinants'!$G$41*$D26,IF($E26="Distribution Rev.",VLOOKUP(O$5,'4. Billing Determinants'!$B$19:$N$41,8,0)/'4. Billing Determinants'!$I$41*$D26, VLOOKUP(O$5,'4. Billing Determinants'!$B$19:$N$41,3,0)/'4. Billing Determinants'!$D$41*$D26)))))</f>
        <v>0</v>
      </c>
      <c r="P26" s="150">
        <f>IF(P$5="",0,IF($E26="kWh",VLOOKUP(P$5,'4. Billing Determinants'!$B$19:$N$41,4,0)/'4. Billing Determinants'!$E$41*$D26,IF($E26="kW",VLOOKUP(P$5,'4. Billing Determinants'!$B$19:$N$41,5,0)/'4. Billing Determinants'!$F$41*$D26,IF($E26="Non-RPP kWh",VLOOKUP(P$5,'4. Billing Determinants'!$B$19:$N$41,6,0)/'4. Billing Determinants'!$G$41*$D26,IF($E26="Distribution Rev.",VLOOKUP(P$5,'4. Billing Determinants'!$B$19:$N$41,8,0)/'4. Billing Determinants'!$I$41*$D26, VLOOKUP(P$5,'4. Billing Determinants'!$B$19:$N$41,3,0)/'4. Billing Determinants'!$D$41*$D26)))))</f>
        <v>0</v>
      </c>
      <c r="Q26" s="150">
        <f>IF(Q$5="",0,IF($E26="kWh",VLOOKUP(Q$5,'4. Billing Determinants'!$B$19:$N$41,4,0)/'4. Billing Determinants'!$E$41*$D26,IF($E26="kW",VLOOKUP(Q$5,'4. Billing Determinants'!$B$19:$N$41,5,0)/'4. Billing Determinants'!$F$41*$D26,IF($E26="Non-RPP kWh",VLOOKUP(Q$5,'4. Billing Determinants'!$B$19:$N$41,6,0)/'4. Billing Determinants'!$G$41*$D26,IF($E26="Distribution Rev.",VLOOKUP(Q$5,'4. Billing Determinants'!$B$19:$N$41,8,0)/'4. Billing Determinants'!$I$41*$D26, VLOOKUP(Q$5,'4. Billing Determinants'!$B$19:$N$41,3,0)/'4. Billing Determinants'!$D$41*$D26)))))</f>
        <v>0</v>
      </c>
      <c r="R26" s="150">
        <f>IF(R$5="",0,IF($E26="kWh",VLOOKUP(R$5,'4. Billing Determinants'!$B$19:$N$41,4,0)/'4. Billing Determinants'!$E$41*$D26,IF($E26="kW",VLOOKUP(R$5,'4. Billing Determinants'!$B$19:$N$41,5,0)/'4. Billing Determinants'!$F$41*$D26,IF($E26="Non-RPP kWh",VLOOKUP(R$5,'4. Billing Determinants'!$B$19:$N$41,6,0)/'4. Billing Determinants'!$G$41*$D26,IF($E26="Distribution Rev.",VLOOKUP(R$5,'4. Billing Determinants'!$B$19:$N$41,8,0)/'4. Billing Determinants'!$I$41*$D26, VLOOKUP(R$5,'4. Billing Determinants'!$B$19:$N$41,3,0)/'4. Billing Determinants'!$D$41*$D26)))))</f>
        <v>0</v>
      </c>
      <c r="S26" s="150">
        <f>IF(S$5="",0,IF($E26="kWh",VLOOKUP(S$5,'4. Billing Determinants'!$B$19:$N$41,4,0)/'4. Billing Determinants'!$E$41*$D26,IF($E26="kW",VLOOKUP(S$5,'4. Billing Determinants'!$B$19:$N$41,5,0)/'4. Billing Determinants'!$F$41*$D26,IF($E26="Non-RPP kWh",VLOOKUP(S$5,'4. Billing Determinants'!$B$19:$N$41,6,0)/'4. Billing Determinants'!$G$41*$D26,IF($E26="Distribution Rev.",VLOOKUP(S$5,'4. Billing Determinants'!$B$19:$N$41,8,0)/'4. Billing Determinants'!$I$41*$D26, VLOOKUP(S$5,'4. Billing Determinants'!$B$19:$N$41,3,0)/'4. Billing Determinants'!$D$41*$D26)))))</f>
        <v>0</v>
      </c>
      <c r="T26" s="150">
        <f>IF(T$5="",0,IF($E26="kWh",VLOOKUP(T$5,'4. Billing Determinants'!$B$19:$N$41,4,0)/'4. Billing Determinants'!$E$41*$D26,IF($E26="kW",VLOOKUP(T$5,'4. Billing Determinants'!$B$19:$N$41,5,0)/'4. Billing Determinants'!$F$41*$D26,IF($E26="Non-RPP kWh",VLOOKUP(T$5,'4. Billing Determinants'!$B$19:$N$41,6,0)/'4. Billing Determinants'!$G$41*$D26,IF($E26="Distribution Rev.",VLOOKUP(T$5,'4. Billing Determinants'!$B$19:$N$41,8,0)/'4. Billing Determinants'!$I$41*$D26, VLOOKUP(T$5,'4. Billing Determinants'!$B$19:$N$41,3,0)/'4. Billing Determinants'!$D$41*$D26)))))</f>
        <v>0</v>
      </c>
      <c r="U26" s="150">
        <f>IF(U$5="",0,IF($E26="kWh",VLOOKUP(U$5,'4. Billing Determinants'!$B$19:$N$41,4,0)/'4. Billing Determinants'!$E$41*$D26,IF($E26="kW",VLOOKUP(U$5,'4. Billing Determinants'!$B$19:$N$41,5,0)/'4. Billing Determinants'!$F$41*$D26,IF($E26="Non-RPP kWh",VLOOKUP(U$5,'4. Billing Determinants'!$B$19:$N$41,6,0)/'4. Billing Determinants'!$G$41*$D26,IF($E26="Distribution Rev.",VLOOKUP(U$5,'4. Billing Determinants'!$B$19:$N$41,8,0)/'4. Billing Determinants'!$I$41*$D26, VLOOKUP(U$5,'4. Billing Determinants'!$B$19:$N$41,3,0)/'4. Billing Determinants'!$D$41*$D26)))))</f>
        <v>0</v>
      </c>
      <c r="V26" s="150">
        <f>IF(V$5="",0,IF($E26="kWh",VLOOKUP(V$5,'4. Billing Determinants'!$B$19:$N$41,4,0)/'4. Billing Determinants'!$E$41*$D26,IF($E26="kW",VLOOKUP(V$5,'4. Billing Determinants'!$B$19:$N$41,5,0)/'4. Billing Determinants'!$F$41*$D26,IF($E26="Non-RPP kWh",VLOOKUP(V$5,'4. Billing Determinants'!$B$19:$N$41,6,0)/'4. Billing Determinants'!$G$41*$D26,IF($E26="Distribution Rev.",VLOOKUP(V$5,'4. Billing Determinants'!$B$19:$N$41,8,0)/'4. Billing Determinants'!$I$41*$D26, VLOOKUP(V$5,'4. Billing Determinants'!$B$19:$N$41,3,0)/'4. Billing Determinants'!$D$41*$D26)))))</f>
        <v>0</v>
      </c>
      <c r="W26" s="150">
        <f>IF(W$5="",0,IF($E26="kWh",VLOOKUP(W$5,'4. Billing Determinants'!$B$19:$N$41,4,0)/'4. Billing Determinants'!$E$41*$D26,IF($E26="kW",VLOOKUP(W$5,'4. Billing Determinants'!$B$19:$N$41,5,0)/'4. Billing Determinants'!$F$41*$D26,IF($E26="Non-RPP kWh",VLOOKUP(W$5,'4. Billing Determinants'!$B$19:$N$41,6,0)/'4. Billing Determinants'!$G$41*$D26,IF($E26="Distribution Rev.",VLOOKUP(W$5,'4. Billing Determinants'!$B$19:$N$41,8,0)/'4. Billing Determinants'!$I$41*$D26, VLOOKUP(W$5,'4. Billing Determinants'!$B$19:$N$41,3,0)/'4. Billing Determinants'!$D$41*$D26)))))</f>
        <v>0</v>
      </c>
      <c r="X26" s="150">
        <f>IF(X$5="",0,IF($E26="kWh",VLOOKUP(X$5,'4. Billing Determinants'!$B$19:$N$41,4,0)/'4. Billing Determinants'!$E$41*$D26,IF($E26="kW",VLOOKUP(X$5,'4. Billing Determinants'!$B$19:$N$41,5,0)/'4. Billing Determinants'!$F$41*$D26,IF($E26="Non-RPP kWh",VLOOKUP(X$5,'4. Billing Determinants'!$B$19:$N$41,6,0)/'4. Billing Determinants'!$G$41*$D26,IF($E26="Distribution Rev.",VLOOKUP(X$5,'4. Billing Determinants'!$B$19:$N$41,8,0)/'4. Billing Determinants'!$I$41*$D26, VLOOKUP(X$5,'4. Billing Determinants'!$B$19:$N$41,3,0)/'4. Billing Determinants'!$D$41*$D26)))))</f>
        <v>0</v>
      </c>
      <c r="Y26" s="150">
        <f>IF(Y$5="",0,IF($E26="kWh",VLOOKUP(Y$5,'4. Billing Determinants'!$B$19:$N$41,4,0)/'4. Billing Determinants'!$E$41*$D26,IF($E26="kW",VLOOKUP(Y$5,'4. Billing Determinants'!$B$19:$N$41,5,0)/'4. Billing Determinants'!$F$41*$D26,IF($E26="Non-RPP kWh",VLOOKUP(Y$5,'4. Billing Determinants'!$B$19:$N$41,6,0)/'4. Billing Determinants'!$G$41*$D26,IF($E26="Distribution Rev.",VLOOKUP(Y$5,'4. Billing Determinants'!$B$19:$N$41,8,0)/'4. Billing Determinants'!$I$41*$D26, VLOOKUP(Y$5,'4. Billing Determinants'!$B$19:$N$41,3,0)/'4. Billing Determinants'!$D$41*$D26)))))</f>
        <v>0</v>
      </c>
    </row>
    <row r="27" spans="2:25" ht="25.5" hidden="1" x14ac:dyDescent="0.2">
      <c r="B27" s="152" t="s">
        <v>64</v>
      </c>
      <c r="C27" s="149">
        <v>1531</v>
      </c>
      <c r="D27" s="211">
        <f>'2. 2013 Continuity Schedule'!CF49</f>
        <v>0</v>
      </c>
      <c r="E27" s="212"/>
      <c r="F27" s="211">
        <f>IF(F$5="",0,IF($E27="kWh",VLOOKUP(F$5,'4. Billing Determinants'!$B$19:$N$41,4,0)/'4. Billing Determinants'!$E$41*$D27,IF($E27="kW",VLOOKUP(F$5,'4. Billing Determinants'!$B$19:$N$41,5,0)/'4. Billing Determinants'!$F$41*$D27,IF($E27="Non-RPP kWh",VLOOKUP(F$5,'4. Billing Determinants'!$B$19:$N$41,6,0)/'4. Billing Determinants'!$G$41*$D27,IF($E27="Distribution Rev.",VLOOKUP(F$5,'4. Billing Determinants'!$B$19:$N$41,8,0)/'4. Billing Determinants'!$I$41*$D27, VLOOKUP(F$5,'4. Billing Determinants'!$B$19:$N$41,3,0)/'4. Billing Determinants'!$D$41*$D27)))))</f>
        <v>0</v>
      </c>
      <c r="G27" s="211">
        <f>IF(G$5="",0,IF($E27="kWh",VLOOKUP(G$5,'4. Billing Determinants'!$B$19:$N$41,4,0)/'4. Billing Determinants'!$E$41*$D27,IF($E27="kW",VLOOKUP(G$5,'4. Billing Determinants'!$B$19:$N$41,5,0)/'4. Billing Determinants'!$F$41*$D27,IF($E27="Non-RPP kWh",VLOOKUP(G$5,'4. Billing Determinants'!$B$19:$N$41,6,0)/'4. Billing Determinants'!$G$41*$D27,IF($E27="Distribution Rev.",VLOOKUP(G$5,'4. Billing Determinants'!$B$19:$N$41,8,0)/'4. Billing Determinants'!$I$41*$D27, VLOOKUP(G$5,'4. Billing Determinants'!$B$19:$N$41,3,0)/'4. Billing Determinants'!$D$41*$D27)))))</f>
        <v>0</v>
      </c>
      <c r="H27" s="211">
        <f>IF(H$5="",0,IF($E27="kWh",VLOOKUP(H$5,'4. Billing Determinants'!$B$19:$N$41,4,0)/'4. Billing Determinants'!$E$41*$D27,IF($E27="kW",VLOOKUP(H$5,'4. Billing Determinants'!$B$19:$N$41,5,0)/'4. Billing Determinants'!$F$41*$D27,IF($E27="Non-RPP kWh",VLOOKUP(H$5,'4. Billing Determinants'!$B$19:$N$41,6,0)/'4. Billing Determinants'!$G$41*$D27,IF($E27="Distribution Rev.",VLOOKUP(H$5,'4. Billing Determinants'!$B$19:$N$41,8,0)/'4. Billing Determinants'!$I$41*$D27, VLOOKUP(H$5,'4. Billing Determinants'!$B$19:$N$41,3,0)/'4. Billing Determinants'!$D$41*$D27)))))</f>
        <v>0</v>
      </c>
      <c r="I27" s="211">
        <f>IF(I$5="",0,IF($E27="kWh",VLOOKUP(I$5,'4. Billing Determinants'!$B$19:$N$41,4,0)/'4. Billing Determinants'!$E$41*$D27,IF($E27="kW",VLOOKUP(I$5,'4. Billing Determinants'!$B$19:$N$41,5,0)/'4. Billing Determinants'!$F$41*$D27,IF($E27="Non-RPP kWh",VLOOKUP(I$5,'4. Billing Determinants'!$B$19:$N$41,6,0)/'4. Billing Determinants'!$G$41*$D27,IF($E27="Distribution Rev.",VLOOKUP(I$5,'4. Billing Determinants'!$B$19:$N$41,8,0)/'4. Billing Determinants'!$I$41*$D27, VLOOKUP(I$5,'4. Billing Determinants'!$B$19:$N$41,3,0)/'4. Billing Determinants'!$D$41*$D27)))))</f>
        <v>0</v>
      </c>
      <c r="J27" s="211">
        <f>IF(J$5="",0,IF($E27="kWh",VLOOKUP(J$5,'4. Billing Determinants'!$B$19:$N$41,4,0)/'4. Billing Determinants'!$E$41*$D27,IF($E27="kW",VLOOKUP(J$5,'4. Billing Determinants'!$B$19:$N$41,5,0)/'4. Billing Determinants'!$F$41*$D27,IF($E27="Non-RPP kWh",VLOOKUP(J$5,'4. Billing Determinants'!$B$19:$N$41,6,0)/'4. Billing Determinants'!$G$41*$D27,IF($E27="Distribution Rev.",VLOOKUP(J$5,'4. Billing Determinants'!$B$19:$N$41,8,0)/'4. Billing Determinants'!$I$41*$D27, VLOOKUP(J$5,'4. Billing Determinants'!$B$19:$N$41,3,0)/'4. Billing Determinants'!$D$41*$D27)))))</f>
        <v>0</v>
      </c>
      <c r="K27" s="211">
        <f>IF(K$5="",0,IF($E27="kWh",VLOOKUP(K$5,'4. Billing Determinants'!$B$19:$N$41,4,0)/'4. Billing Determinants'!$E$41*$D27,IF($E27="kW",VLOOKUP(K$5,'4. Billing Determinants'!$B$19:$N$41,5,0)/'4. Billing Determinants'!$F$41*$D27,IF($E27="Non-RPP kWh",VLOOKUP(K$5,'4. Billing Determinants'!$B$19:$N$41,6,0)/'4. Billing Determinants'!$G$41*$D27,IF($E27="Distribution Rev.",VLOOKUP(K$5,'4. Billing Determinants'!$B$19:$N$41,8,0)/'4. Billing Determinants'!$I$41*$D27, VLOOKUP(K$5,'4. Billing Determinants'!$B$19:$N$41,3,0)/'4. Billing Determinants'!$D$41*$D27)))))</f>
        <v>0</v>
      </c>
      <c r="L27" s="211">
        <f>IF(L$5="",0,IF($E27="kWh",VLOOKUP(L$5,'4. Billing Determinants'!$B$19:$N$41,4,0)/'4. Billing Determinants'!$E$41*$D27,IF($E27="kW",VLOOKUP(L$5,'4. Billing Determinants'!$B$19:$N$41,5,0)/'4. Billing Determinants'!$F$41*$D27,IF($E27="Non-RPP kWh",VLOOKUP(L$5,'4. Billing Determinants'!$B$19:$N$41,6,0)/'4. Billing Determinants'!$G$41*$D27,IF($E27="Distribution Rev.",VLOOKUP(L$5,'4. Billing Determinants'!$B$19:$N$41,8,0)/'4. Billing Determinants'!$I$41*$D27, VLOOKUP(L$5,'4. Billing Determinants'!$B$19:$N$41,3,0)/'4. Billing Determinants'!$D$41*$D27)))))</f>
        <v>0</v>
      </c>
      <c r="M27" s="150">
        <f>IF(M$5="",0,IF($E27="kWh",VLOOKUP(M$5,'4. Billing Determinants'!$B$19:$N$41,4,0)/'4. Billing Determinants'!$E$41*$D27,IF($E27="kW",VLOOKUP(M$5,'4. Billing Determinants'!$B$19:$N$41,5,0)/'4. Billing Determinants'!$F$41*$D27,IF($E27="Non-RPP kWh",VLOOKUP(M$5,'4. Billing Determinants'!$B$19:$N$41,6,0)/'4. Billing Determinants'!$G$41*$D27,IF($E27="Distribution Rev.",VLOOKUP(M$5,'4. Billing Determinants'!$B$19:$N$41,8,0)/'4. Billing Determinants'!$I$41*$D27, VLOOKUP(M$5,'4. Billing Determinants'!$B$19:$N$41,3,0)/'4. Billing Determinants'!$D$41*$D27)))))</f>
        <v>0</v>
      </c>
      <c r="N27" s="150">
        <f>IF(N$5="",0,IF($E27="kWh",VLOOKUP(N$5,'4. Billing Determinants'!$B$19:$N$41,4,0)/'4. Billing Determinants'!$E$41*$D27,IF($E27="kW",VLOOKUP(N$5,'4. Billing Determinants'!$B$19:$N$41,5,0)/'4. Billing Determinants'!$F$41*$D27,IF($E27="Non-RPP kWh",VLOOKUP(N$5,'4. Billing Determinants'!$B$19:$N$41,6,0)/'4. Billing Determinants'!$G$41*$D27,IF($E27="Distribution Rev.",VLOOKUP(N$5,'4. Billing Determinants'!$B$19:$N$41,8,0)/'4. Billing Determinants'!$I$41*$D27, VLOOKUP(N$5,'4. Billing Determinants'!$B$19:$N$41,3,0)/'4. Billing Determinants'!$D$41*$D27)))))</f>
        <v>0</v>
      </c>
      <c r="O27" s="150">
        <f>IF(O$5="",0,IF($E27="kWh",VLOOKUP(O$5,'4. Billing Determinants'!$B$19:$N$41,4,0)/'4. Billing Determinants'!$E$41*$D27,IF($E27="kW",VLOOKUP(O$5,'4. Billing Determinants'!$B$19:$N$41,5,0)/'4. Billing Determinants'!$F$41*$D27,IF($E27="Non-RPP kWh",VLOOKUP(O$5,'4. Billing Determinants'!$B$19:$N$41,6,0)/'4. Billing Determinants'!$G$41*$D27,IF($E27="Distribution Rev.",VLOOKUP(O$5,'4. Billing Determinants'!$B$19:$N$41,8,0)/'4. Billing Determinants'!$I$41*$D27, VLOOKUP(O$5,'4. Billing Determinants'!$B$19:$N$41,3,0)/'4. Billing Determinants'!$D$41*$D27)))))</f>
        <v>0</v>
      </c>
      <c r="P27" s="150">
        <f>IF(P$5="",0,IF($E27="kWh",VLOOKUP(P$5,'4. Billing Determinants'!$B$19:$N$41,4,0)/'4. Billing Determinants'!$E$41*$D27,IF($E27="kW",VLOOKUP(P$5,'4. Billing Determinants'!$B$19:$N$41,5,0)/'4. Billing Determinants'!$F$41*$D27,IF($E27="Non-RPP kWh",VLOOKUP(P$5,'4. Billing Determinants'!$B$19:$N$41,6,0)/'4. Billing Determinants'!$G$41*$D27,IF($E27="Distribution Rev.",VLOOKUP(P$5,'4. Billing Determinants'!$B$19:$N$41,8,0)/'4. Billing Determinants'!$I$41*$D27, VLOOKUP(P$5,'4. Billing Determinants'!$B$19:$N$41,3,0)/'4. Billing Determinants'!$D$41*$D27)))))</f>
        <v>0</v>
      </c>
      <c r="Q27" s="150">
        <f>IF(Q$5="",0,IF($E27="kWh",VLOOKUP(Q$5,'4. Billing Determinants'!$B$19:$N$41,4,0)/'4. Billing Determinants'!$E$41*$D27,IF($E27="kW",VLOOKUP(Q$5,'4. Billing Determinants'!$B$19:$N$41,5,0)/'4. Billing Determinants'!$F$41*$D27,IF($E27="Non-RPP kWh",VLOOKUP(Q$5,'4. Billing Determinants'!$B$19:$N$41,6,0)/'4. Billing Determinants'!$G$41*$D27,IF($E27="Distribution Rev.",VLOOKUP(Q$5,'4. Billing Determinants'!$B$19:$N$41,8,0)/'4. Billing Determinants'!$I$41*$D27, VLOOKUP(Q$5,'4. Billing Determinants'!$B$19:$N$41,3,0)/'4. Billing Determinants'!$D$41*$D27)))))</f>
        <v>0</v>
      </c>
      <c r="R27" s="150">
        <f>IF(R$5="",0,IF($E27="kWh",VLOOKUP(R$5,'4. Billing Determinants'!$B$19:$N$41,4,0)/'4. Billing Determinants'!$E$41*$D27,IF($E27="kW",VLOOKUP(R$5,'4. Billing Determinants'!$B$19:$N$41,5,0)/'4. Billing Determinants'!$F$41*$D27,IF($E27="Non-RPP kWh",VLOOKUP(R$5,'4. Billing Determinants'!$B$19:$N$41,6,0)/'4. Billing Determinants'!$G$41*$D27,IF($E27="Distribution Rev.",VLOOKUP(R$5,'4. Billing Determinants'!$B$19:$N$41,8,0)/'4. Billing Determinants'!$I$41*$D27, VLOOKUP(R$5,'4. Billing Determinants'!$B$19:$N$41,3,0)/'4. Billing Determinants'!$D$41*$D27)))))</f>
        <v>0</v>
      </c>
      <c r="S27" s="150">
        <f>IF(S$5="",0,IF($E27="kWh",VLOOKUP(S$5,'4. Billing Determinants'!$B$19:$N$41,4,0)/'4. Billing Determinants'!$E$41*$D27,IF($E27="kW",VLOOKUP(S$5,'4. Billing Determinants'!$B$19:$N$41,5,0)/'4. Billing Determinants'!$F$41*$D27,IF($E27="Non-RPP kWh",VLOOKUP(S$5,'4. Billing Determinants'!$B$19:$N$41,6,0)/'4. Billing Determinants'!$G$41*$D27,IF($E27="Distribution Rev.",VLOOKUP(S$5,'4. Billing Determinants'!$B$19:$N$41,8,0)/'4. Billing Determinants'!$I$41*$D27, VLOOKUP(S$5,'4. Billing Determinants'!$B$19:$N$41,3,0)/'4. Billing Determinants'!$D$41*$D27)))))</f>
        <v>0</v>
      </c>
      <c r="T27" s="150">
        <f>IF(T$5="",0,IF($E27="kWh",VLOOKUP(T$5,'4. Billing Determinants'!$B$19:$N$41,4,0)/'4. Billing Determinants'!$E$41*$D27,IF($E27="kW",VLOOKUP(T$5,'4. Billing Determinants'!$B$19:$N$41,5,0)/'4. Billing Determinants'!$F$41*$D27,IF($E27="Non-RPP kWh",VLOOKUP(T$5,'4. Billing Determinants'!$B$19:$N$41,6,0)/'4. Billing Determinants'!$G$41*$D27,IF($E27="Distribution Rev.",VLOOKUP(T$5,'4. Billing Determinants'!$B$19:$N$41,8,0)/'4. Billing Determinants'!$I$41*$D27, VLOOKUP(T$5,'4. Billing Determinants'!$B$19:$N$41,3,0)/'4. Billing Determinants'!$D$41*$D27)))))</f>
        <v>0</v>
      </c>
      <c r="U27" s="150">
        <f>IF(U$5="",0,IF($E27="kWh",VLOOKUP(U$5,'4. Billing Determinants'!$B$19:$N$41,4,0)/'4. Billing Determinants'!$E$41*$D27,IF($E27="kW",VLOOKUP(U$5,'4. Billing Determinants'!$B$19:$N$41,5,0)/'4. Billing Determinants'!$F$41*$D27,IF($E27="Non-RPP kWh",VLOOKUP(U$5,'4. Billing Determinants'!$B$19:$N$41,6,0)/'4. Billing Determinants'!$G$41*$D27,IF($E27="Distribution Rev.",VLOOKUP(U$5,'4. Billing Determinants'!$B$19:$N$41,8,0)/'4. Billing Determinants'!$I$41*$D27, VLOOKUP(U$5,'4. Billing Determinants'!$B$19:$N$41,3,0)/'4. Billing Determinants'!$D$41*$D27)))))</f>
        <v>0</v>
      </c>
      <c r="V27" s="150">
        <f>IF(V$5="",0,IF($E27="kWh",VLOOKUP(V$5,'4. Billing Determinants'!$B$19:$N$41,4,0)/'4. Billing Determinants'!$E$41*$D27,IF($E27="kW",VLOOKUP(V$5,'4. Billing Determinants'!$B$19:$N$41,5,0)/'4. Billing Determinants'!$F$41*$D27,IF($E27="Non-RPP kWh",VLOOKUP(V$5,'4. Billing Determinants'!$B$19:$N$41,6,0)/'4. Billing Determinants'!$G$41*$D27,IF($E27="Distribution Rev.",VLOOKUP(V$5,'4. Billing Determinants'!$B$19:$N$41,8,0)/'4. Billing Determinants'!$I$41*$D27, VLOOKUP(V$5,'4. Billing Determinants'!$B$19:$N$41,3,0)/'4. Billing Determinants'!$D$41*$D27)))))</f>
        <v>0</v>
      </c>
      <c r="W27" s="150">
        <f>IF(W$5="",0,IF($E27="kWh",VLOOKUP(W$5,'4. Billing Determinants'!$B$19:$N$41,4,0)/'4. Billing Determinants'!$E$41*$D27,IF($E27="kW",VLOOKUP(W$5,'4. Billing Determinants'!$B$19:$N$41,5,0)/'4. Billing Determinants'!$F$41*$D27,IF($E27="Non-RPP kWh",VLOOKUP(W$5,'4. Billing Determinants'!$B$19:$N$41,6,0)/'4. Billing Determinants'!$G$41*$D27,IF($E27="Distribution Rev.",VLOOKUP(W$5,'4. Billing Determinants'!$B$19:$N$41,8,0)/'4. Billing Determinants'!$I$41*$D27, VLOOKUP(W$5,'4. Billing Determinants'!$B$19:$N$41,3,0)/'4. Billing Determinants'!$D$41*$D27)))))</f>
        <v>0</v>
      </c>
      <c r="X27" s="150">
        <f>IF(X$5="",0,IF($E27="kWh",VLOOKUP(X$5,'4. Billing Determinants'!$B$19:$N$41,4,0)/'4. Billing Determinants'!$E$41*$D27,IF($E27="kW",VLOOKUP(X$5,'4. Billing Determinants'!$B$19:$N$41,5,0)/'4. Billing Determinants'!$F$41*$D27,IF($E27="Non-RPP kWh",VLOOKUP(X$5,'4. Billing Determinants'!$B$19:$N$41,6,0)/'4. Billing Determinants'!$G$41*$D27,IF($E27="Distribution Rev.",VLOOKUP(X$5,'4. Billing Determinants'!$B$19:$N$41,8,0)/'4. Billing Determinants'!$I$41*$D27, VLOOKUP(X$5,'4. Billing Determinants'!$B$19:$N$41,3,0)/'4. Billing Determinants'!$D$41*$D27)))))</f>
        <v>0</v>
      </c>
      <c r="Y27" s="150">
        <f>IF(Y$5="",0,IF($E27="kWh",VLOOKUP(Y$5,'4. Billing Determinants'!$B$19:$N$41,4,0)/'4. Billing Determinants'!$E$41*$D27,IF($E27="kW",VLOOKUP(Y$5,'4. Billing Determinants'!$B$19:$N$41,5,0)/'4. Billing Determinants'!$F$41*$D27,IF($E27="Non-RPP kWh",VLOOKUP(Y$5,'4. Billing Determinants'!$B$19:$N$41,6,0)/'4. Billing Determinants'!$G$41*$D27,IF($E27="Distribution Rev.",VLOOKUP(Y$5,'4. Billing Determinants'!$B$19:$N$41,8,0)/'4. Billing Determinants'!$I$41*$D27, VLOOKUP(Y$5,'4. Billing Determinants'!$B$19:$N$41,3,0)/'4. Billing Determinants'!$D$41*$D27)))))</f>
        <v>0</v>
      </c>
    </row>
    <row r="28" spans="2:25" ht="25.5" hidden="1" x14ac:dyDescent="0.2">
      <c r="B28" s="152" t="s">
        <v>65</v>
      </c>
      <c r="C28" s="149">
        <v>1532</v>
      </c>
      <c r="D28" s="211">
        <f>'2. 2013 Continuity Schedule'!CF50</f>
        <v>0</v>
      </c>
      <c r="E28" s="212"/>
      <c r="F28" s="211">
        <f>IF(F$5="",0,IF($E28="kWh",VLOOKUP(F$5,'4. Billing Determinants'!$B$19:$N$41,4,0)/'4. Billing Determinants'!$E$41*$D28,IF($E28="kW",VLOOKUP(F$5,'4. Billing Determinants'!$B$19:$N$41,5,0)/'4. Billing Determinants'!$F$41*$D28,IF($E28="Non-RPP kWh",VLOOKUP(F$5,'4. Billing Determinants'!$B$19:$N$41,6,0)/'4. Billing Determinants'!$G$41*$D28,IF($E28="Distribution Rev.",VLOOKUP(F$5,'4. Billing Determinants'!$B$19:$N$41,8,0)/'4. Billing Determinants'!$I$41*$D28, VLOOKUP(F$5,'4. Billing Determinants'!$B$19:$N$41,3,0)/'4. Billing Determinants'!$D$41*$D28)))))</f>
        <v>0</v>
      </c>
      <c r="G28" s="211">
        <f>IF(G$5="",0,IF($E28="kWh",VLOOKUP(G$5,'4. Billing Determinants'!$B$19:$N$41,4,0)/'4. Billing Determinants'!$E$41*$D28,IF($E28="kW",VLOOKUP(G$5,'4. Billing Determinants'!$B$19:$N$41,5,0)/'4. Billing Determinants'!$F$41*$D28,IF($E28="Non-RPP kWh",VLOOKUP(G$5,'4. Billing Determinants'!$B$19:$N$41,6,0)/'4. Billing Determinants'!$G$41*$D28,IF($E28="Distribution Rev.",VLOOKUP(G$5,'4. Billing Determinants'!$B$19:$N$41,8,0)/'4. Billing Determinants'!$I$41*$D28, VLOOKUP(G$5,'4. Billing Determinants'!$B$19:$N$41,3,0)/'4. Billing Determinants'!$D$41*$D28)))))</f>
        <v>0</v>
      </c>
      <c r="H28" s="211">
        <f>IF(H$5="",0,IF($E28="kWh",VLOOKUP(H$5,'4. Billing Determinants'!$B$19:$N$41,4,0)/'4. Billing Determinants'!$E$41*$D28,IF($E28="kW",VLOOKUP(H$5,'4. Billing Determinants'!$B$19:$N$41,5,0)/'4. Billing Determinants'!$F$41*$D28,IF($E28="Non-RPP kWh",VLOOKUP(H$5,'4. Billing Determinants'!$B$19:$N$41,6,0)/'4. Billing Determinants'!$G$41*$D28,IF($E28="Distribution Rev.",VLOOKUP(H$5,'4. Billing Determinants'!$B$19:$N$41,8,0)/'4. Billing Determinants'!$I$41*$D28, VLOOKUP(H$5,'4. Billing Determinants'!$B$19:$N$41,3,0)/'4. Billing Determinants'!$D$41*$D28)))))</f>
        <v>0</v>
      </c>
      <c r="I28" s="211">
        <f>IF(I$5="",0,IF($E28="kWh",VLOOKUP(I$5,'4. Billing Determinants'!$B$19:$N$41,4,0)/'4. Billing Determinants'!$E$41*$D28,IF($E28="kW",VLOOKUP(I$5,'4. Billing Determinants'!$B$19:$N$41,5,0)/'4. Billing Determinants'!$F$41*$D28,IF($E28="Non-RPP kWh",VLOOKUP(I$5,'4. Billing Determinants'!$B$19:$N$41,6,0)/'4. Billing Determinants'!$G$41*$D28,IF($E28="Distribution Rev.",VLOOKUP(I$5,'4. Billing Determinants'!$B$19:$N$41,8,0)/'4. Billing Determinants'!$I$41*$D28, VLOOKUP(I$5,'4. Billing Determinants'!$B$19:$N$41,3,0)/'4. Billing Determinants'!$D$41*$D28)))))</f>
        <v>0</v>
      </c>
      <c r="J28" s="211">
        <f>IF(J$5="",0,IF($E28="kWh",VLOOKUP(J$5,'4. Billing Determinants'!$B$19:$N$41,4,0)/'4. Billing Determinants'!$E$41*$D28,IF($E28="kW",VLOOKUP(J$5,'4. Billing Determinants'!$B$19:$N$41,5,0)/'4. Billing Determinants'!$F$41*$D28,IF($E28="Non-RPP kWh",VLOOKUP(J$5,'4. Billing Determinants'!$B$19:$N$41,6,0)/'4. Billing Determinants'!$G$41*$D28,IF($E28="Distribution Rev.",VLOOKUP(J$5,'4. Billing Determinants'!$B$19:$N$41,8,0)/'4. Billing Determinants'!$I$41*$D28, VLOOKUP(J$5,'4. Billing Determinants'!$B$19:$N$41,3,0)/'4. Billing Determinants'!$D$41*$D28)))))</f>
        <v>0</v>
      </c>
      <c r="K28" s="211">
        <f>IF(K$5="",0,IF($E28="kWh",VLOOKUP(K$5,'4. Billing Determinants'!$B$19:$N$41,4,0)/'4. Billing Determinants'!$E$41*$D28,IF($E28="kW",VLOOKUP(K$5,'4. Billing Determinants'!$B$19:$N$41,5,0)/'4. Billing Determinants'!$F$41*$D28,IF($E28="Non-RPP kWh",VLOOKUP(K$5,'4. Billing Determinants'!$B$19:$N$41,6,0)/'4. Billing Determinants'!$G$41*$D28,IF($E28="Distribution Rev.",VLOOKUP(K$5,'4. Billing Determinants'!$B$19:$N$41,8,0)/'4. Billing Determinants'!$I$41*$D28, VLOOKUP(K$5,'4. Billing Determinants'!$B$19:$N$41,3,0)/'4. Billing Determinants'!$D$41*$D28)))))</f>
        <v>0</v>
      </c>
      <c r="L28" s="211">
        <f>IF(L$5="",0,IF($E28="kWh",VLOOKUP(L$5,'4. Billing Determinants'!$B$19:$N$41,4,0)/'4. Billing Determinants'!$E$41*$D28,IF($E28="kW",VLOOKUP(L$5,'4. Billing Determinants'!$B$19:$N$41,5,0)/'4. Billing Determinants'!$F$41*$D28,IF($E28="Non-RPP kWh",VLOOKUP(L$5,'4. Billing Determinants'!$B$19:$N$41,6,0)/'4. Billing Determinants'!$G$41*$D28,IF($E28="Distribution Rev.",VLOOKUP(L$5,'4. Billing Determinants'!$B$19:$N$41,8,0)/'4. Billing Determinants'!$I$41*$D28, VLOOKUP(L$5,'4. Billing Determinants'!$B$19:$N$41,3,0)/'4. Billing Determinants'!$D$41*$D28)))))</f>
        <v>0</v>
      </c>
      <c r="M28" s="150">
        <f>IF(M$5="",0,IF($E28="kWh",VLOOKUP(M$5,'4. Billing Determinants'!$B$19:$N$41,4,0)/'4. Billing Determinants'!$E$41*$D28,IF($E28="kW",VLOOKUP(M$5,'4. Billing Determinants'!$B$19:$N$41,5,0)/'4. Billing Determinants'!$F$41*$D28,IF($E28="Non-RPP kWh",VLOOKUP(M$5,'4. Billing Determinants'!$B$19:$N$41,6,0)/'4. Billing Determinants'!$G$41*$D28,IF($E28="Distribution Rev.",VLOOKUP(M$5,'4. Billing Determinants'!$B$19:$N$41,8,0)/'4. Billing Determinants'!$I$41*$D28, VLOOKUP(M$5,'4. Billing Determinants'!$B$19:$N$41,3,0)/'4. Billing Determinants'!$D$41*$D28)))))</f>
        <v>0</v>
      </c>
      <c r="N28" s="150">
        <f>IF(N$5="",0,IF($E28="kWh",VLOOKUP(N$5,'4. Billing Determinants'!$B$19:$N$41,4,0)/'4. Billing Determinants'!$E$41*$D28,IF($E28="kW",VLOOKUP(N$5,'4. Billing Determinants'!$B$19:$N$41,5,0)/'4. Billing Determinants'!$F$41*$D28,IF($E28="Non-RPP kWh",VLOOKUP(N$5,'4. Billing Determinants'!$B$19:$N$41,6,0)/'4. Billing Determinants'!$G$41*$D28,IF($E28="Distribution Rev.",VLOOKUP(N$5,'4. Billing Determinants'!$B$19:$N$41,8,0)/'4. Billing Determinants'!$I$41*$D28, VLOOKUP(N$5,'4. Billing Determinants'!$B$19:$N$41,3,0)/'4. Billing Determinants'!$D$41*$D28)))))</f>
        <v>0</v>
      </c>
      <c r="O28" s="150">
        <f>IF(O$5="",0,IF($E28="kWh",VLOOKUP(O$5,'4. Billing Determinants'!$B$19:$N$41,4,0)/'4. Billing Determinants'!$E$41*$D28,IF($E28="kW",VLOOKUP(O$5,'4. Billing Determinants'!$B$19:$N$41,5,0)/'4. Billing Determinants'!$F$41*$D28,IF($E28="Non-RPP kWh",VLOOKUP(O$5,'4. Billing Determinants'!$B$19:$N$41,6,0)/'4. Billing Determinants'!$G$41*$D28,IF($E28="Distribution Rev.",VLOOKUP(O$5,'4. Billing Determinants'!$B$19:$N$41,8,0)/'4. Billing Determinants'!$I$41*$D28, VLOOKUP(O$5,'4. Billing Determinants'!$B$19:$N$41,3,0)/'4. Billing Determinants'!$D$41*$D28)))))</f>
        <v>0</v>
      </c>
      <c r="P28" s="150">
        <f>IF(P$5="",0,IF($E28="kWh",VLOOKUP(P$5,'4. Billing Determinants'!$B$19:$N$41,4,0)/'4. Billing Determinants'!$E$41*$D28,IF($E28="kW",VLOOKUP(P$5,'4. Billing Determinants'!$B$19:$N$41,5,0)/'4. Billing Determinants'!$F$41*$D28,IF($E28="Non-RPP kWh",VLOOKUP(P$5,'4. Billing Determinants'!$B$19:$N$41,6,0)/'4. Billing Determinants'!$G$41*$D28,IF($E28="Distribution Rev.",VLOOKUP(P$5,'4. Billing Determinants'!$B$19:$N$41,8,0)/'4. Billing Determinants'!$I$41*$D28, VLOOKUP(P$5,'4. Billing Determinants'!$B$19:$N$41,3,0)/'4. Billing Determinants'!$D$41*$D28)))))</f>
        <v>0</v>
      </c>
      <c r="Q28" s="150">
        <f>IF(Q$5="",0,IF($E28="kWh",VLOOKUP(Q$5,'4. Billing Determinants'!$B$19:$N$41,4,0)/'4. Billing Determinants'!$E$41*$D28,IF($E28="kW",VLOOKUP(Q$5,'4. Billing Determinants'!$B$19:$N$41,5,0)/'4. Billing Determinants'!$F$41*$D28,IF($E28="Non-RPP kWh",VLOOKUP(Q$5,'4. Billing Determinants'!$B$19:$N$41,6,0)/'4. Billing Determinants'!$G$41*$D28,IF($E28="Distribution Rev.",VLOOKUP(Q$5,'4. Billing Determinants'!$B$19:$N$41,8,0)/'4. Billing Determinants'!$I$41*$D28, VLOOKUP(Q$5,'4. Billing Determinants'!$B$19:$N$41,3,0)/'4. Billing Determinants'!$D$41*$D28)))))</f>
        <v>0</v>
      </c>
      <c r="R28" s="150">
        <f>IF(R$5="",0,IF($E28="kWh",VLOOKUP(R$5,'4. Billing Determinants'!$B$19:$N$41,4,0)/'4. Billing Determinants'!$E$41*$D28,IF($E28="kW",VLOOKUP(R$5,'4. Billing Determinants'!$B$19:$N$41,5,0)/'4. Billing Determinants'!$F$41*$D28,IF($E28="Non-RPP kWh",VLOOKUP(R$5,'4. Billing Determinants'!$B$19:$N$41,6,0)/'4. Billing Determinants'!$G$41*$D28,IF($E28="Distribution Rev.",VLOOKUP(R$5,'4. Billing Determinants'!$B$19:$N$41,8,0)/'4. Billing Determinants'!$I$41*$D28, VLOOKUP(R$5,'4. Billing Determinants'!$B$19:$N$41,3,0)/'4. Billing Determinants'!$D$41*$D28)))))</f>
        <v>0</v>
      </c>
      <c r="S28" s="150">
        <f>IF(S$5="",0,IF($E28="kWh",VLOOKUP(S$5,'4. Billing Determinants'!$B$19:$N$41,4,0)/'4. Billing Determinants'!$E$41*$D28,IF($E28="kW",VLOOKUP(S$5,'4. Billing Determinants'!$B$19:$N$41,5,0)/'4. Billing Determinants'!$F$41*$D28,IF($E28="Non-RPP kWh",VLOOKUP(S$5,'4. Billing Determinants'!$B$19:$N$41,6,0)/'4. Billing Determinants'!$G$41*$D28,IF($E28="Distribution Rev.",VLOOKUP(S$5,'4. Billing Determinants'!$B$19:$N$41,8,0)/'4. Billing Determinants'!$I$41*$D28, VLOOKUP(S$5,'4. Billing Determinants'!$B$19:$N$41,3,0)/'4. Billing Determinants'!$D$41*$D28)))))</f>
        <v>0</v>
      </c>
      <c r="T28" s="150">
        <f>IF(T$5="",0,IF($E28="kWh",VLOOKUP(T$5,'4. Billing Determinants'!$B$19:$N$41,4,0)/'4. Billing Determinants'!$E$41*$D28,IF($E28="kW",VLOOKUP(T$5,'4. Billing Determinants'!$B$19:$N$41,5,0)/'4. Billing Determinants'!$F$41*$D28,IF($E28="Non-RPP kWh",VLOOKUP(T$5,'4. Billing Determinants'!$B$19:$N$41,6,0)/'4. Billing Determinants'!$G$41*$D28,IF($E28="Distribution Rev.",VLOOKUP(T$5,'4. Billing Determinants'!$B$19:$N$41,8,0)/'4. Billing Determinants'!$I$41*$D28, VLOOKUP(T$5,'4. Billing Determinants'!$B$19:$N$41,3,0)/'4. Billing Determinants'!$D$41*$D28)))))</f>
        <v>0</v>
      </c>
      <c r="U28" s="150">
        <f>IF(U$5="",0,IF($E28="kWh",VLOOKUP(U$5,'4. Billing Determinants'!$B$19:$N$41,4,0)/'4. Billing Determinants'!$E$41*$D28,IF($E28="kW",VLOOKUP(U$5,'4. Billing Determinants'!$B$19:$N$41,5,0)/'4. Billing Determinants'!$F$41*$D28,IF($E28="Non-RPP kWh",VLOOKUP(U$5,'4. Billing Determinants'!$B$19:$N$41,6,0)/'4. Billing Determinants'!$G$41*$D28,IF($E28="Distribution Rev.",VLOOKUP(U$5,'4. Billing Determinants'!$B$19:$N$41,8,0)/'4. Billing Determinants'!$I$41*$D28, VLOOKUP(U$5,'4. Billing Determinants'!$B$19:$N$41,3,0)/'4. Billing Determinants'!$D$41*$D28)))))</f>
        <v>0</v>
      </c>
      <c r="V28" s="150">
        <f>IF(V$5="",0,IF($E28="kWh",VLOOKUP(V$5,'4. Billing Determinants'!$B$19:$N$41,4,0)/'4. Billing Determinants'!$E$41*$D28,IF($E28="kW",VLOOKUP(V$5,'4. Billing Determinants'!$B$19:$N$41,5,0)/'4. Billing Determinants'!$F$41*$D28,IF($E28="Non-RPP kWh",VLOOKUP(V$5,'4. Billing Determinants'!$B$19:$N$41,6,0)/'4. Billing Determinants'!$G$41*$D28,IF($E28="Distribution Rev.",VLOOKUP(V$5,'4. Billing Determinants'!$B$19:$N$41,8,0)/'4. Billing Determinants'!$I$41*$D28, VLOOKUP(V$5,'4. Billing Determinants'!$B$19:$N$41,3,0)/'4. Billing Determinants'!$D$41*$D28)))))</f>
        <v>0</v>
      </c>
      <c r="W28" s="150">
        <f>IF(W$5="",0,IF($E28="kWh",VLOOKUP(W$5,'4. Billing Determinants'!$B$19:$N$41,4,0)/'4. Billing Determinants'!$E$41*$D28,IF($E28="kW",VLOOKUP(W$5,'4. Billing Determinants'!$B$19:$N$41,5,0)/'4. Billing Determinants'!$F$41*$D28,IF($E28="Non-RPP kWh",VLOOKUP(W$5,'4. Billing Determinants'!$B$19:$N$41,6,0)/'4. Billing Determinants'!$G$41*$D28,IF($E28="Distribution Rev.",VLOOKUP(W$5,'4. Billing Determinants'!$B$19:$N$41,8,0)/'4. Billing Determinants'!$I$41*$D28, VLOOKUP(W$5,'4. Billing Determinants'!$B$19:$N$41,3,0)/'4. Billing Determinants'!$D$41*$D28)))))</f>
        <v>0</v>
      </c>
      <c r="X28" s="150">
        <f>IF(X$5="",0,IF($E28="kWh",VLOOKUP(X$5,'4. Billing Determinants'!$B$19:$N$41,4,0)/'4. Billing Determinants'!$E$41*$D28,IF($E28="kW",VLOOKUP(X$5,'4. Billing Determinants'!$B$19:$N$41,5,0)/'4. Billing Determinants'!$F$41*$D28,IF($E28="Non-RPP kWh",VLOOKUP(X$5,'4. Billing Determinants'!$B$19:$N$41,6,0)/'4. Billing Determinants'!$G$41*$D28,IF($E28="Distribution Rev.",VLOOKUP(X$5,'4. Billing Determinants'!$B$19:$N$41,8,0)/'4. Billing Determinants'!$I$41*$D28, VLOOKUP(X$5,'4. Billing Determinants'!$B$19:$N$41,3,0)/'4. Billing Determinants'!$D$41*$D28)))))</f>
        <v>0</v>
      </c>
      <c r="Y28" s="150">
        <f>IF(Y$5="",0,IF($E28="kWh",VLOOKUP(Y$5,'4. Billing Determinants'!$B$19:$N$41,4,0)/'4. Billing Determinants'!$E$41*$D28,IF($E28="kW",VLOOKUP(Y$5,'4. Billing Determinants'!$B$19:$N$41,5,0)/'4. Billing Determinants'!$F$41*$D28,IF($E28="Non-RPP kWh",VLOOKUP(Y$5,'4. Billing Determinants'!$B$19:$N$41,6,0)/'4. Billing Determinants'!$G$41*$D28,IF($E28="Distribution Rev.",VLOOKUP(Y$5,'4. Billing Determinants'!$B$19:$N$41,8,0)/'4. Billing Determinants'!$I$41*$D28, VLOOKUP(Y$5,'4. Billing Determinants'!$B$19:$N$41,3,0)/'4. Billing Determinants'!$D$41*$D28)))))</f>
        <v>0</v>
      </c>
    </row>
    <row r="29" spans="2:25" ht="25.5" hidden="1" x14ac:dyDescent="0.2">
      <c r="B29" s="152" t="s">
        <v>41</v>
      </c>
      <c r="C29" s="149">
        <v>1533</v>
      </c>
      <c r="D29" s="211">
        <f>'2. 2013 Continuity Schedule'!CF51</f>
        <v>0</v>
      </c>
      <c r="E29" s="212"/>
      <c r="F29" s="211">
        <f>IF(F$5="",0,IF($E29="kWh",VLOOKUP(F$5,'4. Billing Determinants'!$B$19:$N$41,4,0)/'4. Billing Determinants'!$E$41*$D29,IF($E29="kW",VLOOKUP(F$5,'4. Billing Determinants'!$B$19:$N$41,5,0)/'4. Billing Determinants'!$F$41*$D29,IF($E29="Non-RPP kWh",VLOOKUP(F$5,'4. Billing Determinants'!$B$19:$N$41,6,0)/'4. Billing Determinants'!$G$41*$D29,IF($E29="Distribution Rev.",VLOOKUP(F$5,'4. Billing Determinants'!$B$19:$N$41,8,0)/'4. Billing Determinants'!$I$41*$D29, VLOOKUP(F$5,'4. Billing Determinants'!$B$19:$N$41,3,0)/'4. Billing Determinants'!$D$41*$D29)))))</f>
        <v>0</v>
      </c>
      <c r="G29" s="211">
        <f>IF(G$5="",0,IF($E29="kWh",VLOOKUP(G$5,'4. Billing Determinants'!$B$19:$N$41,4,0)/'4. Billing Determinants'!$E$41*$D29,IF($E29="kW",VLOOKUP(G$5,'4. Billing Determinants'!$B$19:$N$41,5,0)/'4. Billing Determinants'!$F$41*$D29,IF($E29="Non-RPP kWh",VLOOKUP(G$5,'4. Billing Determinants'!$B$19:$N$41,6,0)/'4. Billing Determinants'!$G$41*$D29,IF($E29="Distribution Rev.",VLOOKUP(G$5,'4. Billing Determinants'!$B$19:$N$41,8,0)/'4. Billing Determinants'!$I$41*$D29, VLOOKUP(G$5,'4. Billing Determinants'!$B$19:$N$41,3,0)/'4. Billing Determinants'!$D$41*$D29)))))</f>
        <v>0</v>
      </c>
      <c r="H29" s="211">
        <f>IF(H$5="",0,IF($E29="kWh",VLOOKUP(H$5,'4. Billing Determinants'!$B$19:$N$41,4,0)/'4. Billing Determinants'!$E$41*$D29,IF($E29="kW",VLOOKUP(H$5,'4. Billing Determinants'!$B$19:$N$41,5,0)/'4. Billing Determinants'!$F$41*$D29,IF($E29="Non-RPP kWh",VLOOKUP(H$5,'4. Billing Determinants'!$B$19:$N$41,6,0)/'4. Billing Determinants'!$G$41*$D29,IF($E29="Distribution Rev.",VLOOKUP(H$5,'4. Billing Determinants'!$B$19:$N$41,8,0)/'4. Billing Determinants'!$I$41*$D29, VLOOKUP(H$5,'4. Billing Determinants'!$B$19:$N$41,3,0)/'4. Billing Determinants'!$D$41*$D29)))))</f>
        <v>0</v>
      </c>
      <c r="I29" s="211">
        <f>IF(I$5="",0,IF($E29="kWh",VLOOKUP(I$5,'4. Billing Determinants'!$B$19:$N$41,4,0)/'4. Billing Determinants'!$E$41*$D29,IF($E29="kW",VLOOKUP(I$5,'4. Billing Determinants'!$B$19:$N$41,5,0)/'4. Billing Determinants'!$F$41*$D29,IF($E29="Non-RPP kWh",VLOOKUP(I$5,'4. Billing Determinants'!$B$19:$N$41,6,0)/'4. Billing Determinants'!$G$41*$D29,IF($E29="Distribution Rev.",VLOOKUP(I$5,'4. Billing Determinants'!$B$19:$N$41,8,0)/'4. Billing Determinants'!$I$41*$D29, VLOOKUP(I$5,'4. Billing Determinants'!$B$19:$N$41,3,0)/'4. Billing Determinants'!$D$41*$D29)))))</f>
        <v>0</v>
      </c>
      <c r="J29" s="211">
        <f>IF(J$5="",0,IF($E29="kWh",VLOOKUP(J$5,'4. Billing Determinants'!$B$19:$N$41,4,0)/'4. Billing Determinants'!$E$41*$D29,IF($E29="kW",VLOOKUP(J$5,'4. Billing Determinants'!$B$19:$N$41,5,0)/'4. Billing Determinants'!$F$41*$D29,IF($E29="Non-RPP kWh",VLOOKUP(J$5,'4. Billing Determinants'!$B$19:$N$41,6,0)/'4. Billing Determinants'!$G$41*$D29,IF($E29="Distribution Rev.",VLOOKUP(J$5,'4. Billing Determinants'!$B$19:$N$41,8,0)/'4. Billing Determinants'!$I$41*$D29, VLOOKUP(J$5,'4. Billing Determinants'!$B$19:$N$41,3,0)/'4. Billing Determinants'!$D$41*$D29)))))</f>
        <v>0</v>
      </c>
      <c r="K29" s="211">
        <f>IF(K$5="",0,IF($E29="kWh",VLOOKUP(K$5,'4. Billing Determinants'!$B$19:$N$41,4,0)/'4. Billing Determinants'!$E$41*$D29,IF($E29="kW",VLOOKUP(K$5,'4. Billing Determinants'!$B$19:$N$41,5,0)/'4. Billing Determinants'!$F$41*$D29,IF($E29="Non-RPP kWh",VLOOKUP(K$5,'4. Billing Determinants'!$B$19:$N$41,6,0)/'4. Billing Determinants'!$G$41*$D29,IF($E29="Distribution Rev.",VLOOKUP(K$5,'4. Billing Determinants'!$B$19:$N$41,8,0)/'4. Billing Determinants'!$I$41*$D29, VLOOKUP(K$5,'4. Billing Determinants'!$B$19:$N$41,3,0)/'4. Billing Determinants'!$D$41*$D29)))))</f>
        <v>0</v>
      </c>
      <c r="L29" s="211">
        <f>IF(L$5="",0,IF($E29="kWh",VLOOKUP(L$5,'4. Billing Determinants'!$B$19:$N$41,4,0)/'4. Billing Determinants'!$E$41*$D29,IF($E29="kW",VLOOKUP(L$5,'4. Billing Determinants'!$B$19:$N$41,5,0)/'4. Billing Determinants'!$F$41*$D29,IF($E29="Non-RPP kWh",VLOOKUP(L$5,'4. Billing Determinants'!$B$19:$N$41,6,0)/'4. Billing Determinants'!$G$41*$D29,IF($E29="Distribution Rev.",VLOOKUP(L$5,'4. Billing Determinants'!$B$19:$N$41,8,0)/'4. Billing Determinants'!$I$41*$D29, VLOOKUP(L$5,'4. Billing Determinants'!$B$19:$N$41,3,0)/'4. Billing Determinants'!$D$41*$D29)))))</f>
        <v>0</v>
      </c>
      <c r="M29" s="150">
        <f>IF(M$5="",0,IF($E29="kWh",VLOOKUP(M$5,'4. Billing Determinants'!$B$19:$N$41,4,0)/'4. Billing Determinants'!$E$41*$D29,IF($E29="kW",VLOOKUP(M$5,'4. Billing Determinants'!$B$19:$N$41,5,0)/'4. Billing Determinants'!$F$41*$D29,IF($E29="Non-RPP kWh",VLOOKUP(M$5,'4. Billing Determinants'!$B$19:$N$41,6,0)/'4. Billing Determinants'!$G$41*$D29,IF($E29="Distribution Rev.",VLOOKUP(M$5,'4. Billing Determinants'!$B$19:$N$41,8,0)/'4. Billing Determinants'!$I$41*$D29, VLOOKUP(M$5,'4. Billing Determinants'!$B$19:$N$41,3,0)/'4. Billing Determinants'!$D$41*$D29)))))</f>
        <v>0</v>
      </c>
      <c r="N29" s="150">
        <f>IF(N$5="",0,IF($E29="kWh",VLOOKUP(N$5,'4. Billing Determinants'!$B$19:$N$41,4,0)/'4. Billing Determinants'!$E$41*$D29,IF($E29="kW",VLOOKUP(N$5,'4. Billing Determinants'!$B$19:$N$41,5,0)/'4. Billing Determinants'!$F$41*$D29,IF($E29="Non-RPP kWh",VLOOKUP(N$5,'4. Billing Determinants'!$B$19:$N$41,6,0)/'4. Billing Determinants'!$G$41*$D29,IF($E29="Distribution Rev.",VLOOKUP(N$5,'4. Billing Determinants'!$B$19:$N$41,8,0)/'4. Billing Determinants'!$I$41*$D29, VLOOKUP(N$5,'4. Billing Determinants'!$B$19:$N$41,3,0)/'4. Billing Determinants'!$D$41*$D29)))))</f>
        <v>0</v>
      </c>
      <c r="O29" s="150">
        <f>IF(O$5="",0,IF($E29="kWh",VLOOKUP(O$5,'4. Billing Determinants'!$B$19:$N$41,4,0)/'4. Billing Determinants'!$E$41*$D29,IF($E29="kW",VLOOKUP(O$5,'4. Billing Determinants'!$B$19:$N$41,5,0)/'4. Billing Determinants'!$F$41*$D29,IF($E29="Non-RPP kWh",VLOOKUP(O$5,'4. Billing Determinants'!$B$19:$N$41,6,0)/'4. Billing Determinants'!$G$41*$D29,IF($E29="Distribution Rev.",VLOOKUP(O$5,'4. Billing Determinants'!$B$19:$N$41,8,0)/'4. Billing Determinants'!$I$41*$D29, VLOOKUP(O$5,'4. Billing Determinants'!$B$19:$N$41,3,0)/'4. Billing Determinants'!$D$41*$D29)))))</f>
        <v>0</v>
      </c>
      <c r="P29" s="150">
        <f>IF(P$5="",0,IF($E29="kWh",VLOOKUP(P$5,'4. Billing Determinants'!$B$19:$N$41,4,0)/'4. Billing Determinants'!$E$41*$D29,IF($E29="kW",VLOOKUP(P$5,'4. Billing Determinants'!$B$19:$N$41,5,0)/'4. Billing Determinants'!$F$41*$D29,IF($E29="Non-RPP kWh",VLOOKUP(P$5,'4. Billing Determinants'!$B$19:$N$41,6,0)/'4. Billing Determinants'!$G$41*$D29,IF($E29="Distribution Rev.",VLOOKUP(P$5,'4. Billing Determinants'!$B$19:$N$41,8,0)/'4. Billing Determinants'!$I$41*$D29, VLOOKUP(P$5,'4. Billing Determinants'!$B$19:$N$41,3,0)/'4. Billing Determinants'!$D$41*$D29)))))</f>
        <v>0</v>
      </c>
      <c r="Q29" s="150">
        <f>IF(Q$5="",0,IF($E29="kWh",VLOOKUP(Q$5,'4. Billing Determinants'!$B$19:$N$41,4,0)/'4. Billing Determinants'!$E$41*$D29,IF($E29="kW",VLOOKUP(Q$5,'4. Billing Determinants'!$B$19:$N$41,5,0)/'4. Billing Determinants'!$F$41*$D29,IF($E29="Non-RPP kWh",VLOOKUP(Q$5,'4. Billing Determinants'!$B$19:$N$41,6,0)/'4. Billing Determinants'!$G$41*$D29,IF($E29="Distribution Rev.",VLOOKUP(Q$5,'4. Billing Determinants'!$B$19:$N$41,8,0)/'4. Billing Determinants'!$I$41*$D29, VLOOKUP(Q$5,'4. Billing Determinants'!$B$19:$N$41,3,0)/'4. Billing Determinants'!$D$41*$D29)))))</f>
        <v>0</v>
      </c>
      <c r="R29" s="150">
        <f>IF(R$5="",0,IF($E29="kWh",VLOOKUP(R$5,'4. Billing Determinants'!$B$19:$N$41,4,0)/'4. Billing Determinants'!$E$41*$D29,IF($E29="kW",VLOOKUP(R$5,'4. Billing Determinants'!$B$19:$N$41,5,0)/'4. Billing Determinants'!$F$41*$D29,IF($E29="Non-RPP kWh",VLOOKUP(R$5,'4. Billing Determinants'!$B$19:$N$41,6,0)/'4. Billing Determinants'!$G$41*$D29,IF($E29="Distribution Rev.",VLOOKUP(R$5,'4. Billing Determinants'!$B$19:$N$41,8,0)/'4. Billing Determinants'!$I$41*$D29, VLOOKUP(R$5,'4. Billing Determinants'!$B$19:$N$41,3,0)/'4. Billing Determinants'!$D$41*$D29)))))</f>
        <v>0</v>
      </c>
      <c r="S29" s="150">
        <f>IF(S$5="",0,IF($E29="kWh",VLOOKUP(S$5,'4. Billing Determinants'!$B$19:$N$41,4,0)/'4. Billing Determinants'!$E$41*$D29,IF($E29="kW",VLOOKUP(S$5,'4. Billing Determinants'!$B$19:$N$41,5,0)/'4. Billing Determinants'!$F$41*$D29,IF($E29="Non-RPP kWh",VLOOKUP(S$5,'4. Billing Determinants'!$B$19:$N$41,6,0)/'4. Billing Determinants'!$G$41*$D29,IF($E29="Distribution Rev.",VLOOKUP(S$5,'4. Billing Determinants'!$B$19:$N$41,8,0)/'4. Billing Determinants'!$I$41*$D29, VLOOKUP(S$5,'4. Billing Determinants'!$B$19:$N$41,3,0)/'4. Billing Determinants'!$D$41*$D29)))))</f>
        <v>0</v>
      </c>
      <c r="T29" s="150">
        <f>IF(T$5="",0,IF($E29="kWh",VLOOKUP(T$5,'4. Billing Determinants'!$B$19:$N$41,4,0)/'4. Billing Determinants'!$E$41*$D29,IF($E29="kW",VLOOKUP(T$5,'4. Billing Determinants'!$B$19:$N$41,5,0)/'4. Billing Determinants'!$F$41*$D29,IF($E29="Non-RPP kWh",VLOOKUP(T$5,'4. Billing Determinants'!$B$19:$N$41,6,0)/'4. Billing Determinants'!$G$41*$D29,IF($E29="Distribution Rev.",VLOOKUP(T$5,'4. Billing Determinants'!$B$19:$N$41,8,0)/'4. Billing Determinants'!$I$41*$D29, VLOOKUP(T$5,'4. Billing Determinants'!$B$19:$N$41,3,0)/'4. Billing Determinants'!$D$41*$D29)))))</f>
        <v>0</v>
      </c>
      <c r="U29" s="150">
        <f>IF(U$5="",0,IF($E29="kWh",VLOOKUP(U$5,'4. Billing Determinants'!$B$19:$N$41,4,0)/'4. Billing Determinants'!$E$41*$D29,IF($E29="kW",VLOOKUP(U$5,'4. Billing Determinants'!$B$19:$N$41,5,0)/'4. Billing Determinants'!$F$41*$D29,IF($E29="Non-RPP kWh",VLOOKUP(U$5,'4. Billing Determinants'!$B$19:$N$41,6,0)/'4. Billing Determinants'!$G$41*$D29,IF($E29="Distribution Rev.",VLOOKUP(U$5,'4. Billing Determinants'!$B$19:$N$41,8,0)/'4. Billing Determinants'!$I$41*$D29, VLOOKUP(U$5,'4. Billing Determinants'!$B$19:$N$41,3,0)/'4. Billing Determinants'!$D$41*$D29)))))</f>
        <v>0</v>
      </c>
      <c r="V29" s="150">
        <f>IF(V$5="",0,IF($E29="kWh",VLOOKUP(V$5,'4. Billing Determinants'!$B$19:$N$41,4,0)/'4. Billing Determinants'!$E$41*$D29,IF($E29="kW",VLOOKUP(V$5,'4. Billing Determinants'!$B$19:$N$41,5,0)/'4. Billing Determinants'!$F$41*$D29,IF($E29="Non-RPP kWh",VLOOKUP(V$5,'4. Billing Determinants'!$B$19:$N$41,6,0)/'4. Billing Determinants'!$G$41*$D29,IF($E29="Distribution Rev.",VLOOKUP(V$5,'4. Billing Determinants'!$B$19:$N$41,8,0)/'4. Billing Determinants'!$I$41*$D29, VLOOKUP(V$5,'4. Billing Determinants'!$B$19:$N$41,3,0)/'4. Billing Determinants'!$D$41*$D29)))))</f>
        <v>0</v>
      </c>
      <c r="W29" s="150">
        <f>IF(W$5="",0,IF($E29="kWh",VLOOKUP(W$5,'4. Billing Determinants'!$B$19:$N$41,4,0)/'4. Billing Determinants'!$E$41*$D29,IF($E29="kW",VLOOKUP(W$5,'4. Billing Determinants'!$B$19:$N$41,5,0)/'4. Billing Determinants'!$F$41*$D29,IF($E29="Non-RPP kWh",VLOOKUP(W$5,'4. Billing Determinants'!$B$19:$N$41,6,0)/'4. Billing Determinants'!$G$41*$D29,IF($E29="Distribution Rev.",VLOOKUP(W$5,'4. Billing Determinants'!$B$19:$N$41,8,0)/'4. Billing Determinants'!$I$41*$D29, VLOOKUP(W$5,'4. Billing Determinants'!$B$19:$N$41,3,0)/'4. Billing Determinants'!$D$41*$D29)))))</f>
        <v>0</v>
      </c>
      <c r="X29" s="150">
        <f>IF(X$5="",0,IF($E29="kWh",VLOOKUP(X$5,'4. Billing Determinants'!$B$19:$N$41,4,0)/'4. Billing Determinants'!$E$41*$D29,IF($E29="kW",VLOOKUP(X$5,'4. Billing Determinants'!$B$19:$N$41,5,0)/'4. Billing Determinants'!$F$41*$D29,IF($E29="Non-RPP kWh",VLOOKUP(X$5,'4. Billing Determinants'!$B$19:$N$41,6,0)/'4. Billing Determinants'!$G$41*$D29,IF($E29="Distribution Rev.",VLOOKUP(X$5,'4. Billing Determinants'!$B$19:$N$41,8,0)/'4. Billing Determinants'!$I$41*$D29, VLOOKUP(X$5,'4. Billing Determinants'!$B$19:$N$41,3,0)/'4. Billing Determinants'!$D$41*$D29)))))</f>
        <v>0</v>
      </c>
      <c r="Y29" s="150">
        <f>IF(Y$5="",0,IF($E29="kWh",VLOOKUP(Y$5,'4. Billing Determinants'!$B$19:$N$41,4,0)/'4. Billing Determinants'!$E$41*$D29,IF($E29="kW",VLOOKUP(Y$5,'4. Billing Determinants'!$B$19:$N$41,5,0)/'4. Billing Determinants'!$F$41*$D29,IF($E29="Non-RPP kWh",VLOOKUP(Y$5,'4. Billing Determinants'!$B$19:$N$41,6,0)/'4. Billing Determinants'!$G$41*$D29,IF($E29="Distribution Rev.",VLOOKUP(Y$5,'4. Billing Determinants'!$B$19:$N$41,8,0)/'4. Billing Determinants'!$I$41*$D29, VLOOKUP(Y$5,'4. Billing Determinants'!$B$19:$N$41,3,0)/'4. Billing Determinants'!$D$41*$D29)))))</f>
        <v>0</v>
      </c>
    </row>
    <row r="30" spans="2:25" hidden="1" x14ac:dyDescent="0.2">
      <c r="B30" s="152" t="s">
        <v>32</v>
      </c>
      <c r="C30" s="149">
        <v>1534</v>
      </c>
      <c r="D30" s="211">
        <f>'2. 2013 Continuity Schedule'!CF52</f>
        <v>0</v>
      </c>
      <c r="E30" s="212"/>
      <c r="F30" s="211">
        <f>IF(F$5="",0,IF($E30="kWh",VLOOKUP(F$5,'4. Billing Determinants'!$B$19:$N$41,4,0)/'4. Billing Determinants'!$E$41*$D30,IF($E30="kW",VLOOKUP(F$5,'4. Billing Determinants'!$B$19:$N$41,5,0)/'4. Billing Determinants'!$F$41*$D30,IF($E30="Non-RPP kWh",VLOOKUP(F$5,'4. Billing Determinants'!$B$19:$N$41,6,0)/'4. Billing Determinants'!$G$41*$D30,IF($E30="Distribution Rev.",VLOOKUP(F$5,'4. Billing Determinants'!$B$19:$N$41,8,0)/'4. Billing Determinants'!$I$41*$D30, VLOOKUP(F$5,'4. Billing Determinants'!$B$19:$N$41,3,0)/'4. Billing Determinants'!$D$41*$D30)))))</f>
        <v>0</v>
      </c>
      <c r="G30" s="211">
        <f>IF(G$5="",0,IF($E30="kWh",VLOOKUP(G$5,'4. Billing Determinants'!$B$19:$N$41,4,0)/'4. Billing Determinants'!$E$41*$D30,IF($E30="kW",VLOOKUP(G$5,'4. Billing Determinants'!$B$19:$N$41,5,0)/'4. Billing Determinants'!$F$41*$D30,IF($E30="Non-RPP kWh",VLOOKUP(G$5,'4. Billing Determinants'!$B$19:$N$41,6,0)/'4. Billing Determinants'!$G$41*$D30,IF($E30="Distribution Rev.",VLOOKUP(G$5,'4. Billing Determinants'!$B$19:$N$41,8,0)/'4. Billing Determinants'!$I$41*$D30, VLOOKUP(G$5,'4. Billing Determinants'!$B$19:$N$41,3,0)/'4. Billing Determinants'!$D$41*$D30)))))</f>
        <v>0</v>
      </c>
      <c r="H30" s="211">
        <f>IF(H$5="",0,IF($E30="kWh",VLOOKUP(H$5,'4. Billing Determinants'!$B$19:$N$41,4,0)/'4. Billing Determinants'!$E$41*$D30,IF($E30="kW",VLOOKUP(H$5,'4. Billing Determinants'!$B$19:$N$41,5,0)/'4. Billing Determinants'!$F$41*$D30,IF($E30="Non-RPP kWh",VLOOKUP(H$5,'4. Billing Determinants'!$B$19:$N$41,6,0)/'4. Billing Determinants'!$G$41*$D30,IF($E30="Distribution Rev.",VLOOKUP(H$5,'4. Billing Determinants'!$B$19:$N$41,8,0)/'4. Billing Determinants'!$I$41*$D30, VLOOKUP(H$5,'4. Billing Determinants'!$B$19:$N$41,3,0)/'4. Billing Determinants'!$D$41*$D30)))))</f>
        <v>0</v>
      </c>
      <c r="I30" s="211">
        <f>IF(I$5="",0,IF($E30="kWh",VLOOKUP(I$5,'4. Billing Determinants'!$B$19:$N$41,4,0)/'4. Billing Determinants'!$E$41*$D30,IF($E30="kW",VLOOKUP(I$5,'4. Billing Determinants'!$B$19:$N$41,5,0)/'4. Billing Determinants'!$F$41*$D30,IF($E30="Non-RPP kWh",VLOOKUP(I$5,'4. Billing Determinants'!$B$19:$N$41,6,0)/'4. Billing Determinants'!$G$41*$D30,IF($E30="Distribution Rev.",VLOOKUP(I$5,'4. Billing Determinants'!$B$19:$N$41,8,0)/'4. Billing Determinants'!$I$41*$D30, VLOOKUP(I$5,'4. Billing Determinants'!$B$19:$N$41,3,0)/'4. Billing Determinants'!$D$41*$D30)))))</f>
        <v>0</v>
      </c>
      <c r="J30" s="211">
        <f>IF(J$5="",0,IF($E30="kWh",VLOOKUP(J$5,'4. Billing Determinants'!$B$19:$N$41,4,0)/'4. Billing Determinants'!$E$41*$D30,IF($E30="kW",VLOOKUP(J$5,'4. Billing Determinants'!$B$19:$N$41,5,0)/'4. Billing Determinants'!$F$41*$D30,IF($E30="Non-RPP kWh",VLOOKUP(J$5,'4. Billing Determinants'!$B$19:$N$41,6,0)/'4. Billing Determinants'!$G$41*$D30,IF($E30="Distribution Rev.",VLOOKUP(J$5,'4. Billing Determinants'!$B$19:$N$41,8,0)/'4. Billing Determinants'!$I$41*$D30, VLOOKUP(J$5,'4. Billing Determinants'!$B$19:$N$41,3,0)/'4. Billing Determinants'!$D$41*$D30)))))</f>
        <v>0</v>
      </c>
      <c r="K30" s="211">
        <f>IF(K$5="",0,IF($E30="kWh",VLOOKUP(K$5,'4. Billing Determinants'!$B$19:$N$41,4,0)/'4. Billing Determinants'!$E$41*$D30,IF($E30="kW",VLOOKUP(K$5,'4. Billing Determinants'!$B$19:$N$41,5,0)/'4. Billing Determinants'!$F$41*$D30,IF($E30="Non-RPP kWh",VLOOKUP(K$5,'4. Billing Determinants'!$B$19:$N$41,6,0)/'4. Billing Determinants'!$G$41*$D30,IF($E30="Distribution Rev.",VLOOKUP(K$5,'4. Billing Determinants'!$B$19:$N$41,8,0)/'4. Billing Determinants'!$I$41*$D30, VLOOKUP(K$5,'4. Billing Determinants'!$B$19:$N$41,3,0)/'4. Billing Determinants'!$D$41*$D30)))))</f>
        <v>0</v>
      </c>
      <c r="L30" s="211">
        <f>IF(L$5="",0,IF($E30="kWh",VLOOKUP(L$5,'4. Billing Determinants'!$B$19:$N$41,4,0)/'4. Billing Determinants'!$E$41*$D30,IF($E30="kW",VLOOKUP(L$5,'4. Billing Determinants'!$B$19:$N$41,5,0)/'4. Billing Determinants'!$F$41*$D30,IF($E30="Non-RPP kWh",VLOOKUP(L$5,'4. Billing Determinants'!$B$19:$N$41,6,0)/'4. Billing Determinants'!$G$41*$D30,IF($E30="Distribution Rev.",VLOOKUP(L$5,'4. Billing Determinants'!$B$19:$N$41,8,0)/'4. Billing Determinants'!$I$41*$D30, VLOOKUP(L$5,'4. Billing Determinants'!$B$19:$N$41,3,0)/'4. Billing Determinants'!$D$41*$D30)))))</f>
        <v>0</v>
      </c>
      <c r="M30" s="150">
        <f>IF(M$5="",0,IF($E30="kWh",VLOOKUP(M$5,'4. Billing Determinants'!$B$19:$N$41,4,0)/'4. Billing Determinants'!$E$41*$D30,IF($E30="kW",VLOOKUP(M$5,'4. Billing Determinants'!$B$19:$N$41,5,0)/'4. Billing Determinants'!$F$41*$D30,IF($E30="Non-RPP kWh",VLOOKUP(M$5,'4. Billing Determinants'!$B$19:$N$41,6,0)/'4. Billing Determinants'!$G$41*$D30,IF($E30="Distribution Rev.",VLOOKUP(M$5,'4. Billing Determinants'!$B$19:$N$41,8,0)/'4. Billing Determinants'!$I$41*$D30, VLOOKUP(M$5,'4. Billing Determinants'!$B$19:$N$41,3,0)/'4. Billing Determinants'!$D$41*$D30)))))</f>
        <v>0</v>
      </c>
      <c r="N30" s="150">
        <f>IF(N$5="",0,IF($E30="kWh",VLOOKUP(N$5,'4. Billing Determinants'!$B$19:$N$41,4,0)/'4. Billing Determinants'!$E$41*$D30,IF($E30="kW",VLOOKUP(N$5,'4. Billing Determinants'!$B$19:$N$41,5,0)/'4. Billing Determinants'!$F$41*$D30,IF($E30="Non-RPP kWh",VLOOKUP(N$5,'4. Billing Determinants'!$B$19:$N$41,6,0)/'4. Billing Determinants'!$G$41*$D30,IF($E30="Distribution Rev.",VLOOKUP(N$5,'4. Billing Determinants'!$B$19:$N$41,8,0)/'4. Billing Determinants'!$I$41*$D30, VLOOKUP(N$5,'4. Billing Determinants'!$B$19:$N$41,3,0)/'4. Billing Determinants'!$D$41*$D30)))))</f>
        <v>0</v>
      </c>
      <c r="O30" s="150">
        <f>IF(O$5="",0,IF($E30="kWh",VLOOKUP(O$5,'4. Billing Determinants'!$B$19:$N$41,4,0)/'4. Billing Determinants'!$E$41*$D30,IF($E30="kW",VLOOKUP(O$5,'4. Billing Determinants'!$B$19:$N$41,5,0)/'4. Billing Determinants'!$F$41*$D30,IF($E30="Non-RPP kWh",VLOOKUP(O$5,'4. Billing Determinants'!$B$19:$N$41,6,0)/'4. Billing Determinants'!$G$41*$D30,IF($E30="Distribution Rev.",VLOOKUP(O$5,'4. Billing Determinants'!$B$19:$N$41,8,0)/'4. Billing Determinants'!$I$41*$D30, VLOOKUP(O$5,'4. Billing Determinants'!$B$19:$N$41,3,0)/'4. Billing Determinants'!$D$41*$D30)))))</f>
        <v>0</v>
      </c>
      <c r="P30" s="150">
        <f>IF(P$5="",0,IF($E30="kWh",VLOOKUP(P$5,'4. Billing Determinants'!$B$19:$N$41,4,0)/'4. Billing Determinants'!$E$41*$D30,IF($E30="kW",VLOOKUP(P$5,'4. Billing Determinants'!$B$19:$N$41,5,0)/'4. Billing Determinants'!$F$41*$D30,IF($E30="Non-RPP kWh",VLOOKUP(P$5,'4. Billing Determinants'!$B$19:$N$41,6,0)/'4. Billing Determinants'!$G$41*$D30,IF($E30="Distribution Rev.",VLOOKUP(P$5,'4. Billing Determinants'!$B$19:$N$41,8,0)/'4. Billing Determinants'!$I$41*$D30, VLOOKUP(P$5,'4. Billing Determinants'!$B$19:$N$41,3,0)/'4. Billing Determinants'!$D$41*$D30)))))</f>
        <v>0</v>
      </c>
      <c r="Q30" s="150">
        <f>IF(Q$5="",0,IF($E30="kWh",VLOOKUP(Q$5,'4. Billing Determinants'!$B$19:$N$41,4,0)/'4. Billing Determinants'!$E$41*$D30,IF($E30="kW",VLOOKUP(Q$5,'4. Billing Determinants'!$B$19:$N$41,5,0)/'4. Billing Determinants'!$F$41*$D30,IF($E30="Non-RPP kWh",VLOOKUP(Q$5,'4. Billing Determinants'!$B$19:$N$41,6,0)/'4. Billing Determinants'!$G$41*$D30,IF($E30="Distribution Rev.",VLOOKUP(Q$5,'4. Billing Determinants'!$B$19:$N$41,8,0)/'4. Billing Determinants'!$I$41*$D30, VLOOKUP(Q$5,'4. Billing Determinants'!$B$19:$N$41,3,0)/'4. Billing Determinants'!$D$41*$D30)))))</f>
        <v>0</v>
      </c>
      <c r="R30" s="150">
        <f>IF(R$5="",0,IF($E30="kWh",VLOOKUP(R$5,'4. Billing Determinants'!$B$19:$N$41,4,0)/'4. Billing Determinants'!$E$41*$D30,IF($E30="kW",VLOOKUP(R$5,'4. Billing Determinants'!$B$19:$N$41,5,0)/'4. Billing Determinants'!$F$41*$D30,IF($E30="Non-RPP kWh",VLOOKUP(R$5,'4. Billing Determinants'!$B$19:$N$41,6,0)/'4. Billing Determinants'!$G$41*$D30,IF($E30="Distribution Rev.",VLOOKUP(R$5,'4. Billing Determinants'!$B$19:$N$41,8,0)/'4. Billing Determinants'!$I$41*$D30, VLOOKUP(R$5,'4. Billing Determinants'!$B$19:$N$41,3,0)/'4. Billing Determinants'!$D$41*$D30)))))</f>
        <v>0</v>
      </c>
      <c r="S30" s="150">
        <f>IF(S$5="",0,IF($E30="kWh",VLOOKUP(S$5,'4. Billing Determinants'!$B$19:$N$41,4,0)/'4. Billing Determinants'!$E$41*$D30,IF($E30="kW",VLOOKUP(S$5,'4. Billing Determinants'!$B$19:$N$41,5,0)/'4. Billing Determinants'!$F$41*$D30,IF($E30="Non-RPP kWh",VLOOKUP(S$5,'4. Billing Determinants'!$B$19:$N$41,6,0)/'4. Billing Determinants'!$G$41*$D30,IF($E30="Distribution Rev.",VLOOKUP(S$5,'4. Billing Determinants'!$B$19:$N$41,8,0)/'4. Billing Determinants'!$I$41*$D30, VLOOKUP(S$5,'4. Billing Determinants'!$B$19:$N$41,3,0)/'4. Billing Determinants'!$D$41*$D30)))))</f>
        <v>0</v>
      </c>
      <c r="T30" s="150">
        <f>IF(T$5="",0,IF($E30="kWh",VLOOKUP(T$5,'4. Billing Determinants'!$B$19:$N$41,4,0)/'4. Billing Determinants'!$E$41*$D30,IF($E30="kW",VLOOKUP(T$5,'4. Billing Determinants'!$B$19:$N$41,5,0)/'4. Billing Determinants'!$F$41*$D30,IF($E30="Non-RPP kWh",VLOOKUP(T$5,'4. Billing Determinants'!$B$19:$N$41,6,0)/'4. Billing Determinants'!$G$41*$D30,IF($E30="Distribution Rev.",VLOOKUP(T$5,'4. Billing Determinants'!$B$19:$N$41,8,0)/'4. Billing Determinants'!$I$41*$D30, VLOOKUP(T$5,'4. Billing Determinants'!$B$19:$N$41,3,0)/'4. Billing Determinants'!$D$41*$D30)))))</f>
        <v>0</v>
      </c>
      <c r="U30" s="150">
        <f>IF(U$5="",0,IF($E30="kWh",VLOOKUP(U$5,'4. Billing Determinants'!$B$19:$N$41,4,0)/'4. Billing Determinants'!$E$41*$D30,IF($E30="kW",VLOOKUP(U$5,'4. Billing Determinants'!$B$19:$N$41,5,0)/'4. Billing Determinants'!$F$41*$D30,IF($E30="Non-RPP kWh",VLOOKUP(U$5,'4. Billing Determinants'!$B$19:$N$41,6,0)/'4. Billing Determinants'!$G$41*$D30,IF($E30="Distribution Rev.",VLOOKUP(U$5,'4. Billing Determinants'!$B$19:$N$41,8,0)/'4. Billing Determinants'!$I$41*$D30, VLOOKUP(U$5,'4. Billing Determinants'!$B$19:$N$41,3,0)/'4. Billing Determinants'!$D$41*$D30)))))</f>
        <v>0</v>
      </c>
      <c r="V30" s="150">
        <f>IF(V$5="",0,IF($E30="kWh",VLOOKUP(V$5,'4. Billing Determinants'!$B$19:$N$41,4,0)/'4. Billing Determinants'!$E$41*$D30,IF($E30="kW",VLOOKUP(V$5,'4. Billing Determinants'!$B$19:$N$41,5,0)/'4. Billing Determinants'!$F$41*$D30,IF($E30="Non-RPP kWh",VLOOKUP(V$5,'4. Billing Determinants'!$B$19:$N$41,6,0)/'4. Billing Determinants'!$G$41*$D30,IF($E30="Distribution Rev.",VLOOKUP(V$5,'4. Billing Determinants'!$B$19:$N$41,8,0)/'4. Billing Determinants'!$I$41*$D30, VLOOKUP(V$5,'4. Billing Determinants'!$B$19:$N$41,3,0)/'4. Billing Determinants'!$D$41*$D30)))))</f>
        <v>0</v>
      </c>
      <c r="W30" s="150">
        <f>IF(W$5="",0,IF($E30="kWh",VLOOKUP(W$5,'4. Billing Determinants'!$B$19:$N$41,4,0)/'4. Billing Determinants'!$E$41*$D30,IF($E30="kW",VLOOKUP(W$5,'4. Billing Determinants'!$B$19:$N$41,5,0)/'4. Billing Determinants'!$F$41*$D30,IF($E30="Non-RPP kWh",VLOOKUP(W$5,'4. Billing Determinants'!$B$19:$N$41,6,0)/'4. Billing Determinants'!$G$41*$D30,IF($E30="Distribution Rev.",VLOOKUP(W$5,'4. Billing Determinants'!$B$19:$N$41,8,0)/'4. Billing Determinants'!$I$41*$D30, VLOOKUP(W$5,'4. Billing Determinants'!$B$19:$N$41,3,0)/'4. Billing Determinants'!$D$41*$D30)))))</f>
        <v>0</v>
      </c>
      <c r="X30" s="150">
        <f>IF(X$5="",0,IF($E30="kWh",VLOOKUP(X$5,'4. Billing Determinants'!$B$19:$N$41,4,0)/'4. Billing Determinants'!$E$41*$D30,IF($E30="kW",VLOOKUP(X$5,'4. Billing Determinants'!$B$19:$N$41,5,0)/'4. Billing Determinants'!$F$41*$D30,IF($E30="Non-RPP kWh",VLOOKUP(X$5,'4. Billing Determinants'!$B$19:$N$41,6,0)/'4. Billing Determinants'!$G$41*$D30,IF($E30="Distribution Rev.",VLOOKUP(X$5,'4. Billing Determinants'!$B$19:$N$41,8,0)/'4. Billing Determinants'!$I$41*$D30, VLOOKUP(X$5,'4. Billing Determinants'!$B$19:$N$41,3,0)/'4. Billing Determinants'!$D$41*$D30)))))</f>
        <v>0</v>
      </c>
      <c r="Y30" s="150">
        <f>IF(Y$5="",0,IF($E30="kWh",VLOOKUP(Y$5,'4. Billing Determinants'!$B$19:$N$41,4,0)/'4. Billing Determinants'!$E$41*$D30,IF($E30="kW",VLOOKUP(Y$5,'4. Billing Determinants'!$B$19:$N$41,5,0)/'4. Billing Determinants'!$F$41*$D30,IF($E30="Non-RPP kWh",VLOOKUP(Y$5,'4. Billing Determinants'!$B$19:$N$41,6,0)/'4. Billing Determinants'!$G$41*$D30,IF($E30="Distribution Rev.",VLOOKUP(Y$5,'4. Billing Determinants'!$B$19:$N$41,8,0)/'4. Billing Determinants'!$I$41*$D30, VLOOKUP(Y$5,'4. Billing Determinants'!$B$19:$N$41,3,0)/'4. Billing Determinants'!$D$41*$D30)))))</f>
        <v>0</v>
      </c>
    </row>
    <row r="31" spans="2:25" hidden="1" x14ac:dyDescent="0.2">
      <c r="B31" s="152" t="s">
        <v>33</v>
      </c>
      <c r="C31" s="149">
        <v>1535</v>
      </c>
      <c r="D31" s="211">
        <f>'2. 2013 Continuity Schedule'!CF53</f>
        <v>0</v>
      </c>
      <c r="E31" s="212"/>
      <c r="F31" s="211">
        <f>IF(F$5="",0,IF($E31="kWh",VLOOKUP(F$5,'4. Billing Determinants'!$B$19:$N$41,4,0)/'4. Billing Determinants'!$E$41*$D31,IF($E31="kW",VLOOKUP(F$5,'4. Billing Determinants'!$B$19:$N$41,5,0)/'4. Billing Determinants'!$F$41*$D31,IF($E31="Non-RPP kWh",VLOOKUP(F$5,'4. Billing Determinants'!$B$19:$N$41,6,0)/'4. Billing Determinants'!$G$41*$D31,IF($E31="Distribution Rev.",VLOOKUP(F$5,'4. Billing Determinants'!$B$19:$N$41,8,0)/'4. Billing Determinants'!$I$41*$D31, VLOOKUP(F$5,'4. Billing Determinants'!$B$19:$N$41,3,0)/'4. Billing Determinants'!$D$41*$D31)))))</f>
        <v>0</v>
      </c>
      <c r="G31" s="211">
        <f>IF(G$5="",0,IF($E31="kWh",VLOOKUP(G$5,'4. Billing Determinants'!$B$19:$N$41,4,0)/'4. Billing Determinants'!$E$41*$D31,IF($E31="kW",VLOOKUP(G$5,'4. Billing Determinants'!$B$19:$N$41,5,0)/'4. Billing Determinants'!$F$41*$D31,IF($E31="Non-RPP kWh",VLOOKUP(G$5,'4. Billing Determinants'!$B$19:$N$41,6,0)/'4. Billing Determinants'!$G$41*$D31,IF($E31="Distribution Rev.",VLOOKUP(G$5,'4. Billing Determinants'!$B$19:$N$41,8,0)/'4. Billing Determinants'!$I$41*$D31, VLOOKUP(G$5,'4. Billing Determinants'!$B$19:$N$41,3,0)/'4. Billing Determinants'!$D$41*$D31)))))</f>
        <v>0</v>
      </c>
      <c r="H31" s="211">
        <f>IF(H$5="",0,IF($E31="kWh",VLOOKUP(H$5,'4. Billing Determinants'!$B$19:$N$41,4,0)/'4. Billing Determinants'!$E$41*$D31,IF($E31="kW",VLOOKUP(H$5,'4. Billing Determinants'!$B$19:$N$41,5,0)/'4. Billing Determinants'!$F$41*$D31,IF($E31="Non-RPP kWh",VLOOKUP(H$5,'4. Billing Determinants'!$B$19:$N$41,6,0)/'4. Billing Determinants'!$G$41*$D31,IF($E31="Distribution Rev.",VLOOKUP(H$5,'4. Billing Determinants'!$B$19:$N$41,8,0)/'4. Billing Determinants'!$I$41*$D31, VLOOKUP(H$5,'4. Billing Determinants'!$B$19:$N$41,3,0)/'4. Billing Determinants'!$D$41*$D31)))))</f>
        <v>0</v>
      </c>
      <c r="I31" s="211">
        <f>IF(I$5="",0,IF($E31="kWh",VLOOKUP(I$5,'4. Billing Determinants'!$B$19:$N$41,4,0)/'4. Billing Determinants'!$E$41*$D31,IF($E31="kW",VLOOKUP(I$5,'4. Billing Determinants'!$B$19:$N$41,5,0)/'4. Billing Determinants'!$F$41*$D31,IF($E31="Non-RPP kWh",VLOOKUP(I$5,'4. Billing Determinants'!$B$19:$N$41,6,0)/'4. Billing Determinants'!$G$41*$D31,IF($E31="Distribution Rev.",VLOOKUP(I$5,'4. Billing Determinants'!$B$19:$N$41,8,0)/'4. Billing Determinants'!$I$41*$D31, VLOOKUP(I$5,'4. Billing Determinants'!$B$19:$N$41,3,0)/'4. Billing Determinants'!$D$41*$D31)))))</f>
        <v>0</v>
      </c>
      <c r="J31" s="211">
        <f>IF(J$5="",0,IF($E31="kWh",VLOOKUP(J$5,'4. Billing Determinants'!$B$19:$N$41,4,0)/'4. Billing Determinants'!$E$41*$D31,IF($E31="kW",VLOOKUP(J$5,'4. Billing Determinants'!$B$19:$N$41,5,0)/'4. Billing Determinants'!$F$41*$D31,IF($E31="Non-RPP kWh",VLOOKUP(J$5,'4. Billing Determinants'!$B$19:$N$41,6,0)/'4. Billing Determinants'!$G$41*$D31,IF($E31="Distribution Rev.",VLOOKUP(J$5,'4. Billing Determinants'!$B$19:$N$41,8,0)/'4. Billing Determinants'!$I$41*$D31, VLOOKUP(J$5,'4. Billing Determinants'!$B$19:$N$41,3,0)/'4. Billing Determinants'!$D$41*$D31)))))</f>
        <v>0</v>
      </c>
      <c r="K31" s="211">
        <f>IF(K$5="",0,IF($E31="kWh",VLOOKUP(K$5,'4. Billing Determinants'!$B$19:$N$41,4,0)/'4. Billing Determinants'!$E$41*$D31,IF($E31="kW",VLOOKUP(K$5,'4. Billing Determinants'!$B$19:$N$41,5,0)/'4. Billing Determinants'!$F$41*$D31,IF($E31="Non-RPP kWh",VLOOKUP(K$5,'4. Billing Determinants'!$B$19:$N$41,6,0)/'4. Billing Determinants'!$G$41*$D31,IF($E31="Distribution Rev.",VLOOKUP(K$5,'4. Billing Determinants'!$B$19:$N$41,8,0)/'4. Billing Determinants'!$I$41*$D31, VLOOKUP(K$5,'4. Billing Determinants'!$B$19:$N$41,3,0)/'4. Billing Determinants'!$D$41*$D31)))))</f>
        <v>0</v>
      </c>
      <c r="L31" s="211">
        <f>IF(L$5="",0,IF($E31="kWh",VLOOKUP(L$5,'4. Billing Determinants'!$B$19:$N$41,4,0)/'4. Billing Determinants'!$E$41*$D31,IF($E31="kW",VLOOKUP(L$5,'4. Billing Determinants'!$B$19:$N$41,5,0)/'4. Billing Determinants'!$F$41*$D31,IF($E31="Non-RPP kWh",VLOOKUP(L$5,'4. Billing Determinants'!$B$19:$N$41,6,0)/'4. Billing Determinants'!$G$41*$D31,IF($E31="Distribution Rev.",VLOOKUP(L$5,'4. Billing Determinants'!$B$19:$N$41,8,0)/'4. Billing Determinants'!$I$41*$D31, VLOOKUP(L$5,'4. Billing Determinants'!$B$19:$N$41,3,0)/'4. Billing Determinants'!$D$41*$D31)))))</f>
        <v>0</v>
      </c>
      <c r="M31" s="150">
        <f>IF(M$5="",0,IF($E31="kWh",VLOOKUP(M$5,'4. Billing Determinants'!$B$19:$N$41,4,0)/'4. Billing Determinants'!$E$41*$D31,IF($E31="kW",VLOOKUP(M$5,'4. Billing Determinants'!$B$19:$N$41,5,0)/'4. Billing Determinants'!$F$41*$D31,IF($E31="Non-RPP kWh",VLOOKUP(M$5,'4. Billing Determinants'!$B$19:$N$41,6,0)/'4. Billing Determinants'!$G$41*$D31,IF($E31="Distribution Rev.",VLOOKUP(M$5,'4. Billing Determinants'!$B$19:$N$41,8,0)/'4. Billing Determinants'!$I$41*$D31, VLOOKUP(M$5,'4. Billing Determinants'!$B$19:$N$41,3,0)/'4. Billing Determinants'!$D$41*$D31)))))</f>
        <v>0</v>
      </c>
      <c r="N31" s="150">
        <f>IF(N$5="",0,IF($E31="kWh",VLOOKUP(N$5,'4. Billing Determinants'!$B$19:$N$41,4,0)/'4. Billing Determinants'!$E$41*$D31,IF($E31="kW",VLOOKUP(N$5,'4. Billing Determinants'!$B$19:$N$41,5,0)/'4. Billing Determinants'!$F$41*$D31,IF($E31="Non-RPP kWh",VLOOKUP(N$5,'4. Billing Determinants'!$B$19:$N$41,6,0)/'4. Billing Determinants'!$G$41*$D31,IF($E31="Distribution Rev.",VLOOKUP(N$5,'4. Billing Determinants'!$B$19:$N$41,8,0)/'4. Billing Determinants'!$I$41*$D31, VLOOKUP(N$5,'4. Billing Determinants'!$B$19:$N$41,3,0)/'4. Billing Determinants'!$D$41*$D31)))))</f>
        <v>0</v>
      </c>
      <c r="O31" s="150">
        <f>IF(O$5="",0,IF($E31="kWh",VLOOKUP(O$5,'4. Billing Determinants'!$B$19:$N$41,4,0)/'4. Billing Determinants'!$E$41*$D31,IF($E31="kW",VLOOKUP(O$5,'4. Billing Determinants'!$B$19:$N$41,5,0)/'4. Billing Determinants'!$F$41*$D31,IF($E31="Non-RPP kWh",VLOOKUP(O$5,'4. Billing Determinants'!$B$19:$N$41,6,0)/'4. Billing Determinants'!$G$41*$D31,IF($E31="Distribution Rev.",VLOOKUP(O$5,'4. Billing Determinants'!$B$19:$N$41,8,0)/'4. Billing Determinants'!$I$41*$D31, VLOOKUP(O$5,'4. Billing Determinants'!$B$19:$N$41,3,0)/'4. Billing Determinants'!$D$41*$D31)))))</f>
        <v>0</v>
      </c>
      <c r="P31" s="150">
        <f>IF(P$5="",0,IF($E31="kWh",VLOOKUP(P$5,'4. Billing Determinants'!$B$19:$N$41,4,0)/'4. Billing Determinants'!$E$41*$D31,IF($E31="kW",VLOOKUP(P$5,'4. Billing Determinants'!$B$19:$N$41,5,0)/'4. Billing Determinants'!$F$41*$D31,IF($E31="Non-RPP kWh",VLOOKUP(P$5,'4. Billing Determinants'!$B$19:$N$41,6,0)/'4. Billing Determinants'!$G$41*$D31,IF($E31="Distribution Rev.",VLOOKUP(P$5,'4. Billing Determinants'!$B$19:$N$41,8,0)/'4. Billing Determinants'!$I$41*$D31, VLOOKUP(P$5,'4. Billing Determinants'!$B$19:$N$41,3,0)/'4. Billing Determinants'!$D$41*$D31)))))</f>
        <v>0</v>
      </c>
      <c r="Q31" s="150">
        <f>IF(Q$5="",0,IF($E31="kWh",VLOOKUP(Q$5,'4. Billing Determinants'!$B$19:$N$41,4,0)/'4. Billing Determinants'!$E$41*$D31,IF($E31="kW",VLOOKUP(Q$5,'4. Billing Determinants'!$B$19:$N$41,5,0)/'4. Billing Determinants'!$F$41*$D31,IF($E31="Non-RPP kWh",VLOOKUP(Q$5,'4. Billing Determinants'!$B$19:$N$41,6,0)/'4. Billing Determinants'!$G$41*$D31,IF($E31="Distribution Rev.",VLOOKUP(Q$5,'4. Billing Determinants'!$B$19:$N$41,8,0)/'4. Billing Determinants'!$I$41*$D31, VLOOKUP(Q$5,'4. Billing Determinants'!$B$19:$N$41,3,0)/'4. Billing Determinants'!$D$41*$D31)))))</f>
        <v>0</v>
      </c>
      <c r="R31" s="150">
        <f>IF(R$5="",0,IF($E31="kWh",VLOOKUP(R$5,'4. Billing Determinants'!$B$19:$N$41,4,0)/'4. Billing Determinants'!$E$41*$D31,IF($E31="kW",VLOOKUP(R$5,'4. Billing Determinants'!$B$19:$N$41,5,0)/'4. Billing Determinants'!$F$41*$D31,IF($E31="Non-RPP kWh",VLOOKUP(R$5,'4. Billing Determinants'!$B$19:$N$41,6,0)/'4. Billing Determinants'!$G$41*$D31,IF($E31="Distribution Rev.",VLOOKUP(R$5,'4. Billing Determinants'!$B$19:$N$41,8,0)/'4. Billing Determinants'!$I$41*$D31, VLOOKUP(R$5,'4. Billing Determinants'!$B$19:$N$41,3,0)/'4. Billing Determinants'!$D$41*$D31)))))</f>
        <v>0</v>
      </c>
      <c r="S31" s="150">
        <f>IF(S$5="",0,IF($E31="kWh",VLOOKUP(S$5,'4. Billing Determinants'!$B$19:$N$41,4,0)/'4. Billing Determinants'!$E$41*$D31,IF($E31="kW",VLOOKUP(S$5,'4. Billing Determinants'!$B$19:$N$41,5,0)/'4. Billing Determinants'!$F$41*$D31,IF($E31="Non-RPP kWh",VLOOKUP(S$5,'4. Billing Determinants'!$B$19:$N$41,6,0)/'4. Billing Determinants'!$G$41*$D31,IF($E31="Distribution Rev.",VLOOKUP(S$5,'4. Billing Determinants'!$B$19:$N$41,8,0)/'4. Billing Determinants'!$I$41*$D31, VLOOKUP(S$5,'4. Billing Determinants'!$B$19:$N$41,3,0)/'4. Billing Determinants'!$D$41*$D31)))))</f>
        <v>0</v>
      </c>
      <c r="T31" s="150">
        <f>IF(T$5="",0,IF($E31="kWh",VLOOKUP(T$5,'4. Billing Determinants'!$B$19:$N$41,4,0)/'4. Billing Determinants'!$E$41*$D31,IF($E31="kW",VLOOKUP(T$5,'4. Billing Determinants'!$B$19:$N$41,5,0)/'4. Billing Determinants'!$F$41*$D31,IF($E31="Non-RPP kWh",VLOOKUP(T$5,'4. Billing Determinants'!$B$19:$N$41,6,0)/'4. Billing Determinants'!$G$41*$D31,IF($E31="Distribution Rev.",VLOOKUP(T$5,'4. Billing Determinants'!$B$19:$N$41,8,0)/'4. Billing Determinants'!$I$41*$D31, VLOOKUP(T$5,'4. Billing Determinants'!$B$19:$N$41,3,0)/'4. Billing Determinants'!$D$41*$D31)))))</f>
        <v>0</v>
      </c>
      <c r="U31" s="150">
        <f>IF(U$5="",0,IF($E31="kWh",VLOOKUP(U$5,'4. Billing Determinants'!$B$19:$N$41,4,0)/'4. Billing Determinants'!$E$41*$D31,IF($E31="kW",VLOOKUP(U$5,'4. Billing Determinants'!$B$19:$N$41,5,0)/'4. Billing Determinants'!$F$41*$D31,IF($E31="Non-RPP kWh",VLOOKUP(U$5,'4. Billing Determinants'!$B$19:$N$41,6,0)/'4. Billing Determinants'!$G$41*$D31,IF($E31="Distribution Rev.",VLOOKUP(U$5,'4. Billing Determinants'!$B$19:$N$41,8,0)/'4. Billing Determinants'!$I$41*$D31, VLOOKUP(U$5,'4. Billing Determinants'!$B$19:$N$41,3,0)/'4. Billing Determinants'!$D$41*$D31)))))</f>
        <v>0</v>
      </c>
      <c r="V31" s="150">
        <f>IF(V$5="",0,IF($E31="kWh",VLOOKUP(V$5,'4. Billing Determinants'!$B$19:$N$41,4,0)/'4. Billing Determinants'!$E$41*$D31,IF($E31="kW",VLOOKUP(V$5,'4. Billing Determinants'!$B$19:$N$41,5,0)/'4. Billing Determinants'!$F$41*$D31,IF($E31="Non-RPP kWh",VLOOKUP(V$5,'4. Billing Determinants'!$B$19:$N$41,6,0)/'4. Billing Determinants'!$G$41*$D31,IF($E31="Distribution Rev.",VLOOKUP(V$5,'4. Billing Determinants'!$B$19:$N$41,8,0)/'4. Billing Determinants'!$I$41*$D31, VLOOKUP(V$5,'4. Billing Determinants'!$B$19:$N$41,3,0)/'4. Billing Determinants'!$D$41*$D31)))))</f>
        <v>0</v>
      </c>
      <c r="W31" s="150">
        <f>IF(W$5="",0,IF($E31="kWh",VLOOKUP(W$5,'4. Billing Determinants'!$B$19:$N$41,4,0)/'4. Billing Determinants'!$E$41*$D31,IF($E31="kW",VLOOKUP(W$5,'4. Billing Determinants'!$B$19:$N$41,5,0)/'4. Billing Determinants'!$F$41*$D31,IF($E31="Non-RPP kWh",VLOOKUP(W$5,'4. Billing Determinants'!$B$19:$N$41,6,0)/'4. Billing Determinants'!$G$41*$D31,IF($E31="Distribution Rev.",VLOOKUP(W$5,'4. Billing Determinants'!$B$19:$N$41,8,0)/'4. Billing Determinants'!$I$41*$D31, VLOOKUP(W$5,'4. Billing Determinants'!$B$19:$N$41,3,0)/'4. Billing Determinants'!$D$41*$D31)))))</f>
        <v>0</v>
      </c>
      <c r="X31" s="150">
        <f>IF(X$5="",0,IF($E31="kWh",VLOOKUP(X$5,'4. Billing Determinants'!$B$19:$N$41,4,0)/'4. Billing Determinants'!$E$41*$D31,IF($E31="kW",VLOOKUP(X$5,'4. Billing Determinants'!$B$19:$N$41,5,0)/'4. Billing Determinants'!$F$41*$D31,IF($E31="Non-RPP kWh",VLOOKUP(X$5,'4. Billing Determinants'!$B$19:$N$41,6,0)/'4. Billing Determinants'!$G$41*$D31,IF($E31="Distribution Rev.",VLOOKUP(X$5,'4. Billing Determinants'!$B$19:$N$41,8,0)/'4. Billing Determinants'!$I$41*$D31, VLOOKUP(X$5,'4. Billing Determinants'!$B$19:$N$41,3,0)/'4. Billing Determinants'!$D$41*$D31)))))</f>
        <v>0</v>
      </c>
      <c r="Y31" s="150">
        <f>IF(Y$5="",0,IF($E31="kWh",VLOOKUP(Y$5,'4. Billing Determinants'!$B$19:$N$41,4,0)/'4. Billing Determinants'!$E$41*$D31,IF($E31="kW",VLOOKUP(Y$5,'4. Billing Determinants'!$B$19:$N$41,5,0)/'4. Billing Determinants'!$F$41*$D31,IF($E31="Non-RPP kWh",VLOOKUP(Y$5,'4. Billing Determinants'!$B$19:$N$41,6,0)/'4. Billing Determinants'!$G$41*$D31,IF($E31="Distribution Rev.",VLOOKUP(Y$5,'4. Billing Determinants'!$B$19:$N$41,8,0)/'4. Billing Determinants'!$I$41*$D31, VLOOKUP(Y$5,'4. Billing Determinants'!$B$19:$N$41,3,0)/'4. Billing Determinants'!$D$41*$D31)))))</f>
        <v>0</v>
      </c>
    </row>
    <row r="32" spans="2:25" hidden="1" x14ac:dyDescent="0.2">
      <c r="B32" s="152" t="s">
        <v>39</v>
      </c>
      <c r="C32" s="149">
        <v>1536</v>
      </c>
      <c r="D32" s="211">
        <f>'2. 2013 Continuity Schedule'!CF54</f>
        <v>0</v>
      </c>
      <c r="E32" s="212"/>
      <c r="F32" s="211">
        <f>IF(F$5="",0,IF($E32="kWh",VLOOKUP(F$5,'4. Billing Determinants'!$B$19:$N$41,4,0)/'4. Billing Determinants'!$E$41*$D32,IF($E32="kW",VLOOKUP(F$5,'4. Billing Determinants'!$B$19:$N$41,5,0)/'4. Billing Determinants'!$F$41*$D32,IF($E32="Non-RPP kWh",VLOOKUP(F$5,'4. Billing Determinants'!$B$19:$N$41,6,0)/'4. Billing Determinants'!$G$41*$D32,IF($E32="Distribution Rev.",VLOOKUP(F$5,'4. Billing Determinants'!$B$19:$N$41,8,0)/'4. Billing Determinants'!$I$41*$D32, VLOOKUP(F$5,'4. Billing Determinants'!$B$19:$N$41,3,0)/'4. Billing Determinants'!$D$41*$D32)))))</f>
        <v>0</v>
      </c>
      <c r="G32" s="211">
        <f>IF(G$5="",0,IF($E32="kWh",VLOOKUP(G$5,'4. Billing Determinants'!$B$19:$N$41,4,0)/'4. Billing Determinants'!$E$41*$D32,IF($E32="kW",VLOOKUP(G$5,'4. Billing Determinants'!$B$19:$N$41,5,0)/'4. Billing Determinants'!$F$41*$D32,IF($E32="Non-RPP kWh",VLOOKUP(G$5,'4. Billing Determinants'!$B$19:$N$41,6,0)/'4. Billing Determinants'!$G$41*$D32,IF($E32="Distribution Rev.",VLOOKUP(G$5,'4. Billing Determinants'!$B$19:$N$41,8,0)/'4. Billing Determinants'!$I$41*$D32, VLOOKUP(G$5,'4. Billing Determinants'!$B$19:$N$41,3,0)/'4. Billing Determinants'!$D$41*$D32)))))</f>
        <v>0</v>
      </c>
      <c r="H32" s="211">
        <f>IF(H$5="",0,IF($E32="kWh",VLOOKUP(H$5,'4. Billing Determinants'!$B$19:$N$41,4,0)/'4. Billing Determinants'!$E$41*$D32,IF($E32="kW",VLOOKUP(H$5,'4. Billing Determinants'!$B$19:$N$41,5,0)/'4. Billing Determinants'!$F$41*$D32,IF($E32="Non-RPP kWh",VLOOKUP(H$5,'4. Billing Determinants'!$B$19:$N$41,6,0)/'4. Billing Determinants'!$G$41*$D32,IF($E32="Distribution Rev.",VLOOKUP(H$5,'4. Billing Determinants'!$B$19:$N$41,8,0)/'4. Billing Determinants'!$I$41*$D32, VLOOKUP(H$5,'4. Billing Determinants'!$B$19:$N$41,3,0)/'4. Billing Determinants'!$D$41*$D32)))))</f>
        <v>0</v>
      </c>
      <c r="I32" s="211">
        <f>IF(I$5="",0,IF($E32="kWh",VLOOKUP(I$5,'4. Billing Determinants'!$B$19:$N$41,4,0)/'4. Billing Determinants'!$E$41*$D32,IF($E32="kW",VLOOKUP(I$5,'4. Billing Determinants'!$B$19:$N$41,5,0)/'4. Billing Determinants'!$F$41*$D32,IF($E32="Non-RPP kWh",VLOOKUP(I$5,'4. Billing Determinants'!$B$19:$N$41,6,0)/'4. Billing Determinants'!$G$41*$D32,IF($E32="Distribution Rev.",VLOOKUP(I$5,'4. Billing Determinants'!$B$19:$N$41,8,0)/'4. Billing Determinants'!$I$41*$D32, VLOOKUP(I$5,'4. Billing Determinants'!$B$19:$N$41,3,0)/'4. Billing Determinants'!$D$41*$D32)))))</f>
        <v>0</v>
      </c>
      <c r="J32" s="211">
        <f>IF(J$5="",0,IF($E32="kWh",VLOOKUP(J$5,'4. Billing Determinants'!$B$19:$N$41,4,0)/'4. Billing Determinants'!$E$41*$D32,IF($E32="kW",VLOOKUP(J$5,'4. Billing Determinants'!$B$19:$N$41,5,0)/'4. Billing Determinants'!$F$41*$D32,IF($E32="Non-RPP kWh",VLOOKUP(J$5,'4. Billing Determinants'!$B$19:$N$41,6,0)/'4. Billing Determinants'!$G$41*$D32,IF($E32="Distribution Rev.",VLOOKUP(J$5,'4. Billing Determinants'!$B$19:$N$41,8,0)/'4. Billing Determinants'!$I$41*$D32, VLOOKUP(J$5,'4. Billing Determinants'!$B$19:$N$41,3,0)/'4. Billing Determinants'!$D$41*$D32)))))</f>
        <v>0</v>
      </c>
      <c r="K32" s="211">
        <f>IF(K$5="",0,IF($E32="kWh",VLOOKUP(K$5,'4. Billing Determinants'!$B$19:$N$41,4,0)/'4. Billing Determinants'!$E$41*$D32,IF($E32="kW",VLOOKUP(K$5,'4. Billing Determinants'!$B$19:$N$41,5,0)/'4. Billing Determinants'!$F$41*$D32,IF($E32="Non-RPP kWh",VLOOKUP(K$5,'4. Billing Determinants'!$B$19:$N$41,6,0)/'4. Billing Determinants'!$G$41*$D32,IF($E32="Distribution Rev.",VLOOKUP(K$5,'4. Billing Determinants'!$B$19:$N$41,8,0)/'4. Billing Determinants'!$I$41*$D32, VLOOKUP(K$5,'4. Billing Determinants'!$B$19:$N$41,3,0)/'4. Billing Determinants'!$D$41*$D32)))))</f>
        <v>0</v>
      </c>
      <c r="L32" s="211">
        <f>IF(L$5="",0,IF($E32="kWh",VLOOKUP(L$5,'4. Billing Determinants'!$B$19:$N$41,4,0)/'4. Billing Determinants'!$E$41*$D32,IF($E32="kW",VLOOKUP(L$5,'4. Billing Determinants'!$B$19:$N$41,5,0)/'4. Billing Determinants'!$F$41*$D32,IF($E32="Non-RPP kWh",VLOOKUP(L$5,'4. Billing Determinants'!$B$19:$N$41,6,0)/'4. Billing Determinants'!$G$41*$D32,IF($E32="Distribution Rev.",VLOOKUP(L$5,'4. Billing Determinants'!$B$19:$N$41,8,0)/'4. Billing Determinants'!$I$41*$D32, VLOOKUP(L$5,'4. Billing Determinants'!$B$19:$N$41,3,0)/'4. Billing Determinants'!$D$41*$D32)))))</f>
        <v>0</v>
      </c>
      <c r="M32" s="150">
        <f>IF(M$5="",0,IF($E32="kWh",VLOOKUP(M$5,'4. Billing Determinants'!$B$19:$N$41,4,0)/'4. Billing Determinants'!$E$41*$D32,IF($E32="kW",VLOOKUP(M$5,'4. Billing Determinants'!$B$19:$N$41,5,0)/'4. Billing Determinants'!$F$41*$D32,IF($E32="Non-RPP kWh",VLOOKUP(M$5,'4. Billing Determinants'!$B$19:$N$41,6,0)/'4. Billing Determinants'!$G$41*$D32,IF($E32="Distribution Rev.",VLOOKUP(M$5,'4. Billing Determinants'!$B$19:$N$41,8,0)/'4. Billing Determinants'!$I$41*$D32, VLOOKUP(M$5,'4. Billing Determinants'!$B$19:$N$41,3,0)/'4. Billing Determinants'!$D$41*$D32)))))</f>
        <v>0</v>
      </c>
      <c r="N32" s="150">
        <f>IF(N$5="",0,IF($E32="kWh",VLOOKUP(N$5,'4. Billing Determinants'!$B$19:$N$41,4,0)/'4. Billing Determinants'!$E$41*$D32,IF($E32="kW",VLOOKUP(N$5,'4. Billing Determinants'!$B$19:$N$41,5,0)/'4. Billing Determinants'!$F$41*$D32,IF($E32="Non-RPP kWh",VLOOKUP(N$5,'4. Billing Determinants'!$B$19:$N$41,6,0)/'4. Billing Determinants'!$G$41*$D32,IF($E32="Distribution Rev.",VLOOKUP(N$5,'4. Billing Determinants'!$B$19:$N$41,8,0)/'4. Billing Determinants'!$I$41*$D32, VLOOKUP(N$5,'4. Billing Determinants'!$B$19:$N$41,3,0)/'4. Billing Determinants'!$D$41*$D32)))))</f>
        <v>0</v>
      </c>
      <c r="O32" s="150">
        <f>IF(O$5="",0,IF($E32="kWh",VLOOKUP(O$5,'4. Billing Determinants'!$B$19:$N$41,4,0)/'4. Billing Determinants'!$E$41*$D32,IF($E32="kW",VLOOKUP(O$5,'4. Billing Determinants'!$B$19:$N$41,5,0)/'4. Billing Determinants'!$F$41*$D32,IF($E32="Non-RPP kWh",VLOOKUP(O$5,'4. Billing Determinants'!$B$19:$N$41,6,0)/'4. Billing Determinants'!$G$41*$D32,IF($E32="Distribution Rev.",VLOOKUP(O$5,'4. Billing Determinants'!$B$19:$N$41,8,0)/'4. Billing Determinants'!$I$41*$D32, VLOOKUP(O$5,'4. Billing Determinants'!$B$19:$N$41,3,0)/'4. Billing Determinants'!$D$41*$D32)))))</f>
        <v>0</v>
      </c>
      <c r="P32" s="150">
        <f>IF(P$5="",0,IF($E32="kWh",VLOOKUP(P$5,'4. Billing Determinants'!$B$19:$N$41,4,0)/'4. Billing Determinants'!$E$41*$D32,IF($E32="kW",VLOOKUP(P$5,'4. Billing Determinants'!$B$19:$N$41,5,0)/'4. Billing Determinants'!$F$41*$D32,IF($E32="Non-RPP kWh",VLOOKUP(P$5,'4. Billing Determinants'!$B$19:$N$41,6,0)/'4. Billing Determinants'!$G$41*$D32,IF($E32="Distribution Rev.",VLOOKUP(P$5,'4. Billing Determinants'!$B$19:$N$41,8,0)/'4. Billing Determinants'!$I$41*$D32, VLOOKUP(P$5,'4. Billing Determinants'!$B$19:$N$41,3,0)/'4. Billing Determinants'!$D$41*$D32)))))</f>
        <v>0</v>
      </c>
      <c r="Q32" s="150">
        <f>IF(Q$5="",0,IF($E32="kWh",VLOOKUP(Q$5,'4. Billing Determinants'!$B$19:$N$41,4,0)/'4. Billing Determinants'!$E$41*$D32,IF($E32="kW",VLOOKUP(Q$5,'4. Billing Determinants'!$B$19:$N$41,5,0)/'4. Billing Determinants'!$F$41*$D32,IF($E32="Non-RPP kWh",VLOOKUP(Q$5,'4. Billing Determinants'!$B$19:$N$41,6,0)/'4. Billing Determinants'!$G$41*$D32,IF($E32="Distribution Rev.",VLOOKUP(Q$5,'4. Billing Determinants'!$B$19:$N$41,8,0)/'4. Billing Determinants'!$I$41*$D32, VLOOKUP(Q$5,'4. Billing Determinants'!$B$19:$N$41,3,0)/'4. Billing Determinants'!$D$41*$D32)))))</f>
        <v>0</v>
      </c>
      <c r="R32" s="150">
        <f>IF(R$5="",0,IF($E32="kWh",VLOOKUP(R$5,'4. Billing Determinants'!$B$19:$N$41,4,0)/'4. Billing Determinants'!$E$41*$D32,IF($E32="kW",VLOOKUP(R$5,'4. Billing Determinants'!$B$19:$N$41,5,0)/'4. Billing Determinants'!$F$41*$D32,IF($E32="Non-RPP kWh",VLOOKUP(R$5,'4. Billing Determinants'!$B$19:$N$41,6,0)/'4. Billing Determinants'!$G$41*$D32,IF($E32="Distribution Rev.",VLOOKUP(R$5,'4. Billing Determinants'!$B$19:$N$41,8,0)/'4. Billing Determinants'!$I$41*$D32, VLOOKUP(R$5,'4. Billing Determinants'!$B$19:$N$41,3,0)/'4. Billing Determinants'!$D$41*$D32)))))</f>
        <v>0</v>
      </c>
      <c r="S32" s="150">
        <f>IF(S$5="",0,IF($E32="kWh",VLOOKUP(S$5,'4. Billing Determinants'!$B$19:$N$41,4,0)/'4. Billing Determinants'!$E$41*$D32,IF($E32="kW",VLOOKUP(S$5,'4. Billing Determinants'!$B$19:$N$41,5,0)/'4. Billing Determinants'!$F$41*$D32,IF($E32="Non-RPP kWh",VLOOKUP(S$5,'4. Billing Determinants'!$B$19:$N$41,6,0)/'4. Billing Determinants'!$G$41*$D32,IF($E32="Distribution Rev.",VLOOKUP(S$5,'4. Billing Determinants'!$B$19:$N$41,8,0)/'4. Billing Determinants'!$I$41*$D32, VLOOKUP(S$5,'4. Billing Determinants'!$B$19:$N$41,3,0)/'4. Billing Determinants'!$D$41*$D32)))))</f>
        <v>0</v>
      </c>
      <c r="T32" s="150">
        <f>IF(T$5="",0,IF($E32="kWh",VLOOKUP(T$5,'4. Billing Determinants'!$B$19:$N$41,4,0)/'4. Billing Determinants'!$E$41*$D32,IF($E32="kW",VLOOKUP(T$5,'4. Billing Determinants'!$B$19:$N$41,5,0)/'4. Billing Determinants'!$F$41*$D32,IF($E32="Non-RPP kWh",VLOOKUP(T$5,'4. Billing Determinants'!$B$19:$N$41,6,0)/'4. Billing Determinants'!$G$41*$D32,IF($E32="Distribution Rev.",VLOOKUP(T$5,'4. Billing Determinants'!$B$19:$N$41,8,0)/'4. Billing Determinants'!$I$41*$D32, VLOOKUP(T$5,'4. Billing Determinants'!$B$19:$N$41,3,0)/'4. Billing Determinants'!$D$41*$D32)))))</f>
        <v>0</v>
      </c>
      <c r="U32" s="150">
        <f>IF(U$5="",0,IF($E32="kWh",VLOOKUP(U$5,'4. Billing Determinants'!$B$19:$N$41,4,0)/'4. Billing Determinants'!$E$41*$D32,IF($E32="kW",VLOOKUP(U$5,'4. Billing Determinants'!$B$19:$N$41,5,0)/'4. Billing Determinants'!$F$41*$D32,IF($E32="Non-RPP kWh",VLOOKUP(U$5,'4. Billing Determinants'!$B$19:$N$41,6,0)/'4. Billing Determinants'!$G$41*$D32,IF($E32="Distribution Rev.",VLOOKUP(U$5,'4. Billing Determinants'!$B$19:$N$41,8,0)/'4. Billing Determinants'!$I$41*$D32, VLOOKUP(U$5,'4. Billing Determinants'!$B$19:$N$41,3,0)/'4. Billing Determinants'!$D$41*$D32)))))</f>
        <v>0</v>
      </c>
      <c r="V32" s="150">
        <f>IF(V$5="",0,IF($E32="kWh",VLOOKUP(V$5,'4. Billing Determinants'!$B$19:$N$41,4,0)/'4. Billing Determinants'!$E$41*$D32,IF($E32="kW",VLOOKUP(V$5,'4. Billing Determinants'!$B$19:$N$41,5,0)/'4. Billing Determinants'!$F$41*$D32,IF($E32="Non-RPP kWh",VLOOKUP(V$5,'4. Billing Determinants'!$B$19:$N$41,6,0)/'4. Billing Determinants'!$G$41*$D32,IF($E32="Distribution Rev.",VLOOKUP(V$5,'4. Billing Determinants'!$B$19:$N$41,8,0)/'4. Billing Determinants'!$I$41*$D32, VLOOKUP(V$5,'4. Billing Determinants'!$B$19:$N$41,3,0)/'4. Billing Determinants'!$D$41*$D32)))))</f>
        <v>0</v>
      </c>
      <c r="W32" s="150">
        <f>IF(W$5="",0,IF($E32="kWh",VLOOKUP(W$5,'4. Billing Determinants'!$B$19:$N$41,4,0)/'4. Billing Determinants'!$E$41*$D32,IF($E32="kW",VLOOKUP(W$5,'4. Billing Determinants'!$B$19:$N$41,5,0)/'4. Billing Determinants'!$F$41*$D32,IF($E32="Non-RPP kWh",VLOOKUP(W$5,'4. Billing Determinants'!$B$19:$N$41,6,0)/'4. Billing Determinants'!$G$41*$D32,IF($E32="Distribution Rev.",VLOOKUP(W$5,'4. Billing Determinants'!$B$19:$N$41,8,0)/'4. Billing Determinants'!$I$41*$D32, VLOOKUP(W$5,'4. Billing Determinants'!$B$19:$N$41,3,0)/'4. Billing Determinants'!$D$41*$D32)))))</f>
        <v>0</v>
      </c>
      <c r="X32" s="150">
        <f>IF(X$5="",0,IF($E32="kWh",VLOOKUP(X$5,'4. Billing Determinants'!$B$19:$N$41,4,0)/'4. Billing Determinants'!$E$41*$D32,IF($E32="kW",VLOOKUP(X$5,'4. Billing Determinants'!$B$19:$N$41,5,0)/'4. Billing Determinants'!$F$41*$D32,IF($E32="Non-RPP kWh",VLOOKUP(X$5,'4. Billing Determinants'!$B$19:$N$41,6,0)/'4. Billing Determinants'!$G$41*$D32,IF($E32="Distribution Rev.",VLOOKUP(X$5,'4. Billing Determinants'!$B$19:$N$41,8,0)/'4. Billing Determinants'!$I$41*$D32, VLOOKUP(X$5,'4. Billing Determinants'!$B$19:$N$41,3,0)/'4. Billing Determinants'!$D$41*$D32)))))</f>
        <v>0</v>
      </c>
      <c r="Y32" s="150">
        <f>IF(Y$5="",0,IF($E32="kWh",VLOOKUP(Y$5,'4. Billing Determinants'!$B$19:$N$41,4,0)/'4. Billing Determinants'!$E$41*$D32,IF($E32="kW",VLOOKUP(Y$5,'4. Billing Determinants'!$B$19:$N$41,5,0)/'4. Billing Determinants'!$F$41*$D32,IF($E32="Non-RPP kWh",VLOOKUP(Y$5,'4. Billing Determinants'!$B$19:$N$41,6,0)/'4. Billing Determinants'!$G$41*$D32,IF($E32="Distribution Rev.",VLOOKUP(Y$5,'4. Billing Determinants'!$B$19:$N$41,8,0)/'4. Billing Determinants'!$I$41*$D32, VLOOKUP(Y$5,'4. Billing Determinants'!$B$19:$N$41,3,0)/'4. Billing Determinants'!$D$41*$D32)))))</f>
        <v>0</v>
      </c>
    </row>
    <row r="33" spans="1:25" x14ac:dyDescent="0.2">
      <c r="B33" s="152" t="s">
        <v>5</v>
      </c>
      <c r="C33" s="149">
        <v>1548</v>
      </c>
      <c r="D33" s="211">
        <f>'2. 2013 Continuity Schedule'!CF55</f>
        <v>137892.43241999997</v>
      </c>
      <c r="E33" s="212" t="s">
        <v>189</v>
      </c>
      <c r="F33" s="211">
        <f>IF(F$5="",0,IF($E33="kWh",VLOOKUP(F$5,'4. Billing Determinants'!$B$19:$N$41,4,0)/'4. Billing Determinants'!$E$41*$D33,IF($E33="kW",VLOOKUP(F$5,'4. Billing Determinants'!$B$19:$N$41,5,0)/'4. Billing Determinants'!$F$41*$D33,IF($E33="Non-RPP kWh",VLOOKUP(F$5,'4. Billing Determinants'!$B$19:$N$41,6,0)/'4. Billing Determinants'!$G$41*$D33,IF($E33="Distribution Rev.",VLOOKUP(F$5,'4. Billing Determinants'!$B$19:$N$41,8,0)/'4. Billing Determinants'!$I$41*$D33, VLOOKUP(F$5,'4. Billing Determinants'!$B$19:$N$41,3,0)/'4. Billing Determinants'!$D$41*$D33)))))</f>
        <v>123480.11803335026</v>
      </c>
      <c r="G33" s="211">
        <f>IF(G$5="",0,IF($E33="kWh",VLOOKUP(G$5,'4. Billing Determinants'!$B$19:$N$41,4,0)/'4. Billing Determinants'!$E$41*$D33,IF($E33="kW",VLOOKUP(G$5,'4. Billing Determinants'!$B$19:$N$41,5,0)/'4. Billing Determinants'!$F$41*$D33,IF($E33="Non-RPP kWh",VLOOKUP(G$5,'4. Billing Determinants'!$B$19:$N$41,6,0)/'4. Billing Determinants'!$G$41*$D33,IF($E33="Distribution Rev.",VLOOKUP(G$5,'4. Billing Determinants'!$B$19:$N$41,8,0)/'4. Billing Determinants'!$I$41*$D33, VLOOKUP(G$5,'4. Billing Determinants'!$B$19:$N$41,3,0)/'4. Billing Determinants'!$D$41*$D33)))))</f>
        <v>12375.881681815814</v>
      </c>
      <c r="H33" s="211">
        <f>IF(H$5="",0,IF($E33="kWh",VLOOKUP(H$5,'4. Billing Determinants'!$B$19:$N$41,4,0)/'4. Billing Determinants'!$E$41*$D33,IF($E33="kW",VLOOKUP(H$5,'4. Billing Determinants'!$B$19:$N$41,5,0)/'4. Billing Determinants'!$F$41*$D33,IF($E33="Non-RPP kWh",VLOOKUP(H$5,'4. Billing Determinants'!$B$19:$N$41,6,0)/'4. Billing Determinants'!$G$41*$D33,IF($E33="Distribution Rev.",VLOOKUP(H$5,'4. Billing Determinants'!$B$19:$N$41,8,0)/'4. Billing Determinants'!$I$41*$D33, VLOOKUP(H$5,'4. Billing Determinants'!$B$19:$N$41,3,0)/'4. Billing Determinants'!$D$41*$D33)))))</f>
        <v>1410.0502874933959</v>
      </c>
      <c r="I33" s="211">
        <f>IF(I$5="",0,IF($E33="kWh",VLOOKUP(I$5,'4. Billing Determinants'!$B$19:$N$41,4,0)/'4. Billing Determinants'!$E$41*$D33,IF($E33="kW",VLOOKUP(I$5,'4. Billing Determinants'!$B$19:$N$41,5,0)/'4. Billing Determinants'!$F$41*$D33,IF($E33="Non-RPP kWh",VLOOKUP(I$5,'4. Billing Determinants'!$B$19:$N$41,6,0)/'4. Billing Determinants'!$G$41*$D33,IF($E33="Distribution Rev.",VLOOKUP(I$5,'4. Billing Determinants'!$B$19:$N$41,8,0)/'4. Billing Determinants'!$I$41*$D33, VLOOKUP(I$5,'4. Billing Determinants'!$B$19:$N$41,3,0)/'4. Billing Determinants'!$D$41*$D33)))))</f>
        <v>55.187878179780668</v>
      </c>
      <c r="J33" s="211">
        <f>IF(J$5="",0,IF($E33="kWh",VLOOKUP(J$5,'4. Billing Determinants'!$B$19:$N$41,4,0)/'4. Billing Determinants'!$E$41*$D33,IF($E33="kW",VLOOKUP(J$5,'4. Billing Determinants'!$B$19:$N$41,5,0)/'4. Billing Determinants'!$F$41*$D33,IF($E33="Non-RPP kWh",VLOOKUP(J$5,'4. Billing Determinants'!$B$19:$N$41,6,0)/'4. Billing Determinants'!$G$41*$D33,IF($E33="Distribution Rev.",VLOOKUP(J$5,'4. Billing Determinants'!$B$19:$N$41,8,0)/'4. Billing Determinants'!$I$41*$D33, VLOOKUP(J$5,'4. Billing Determinants'!$B$19:$N$41,3,0)/'4. Billing Determinants'!$D$41*$D33)))))</f>
        <v>154.52605890338586</v>
      </c>
      <c r="K33" s="211">
        <f>IF(K$5="",0,IF($E33="kWh",VLOOKUP(K$5,'4. Billing Determinants'!$B$19:$N$41,4,0)/'4. Billing Determinants'!$E$41*$D33,IF($E33="kW",VLOOKUP(K$5,'4. Billing Determinants'!$B$19:$N$41,5,0)/'4. Billing Determinants'!$F$41*$D33,IF($E33="Non-RPP kWh",VLOOKUP(K$5,'4. Billing Determinants'!$B$19:$N$41,6,0)/'4. Billing Determinants'!$G$41*$D33,IF($E33="Distribution Rev.",VLOOKUP(K$5,'4. Billing Determinants'!$B$19:$N$41,8,0)/'4. Billing Determinants'!$I$41*$D33, VLOOKUP(K$5,'4. Billing Determinants'!$B$19:$N$41,3,0)/'4. Billing Determinants'!$D$41*$D33)))))</f>
        <v>408.39029853037692</v>
      </c>
      <c r="L33" s="211">
        <f>IF(L$5="",0,IF($E33="kWh",VLOOKUP(L$5,'4. Billing Determinants'!$B$19:$N$41,4,0)/'4. Billing Determinants'!$E$41*$D33,IF($E33="kW",VLOOKUP(L$5,'4. Billing Determinants'!$B$19:$N$41,5,0)/'4. Billing Determinants'!$F$41*$D33,IF($E33="Non-RPP kWh",VLOOKUP(L$5,'4. Billing Determinants'!$B$19:$N$41,6,0)/'4. Billing Determinants'!$G$41*$D33,IF($E33="Distribution Rev.",VLOOKUP(L$5,'4. Billing Determinants'!$B$19:$N$41,8,0)/'4. Billing Determinants'!$I$41*$D33, VLOOKUP(L$5,'4. Billing Determinants'!$B$19:$N$41,3,0)/'4. Billing Determinants'!$D$41*$D33)))))</f>
        <v>8.2781817269670999</v>
      </c>
      <c r="M33" s="150">
        <f>IF(M$5="",0,IF($E33="kWh",VLOOKUP(M$5,'4. Billing Determinants'!$B$19:$N$41,4,0)/'4. Billing Determinants'!$E$41*$D33,IF($E33="kW",VLOOKUP(M$5,'4. Billing Determinants'!$B$19:$N$41,5,0)/'4. Billing Determinants'!$F$41*$D33,IF($E33="Non-RPP kWh",VLOOKUP(M$5,'4. Billing Determinants'!$B$19:$N$41,6,0)/'4. Billing Determinants'!$G$41*$D33,IF($E33="Distribution Rev.",VLOOKUP(M$5,'4. Billing Determinants'!$B$19:$N$41,8,0)/'4. Billing Determinants'!$I$41*$D33, VLOOKUP(M$5,'4. Billing Determinants'!$B$19:$N$41,3,0)/'4. Billing Determinants'!$D$41*$D33)))))</f>
        <v>0</v>
      </c>
      <c r="N33" s="150">
        <f>IF(N$5="",0,IF($E33="kWh",VLOOKUP(N$5,'4. Billing Determinants'!$B$19:$N$41,4,0)/'4. Billing Determinants'!$E$41*$D33,IF($E33="kW",VLOOKUP(N$5,'4. Billing Determinants'!$B$19:$N$41,5,0)/'4. Billing Determinants'!$F$41*$D33,IF($E33="Non-RPP kWh",VLOOKUP(N$5,'4. Billing Determinants'!$B$19:$N$41,6,0)/'4. Billing Determinants'!$G$41*$D33,IF($E33="Distribution Rev.",VLOOKUP(N$5,'4. Billing Determinants'!$B$19:$N$41,8,0)/'4. Billing Determinants'!$I$41*$D33, VLOOKUP(N$5,'4. Billing Determinants'!$B$19:$N$41,3,0)/'4. Billing Determinants'!$D$41*$D33)))))</f>
        <v>0</v>
      </c>
      <c r="O33" s="150">
        <f>IF(O$5="",0,IF($E33="kWh",VLOOKUP(O$5,'4. Billing Determinants'!$B$19:$N$41,4,0)/'4. Billing Determinants'!$E$41*$D33,IF($E33="kW",VLOOKUP(O$5,'4. Billing Determinants'!$B$19:$N$41,5,0)/'4. Billing Determinants'!$F$41*$D33,IF($E33="Non-RPP kWh",VLOOKUP(O$5,'4. Billing Determinants'!$B$19:$N$41,6,0)/'4. Billing Determinants'!$G$41*$D33,IF($E33="Distribution Rev.",VLOOKUP(O$5,'4. Billing Determinants'!$B$19:$N$41,8,0)/'4. Billing Determinants'!$I$41*$D33, VLOOKUP(O$5,'4. Billing Determinants'!$B$19:$N$41,3,0)/'4. Billing Determinants'!$D$41*$D33)))))</f>
        <v>0</v>
      </c>
      <c r="P33" s="150">
        <f>IF(P$5="",0,IF($E33="kWh",VLOOKUP(P$5,'4. Billing Determinants'!$B$19:$N$41,4,0)/'4. Billing Determinants'!$E$41*$D33,IF($E33="kW",VLOOKUP(P$5,'4. Billing Determinants'!$B$19:$N$41,5,0)/'4. Billing Determinants'!$F$41*$D33,IF($E33="Non-RPP kWh",VLOOKUP(P$5,'4. Billing Determinants'!$B$19:$N$41,6,0)/'4. Billing Determinants'!$G$41*$D33,IF($E33="Distribution Rev.",VLOOKUP(P$5,'4. Billing Determinants'!$B$19:$N$41,8,0)/'4. Billing Determinants'!$I$41*$D33, VLOOKUP(P$5,'4. Billing Determinants'!$B$19:$N$41,3,0)/'4. Billing Determinants'!$D$41*$D33)))))</f>
        <v>0</v>
      </c>
      <c r="Q33" s="150">
        <f>IF(Q$5="",0,IF($E33="kWh",VLOOKUP(Q$5,'4. Billing Determinants'!$B$19:$N$41,4,0)/'4. Billing Determinants'!$E$41*$D33,IF($E33="kW",VLOOKUP(Q$5,'4. Billing Determinants'!$B$19:$N$41,5,0)/'4. Billing Determinants'!$F$41*$D33,IF($E33="Non-RPP kWh",VLOOKUP(Q$5,'4. Billing Determinants'!$B$19:$N$41,6,0)/'4. Billing Determinants'!$G$41*$D33,IF($E33="Distribution Rev.",VLOOKUP(Q$5,'4. Billing Determinants'!$B$19:$N$41,8,0)/'4. Billing Determinants'!$I$41*$D33, VLOOKUP(Q$5,'4. Billing Determinants'!$B$19:$N$41,3,0)/'4. Billing Determinants'!$D$41*$D33)))))</f>
        <v>0</v>
      </c>
      <c r="R33" s="150">
        <f>IF(R$5="",0,IF($E33="kWh",VLOOKUP(R$5,'4. Billing Determinants'!$B$19:$N$41,4,0)/'4. Billing Determinants'!$E$41*$D33,IF($E33="kW",VLOOKUP(R$5,'4. Billing Determinants'!$B$19:$N$41,5,0)/'4. Billing Determinants'!$F$41*$D33,IF($E33="Non-RPP kWh",VLOOKUP(R$5,'4. Billing Determinants'!$B$19:$N$41,6,0)/'4. Billing Determinants'!$G$41*$D33,IF($E33="Distribution Rev.",VLOOKUP(R$5,'4. Billing Determinants'!$B$19:$N$41,8,0)/'4. Billing Determinants'!$I$41*$D33, VLOOKUP(R$5,'4. Billing Determinants'!$B$19:$N$41,3,0)/'4. Billing Determinants'!$D$41*$D33)))))</f>
        <v>0</v>
      </c>
      <c r="S33" s="150">
        <f>IF(S$5="",0,IF($E33="kWh",VLOOKUP(S$5,'4. Billing Determinants'!$B$19:$N$41,4,0)/'4. Billing Determinants'!$E$41*$D33,IF($E33="kW",VLOOKUP(S$5,'4. Billing Determinants'!$B$19:$N$41,5,0)/'4. Billing Determinants'!$F$41*$D33,IF($E33="Non-RPP kWh",VLOOKUP(S$5,'4. Billing Determinants'!$B$19:$N$41,6,0)/'4. Billing Determinants'!$G$41*$D33,IF($E33="Distribution Rev.",VLOOKUP(S$5,'4. Billing Determinants'!$B$19:$N$41,8,0)/'4. Billing Determinants'!$I$41*$D33, VLOOKUP(S$5,'4. Billing Determinants'!$B$19:$N$41,3,0)/'4. Billing Determinants'!$D$41*$D33)))))</f>
        <v>0</v>
      </c>
      <c r="T33" s="150">
        <f>IF(T$5="",0,IF($E33="kWh",VLOOKUP(T$5,'4. Billing Determinants'!$B$19:$N$41,4,0)/'4. Billing Determinants'!$E$41*$D33,IF($E33="kW",VLOOKUP(T$5,'4. Billing Determinants'!$B$19:$N$41,5,0)/'4. Billing Determinants'!$F$41*$D33,IF($E33="Non-RPP kWh",VLOOKUP(T$5,'4. Billing Determinants'!$B$19:$N$41,6,0)/'4. Billing Determinants'!$G$41*$D33,IF($E33="Distribution Rev.",VLOOKUP(T$5,'4. Billing Determinants'!$B$19:$N$41,8,0)/'4. Billing Determinants'!$I$41*$D33, VLOOKUP(T$5,'4. Billing Determinants'!$B$19:$N$41,3,0)/'4. Billing Determinants'!$D$41*$D33)))))</f>
        <v>0</v>
      </c>
      <c r="U33" s="150">
        <f>IF(U$5="",0,IF($E33="kWh",VLOOKUP(U$5,'4. Billing Determinants'!$B$19:$N$41,4,0)/'4. Billing Determinants'!$E$41*$D33,IF($E33="kW",VLOOKUP(U$5,'4. Billing Determinants'!$B$19:$N$41,5,0)/'4. Billing Determinants'!$F$41*$D33,IF($E33="Non-RPP kWh",VLOOKUP(U$5,'4. Billing Determinants'!$B$19:$N$41,6,0)/'4. Billing Determinants'!$G$41*$D33,IF($E33="Distribution Rev.",VLOOKUP(U$5,'4. Billing Determinants'!$B$19:$N$41,8,0)/'4. Billing Determinants'!$I$41*$D33, VLOOKUP(U$5,'4. Billing Determinants'!$B$19:$N$41,3,0)/'4. Billing Determinants'!$D$41*$D33)))))</f>
        <v>0</v>
      </c>
      <c r="V33" s="150">
        <f>IF(V$5="",0,IF($E33="kWh",VLOOKUP(V$5,'4. Billing Determinants'!$B$19:$N$41,4,0)/'4. Billing Determinants'!$E$41*$D33,IF($E33="kW",VLOOKUP(V$5,'4. Billing Determinants'!$B$19:$N$41,5,0)/'4. Billing Determinants'!$F$41*$D33,IF($E33="Non-RPP kWh",VLOOKUP(V$5,'4. Billing Determinants'!$B$19:$N$41,6,0)/'4. Billing Determinants'!$G$41*$D33,IF($E33="Distribution Rev.",VLOOKUP(V$5,'4. Billing Determinants'!$B$19:$N$41,8,0)/'4. Billing Determinants'!$I$41*$D33, VLOOKUP(V$5,'4. Billing Determinants'!$B$19:$N$41,3,0)/'4. Billing Determinants'!$D$41*$D33)))))</f>
        <v>0</v>
      </c>
      <c r="W33" s="150">
        <f>IF(W$5="",0,IF($E33="kWh",VLOOKUP(W$5,'4. Billing Determinants'!$B$19:$N$41,4,0)/'4. Billing Determinants'!$E$41*$D33,IF($E33="kW",VLOOKUP(W$5,'4. Billing Determinants'!$B$19:$N$41,5,0)/'4. Billing Determinants'!$F$41*$D33,IF($E33="Non-RPP kWh",VLOOKUP(W$5,'4. Billing Determinants'!$B$19:$N$41,6,0)/'4. Billing Determinants'!$G$41*$D33,IF($E33="Distribution Rev.",VLOOKUP(W$5,'4. Billing Determinants'!$B$19:$N$41,8,0)/'4. Billing Determinants'!$I$41*$D33, VLOOKUP(W$5,'4. Billing Determinants'!$B$19:$N$41,3,0)/'4. Billing Determinants'!$D$41*$D33)))))</f>
        <v>0</v>
      </c>
      <c r="X33" s="150">
        <f>IF(X$5="",0,IF($E33="kWh",VLOOKUP(X$5,'4. Billing Determinants'!$B$19:$N$41,4,0)/'4. Billing Determinants'!$E$41*$D33,IF($E33="kW",VLOOKUP(X$5,'4. Billing Determinants'!$B$19:$N$41,5,0)/'4. Billing Determinants'!$F$41*$D33,IF($E33="Non-RPP kWh",VLOOKUP(X$5,'4. Billing Determinants'!$B$19:$N$41,6,0)/'4. Billing Determinants'!$G$41*$D33,IF($E33="Distribution Rev.",VLOOKUP(X$5,'4. Billing Determinants'!$B$19:$N$41,8,0)/'4. Billing Determinants'!$I$41*$D33, VLOOKUP(X$5,'4. Billing Determinants'!$B$19:$N$41,3,0)/'4. Billing Determinants'!$D$41*$D33)))))</f>
        <v>0</v>
      </c>
      <c r="Y33" s="150">
        <f>IF(Y$5="",0,IF($E33="kWh",VLOOKUP(Y$5,'4. Billing Determinants'!$B$19:$N$41,4,0)/'4. Billing Determinants'!$E$41*$D33,IF($E33="kW",VLOOKUP(Y$5,'4. Billing Determinants'!$B$19:$N$41,5,0)/'4. Billing Determinants'!$F$41*$D33,IF($E33="Non-RPP kWh",VLOOKUP(Y$5,'4. Billing Determinants'!$B$19:$N$41,6,0)/'4. Billing Determinants'!$G$41*$D33,IF($E33="Distribution Rev.",VLOOKUP(Y$5,'4. Billing Determinants'!$B$19:$N$41,8,0)/'4. Billing Determinants'!$I$41*$D33, VLOOKUP(Y$5,'4. Billing Determinants'!$B$19:$N$41,3,0)/'4. Billing Determinants'!$D$41*$D33)))))</f>
        <v>0</v>
      </c>
    </row>
    <row r="34" spans="1:25" hidden="1" x14ac:dyDescent="0.2">
      <c r="B34" s="152" t="s">
        <v>66</v>
      </c>
      <c r="C34" s="149">
        <v>1567</v>
      </c>
      <c r="D34" s="211">
        <f>'2. 2013 Continuity Schedule'!CF56</f>
        <v>0</v>
      </c>
      <c r="E34" s="219"/>
      <c r="F34" s="211">
        <f>IF(F$5="",0,IF($E34="kWh",VLOOKUP(F$5,'4. Billing Determinants'!$B$19:$N$41,4,0)/'4. Billing Determinants'!$E$41*$D34,IF($E34="kW",VLOOKUP(F$5,'4. Billing Determinants'!$B$19:$N$41,5,0)/'4. Billing Determinants'!$F$41*$D34,IF($E34="Non-RPP kWh",VLOOKUP(F$5,'4. Billing Determinants'!$B$19:$N$41,6,0)/'4. Billing Determinants'!$G$41*$D34,IF($E34="Distribution Rev.",VLOOKUP(F$5,'4. Billing Determinants'!$B$19:$N$41,8,0)/'4. Billing Determinants'!$I$41*$D34, VLOOKUP(F$5,'4. Billing Determinants'!$B$19:$N$41,3,0)/'4. Billing Determinants'!$D$41*$D34)))))</f>
        <v>0</v>
      </c>
      <c r="G34" s="211">
        <f>IF(G$5="",0,IF($E34="kWh",VLOOKUP(G$5,'4. Billing Determinants'!$B$19:$N$41,4,0)/'4. Billing Determinants'!$E$41*$D34,IF($E34="kW",VLOOKUP(G$5,'4. Billing Determinants'!$B$19:$N$41,5,0)/'4. Billing Determinants'!$F$41*$D34,IF($E34="Non-RPP kWh",VLOOKUP(G$5,'4. Billing Determinants'!$B$19:$N$41,6,0)/'4. Billing Determinants'!$G$41*$D34,IF($E34="Distribution Rev.",VLOOKUP(G$5,'4. Billing Determinants'!$B$19:$N$41,8,0)/'4. Billing Determinants'!$I$41*$D34, VLOOKUP(G$5,'4. Billing Determinants'!$B$19:$N$41,3,0)/'4. Billing Determinants'!$D$41*$D34)))))</f>
        <v>0</v>
      </c>
      <c r="H34" s="211">
        <f>IF(H$5="",0,IF($E34="kWh",VLOOKUP(H$5,'4. Billing Determinants'!$B$19:$N$41,4,0)/'4. Billing Determinants'!$E$41*$D34,IF($E34="kW",VLOOKUP(H$5,'4. Billing Determinants'!$B$19:$N$41,5,0)/'4. Billing Determinants'!$F$41*$D34,IF($E34="Non-RPP kWh",VLOOKUP(H$5,'4. Billing Determinants'!$B$19:$N$41,6,0)/'4. Billing Determinants'!$G$41*$D34,IF($E34="Distribution Rev.",VLOOKUP(H$5,'4. Billing Determinants'!$B$19:$N$41,8,0)/'4. Billing Determinants'!$I$41*$D34, VLOOKUP(H$5,'4. Billing Determinants'!$B$19:$N$41,3,0)/'4. Billing Determinants'!$D$41*$D34)))))</f>
        <v>0</v>
      </c>
      <c r="I34" s="211">
        <f>IF(I$5="",0,IF($E34="kWh",VLOOKUP(I$5,'4. Billing Determinants'!$B$19:$N$41,4,0)/'4. Billing Determinants'!$E$41*$D34,IF($E34="kW",VLOOKUP(I$5,'4. Billing Determinants'!$B$19:$N$41,5,0)/'4. Billing Determinants'!$F$41*$D34,IF($E34="Non-RPP kWh",VLOOKUP(I$5,'4. Billing Determinants'!$B$19:$N$41,6,0)/'4. Billing Determinants'!$G$41*$D34,IF($E34="Distribution Rev.",VLOOKUP(I$5,'4. Billing Determinants'!$B$19:$N$41,8,0)/'4. Billing Determinants'!$I$41*$D34, VLOOKUP(I$5,'4. Billing Determinants'!$B$19:$N$41,3,0)/'4. Billing Determinants'!$D$41*$D34)))))</f>
        <v>0</v>
      </c>
      <c r="J34" s="211">
        <f>IF(J$5="",0,IF($E34="kWh",VLOOKUP(J$5,'4. Billing Determinants'!$B$19:$N$41,4,0)/'4. Billing Determinants'!$E$41*$D34,IF($E34="kW",VLOOKUP(J$5,'4. Billing Determinants'!$B$19:$N$41,5,0)/'4. Billing Determinants'!$F$41*$D34,IF($E34="Non-RPP kWh",VLOOKUP(J$5,'4. Billing Determinants'!$B$19:$N$41,6,0)/'4. Billing Determinants'!$G$41*$D34,IF($E34="Distribution Rev.",VLOOKUP(J$5,'4. Billing Determinants'!$B$19:$N$41,8,0)/'4. Billing Determinants'!$I$41*$D34, VLOOKUP(J$5,'4. Billing Determinants'!$B$19:$N$41,3,0)/'4. Billing Determinants'!$D$41*$D34)))))</f>
        <v>0</v>
      </c>
      <c r="K34" s="211">
        <f>IF(K$5="",0,IF($E34="kWh",VLOOKUP(K$5,'4. Billing Determinants'!$B$19:$N$41,4,0)/'4. Billing Determinants'!$E$41*$D34,IF($E34="kW",VLOOKUP(K$5,'4. Billing Determinants'!$B$19:$N$41,5,0)/'4. Billing Determinants'!$F$41*$D34,IF($E34="Non-RPP kWh",VLOOKUP(K$5,'4. Billing Determinants'!$B$19:$N$41,6,0)/'4. Billing Determinants'!$G$41*$D34,IF($E34="Distribution Rev.",VLOOKUP(K$5,'4. Billing Determinants'!$B$19:$N$41,8,0)/'4. Billing Determinants'!$I$41*$D34, VLOOKUP(K$5,'4. Billing Determinants'!$B$19:$N$41,3,0)/'4. Billing Determinants'!$D$41*$D34)))))</f>
        <v>0</v>
      </c>
      <c r="L34" s="211">
        <f>IF(L$5="",0,IF($E34="kWh",VLOOKUP(L$5,'4. Billing Determinants'!$B$19:$N$41,4,0)/'4. Billing Determinants'!$E$41*$D34,IF($E34="kW",VLOOKUP(L$5,'4. Billing Determinants'!$B$19:$N$41,5,0)/'4. Billing Determinants'!$F$41*$D34,IF($E34="Non-RPP kWh",VLOOKUP(L$5,'4. Billing Determinants'!$B$19:$N$41,6,0)/'4. Billing Determinants'!$G$41*$D34,IF($E34="Distribution Rev.",VLOOKUP(L$5,'4. Billing Determinants'!$B$19:$N$41,8,0)/'4. Billing Determinants'!$I$41*$D34, VLOOKUP(L$5,'4. Billing Determinants'!$B$19:$N$41,3,0)/'4. Billing Determinants'!$D$41*$D34)))))</f>
        <v>0</v>
      </c>
      <c r="M34" s="150">
        <f>IF(M$5="",0,IF($E34="kWh",VLOOKUP(M$5,'4. Billing Determinants'!$B$19:$N$41,4,0)/'4. Billing Determinants'!$E$41*$D34,IF($E34="kW",VLOOKUP(M$5,'4. Billing Determinants'!$B$19:$N$41,5,0)/'4. Billing Determinants'!$F$41*$D34,IF($E34="Non-RPP kWh",VLOOKUP(M$5,'4. Billing Determinants'!$B$19:$N$41,6,0)/'4. Billing Determinants'!$G$41*$D34,IF($E34="Distribution Rev.",VLOOKUP(M$5,'4. Billing Determinants'!$B$19:$N$41,8,0)/'4. Billing Determinants'!$I$41*$D34, VLOOKUP(M$5,'4. Billing Determinants'!$B$19:$N$41,3,0)/'4. Billing Determinants'!$D$41*$D34)))))</f>
        <v>0</v>
      </c>
      <c r="N34" s="150">
        <f>IF(N$5="",0,IF($E34="kWh",VLOOKUP(N$5,'4. Billing Determinants'!$B$19:$N$41,4,0)/'4. Billing Determinants'!$E$41*$D34,IF($E34="kW",VLOOKUP(N$5,'4. Billing Determinants'!$B$19:$N$41,5,0)/'4. Billing Determinants'!$F$41*$D34,IF($E34="Non-RPP kWh",VLOOKUP(N$5,'4. Billing Determinants'!$B$19:$N$41,6,0)/'4. Billing Determinants'!$G$41*$D34,IF($E34="Distribution Rev.",VLOOKUP(N$5,'4. Billing Determinants'!$B$19:$N$41,8,0)/'4. Billing Determinants'!$I$41*$D34, VLOOKUP(N$5,'4. Billing Determinants'!$B$19:$N$41,3,0)/'4. Billing Determinants'!$D$41*$D34)))))</f>
        <v>0</v>
      </c>
      <c r="O34" s="150">
        <f>IF(O$5="",0,IF($E34="kWh",VLOOKUP(O$5,'4. Billing Determinants'!$B$19:$N$41,4,0)/'4. Billing Determinants'!$E$41*$D34,IF($E34="kW",VLOOKUP(O$5,'4. Billing Determinants'!$B$19:$N$41,5,0)/'4. Billing Determinants'!$F$41*$D34,IF($E34="Non-RPP kWh",VLOOKUP(O$5,'4. Billing Determinants'!$B$19:$N$41,6,0)/'4. Billing Determinants'!$G$41*$D34,IF($E34="Distribution Rev.",VLOOKUP(O$5,'4. Billing Determinants'!$B$19:$N$41,8,0)/'4. Billing Determinants'!$I$41*$D34, VLOOKUP(O$5,'4. Billing Determinants'!$B$19:$N$41,3,0)/'4. Billing Determinants'!$D$41*$D34)))))</f>
        <v>0</v>
      </c>
      <c r="P34" s="150">
        <f>IF(P$5="",0,IF($E34="kWh",VLOOKUP(P$5,'4. Billing Determinants'!$B$19:$N$41,4,0)/'4. Billing Determinants'!$E$41*$D34,IF($E34="kW",VLOOKUP(P$5,'4. Billing Determinants'!$B$19:$N$41,5,0)/'4. Billing Determinants'!$F$41*$D34,IF($E34="Non-RPP kWh",VLOOKUP(P$5,'4. Billing Determinants'!$B$19:$N$41,6,0)/'4. Billing Determinants'!$G$41*$D34,IF($E34="Distribution Rev.",VLOOKUP(P$5,'4. Billing Determinants'!$B$19:$N$41,8,0)/'4. Billing Determinants'!$I$41*$D34, VLOOKUP(P$5,'4. Billing Determinants'!$B$19:$N$41,3,0)/'4. Billing Determinants'!$D$41*$D34)))))</f>
        <v>0</v>
      </c>
      <c r="Q34" s="150">
        <f>IF(Q$5="",0,IF($E34="kWh",VLOOKUP(Q$5,'4. Billing Determinants'!$B$19:$N$41,4,0)/'4. Billing Determinants'!$E$41*$D34,IF($E34="kW",VLOOKUP(Q$5,'4. Billing Determinants'!$B$19:$N$41,5,0)/'4. Billing Determinants'!$F$41*$D34,IF($E34="Non-RPP kWh",VLOOKUP(Q$5,'4. Billing Determinants'!$B$19:$N$41,6,0)/'4. Billing Determinants'!$G$41*$D34,IF($E34="Distribution Rev.",VLOOKUP(Q$5,'4. Billing Determinants'!$B$19:$N$41,8,0)/'4. Billing Determinants'!$I$41*$D34, VLOOKUP(Q$5,'4. Billing Determinants'!$B$19:$N$41,3,0)/'4. Billing Determinants'!$D$41*$D34)))))</f>
        <v>0</v>
      </c>
      <c r="R34" s="150">
        <f>IF(R$5="",0,IF($E34="kWh",VLOOKUP(R$5,'4. Billing Determinants'!$B$19:$N$41,4,0)/'4. Billing Determinants'!$E$41*$D34,IF($E34="kW",VLOOKUP(R$5,'4. Billing Determinants'!$B$19:$N$41,5,0)/'4. Billing Determinants'!$F$41*$D34,IF($E34="Non-RPP kWh",VLOOKUP(R$5,'4. Billing Determinants'!$B$19:$N$41,6,0)/'4. Billing Determinants'!$G$41*$D34,IF($E34="Distribution Rev.",VLOOKUP(R$5,'4. Billing Determinants'!$B$19:$N$41,8,0)/'4. Billing Determinants'!$I$41*$D34, VLOOKUP(R$5,'4. Billing Determinants'!$B$19:$N$41,3,0)/'4. Billing Determinants'!$D$41*$D34)))))</f>
        <v>0</v>
      </c>
      <c r="S34" s="150">
        <f>IF(S$5="",0,IF($E34="kWh",VLOOKUP(S$5,'4. Billing Determinants'!$B$19:$N$41,4,0)/'4. Billing Determinants'!$E$41*$D34,IF($E34="kW",VLOOKUP(S$5,'4. Billing Determinants'!$B$19:$N$41,5,0)/'4. Billing Determinants'!$F$41*$D34,IF($E34="Non-RPP kWh",VLOOKUP(S$5,'4. Billing Determinants'!$B$19:$N$41,6,0)/'4. Billing Determinants'!$G$41*$D34,IF($E34="Distribution Rev.",VLOOKUP(S$5,'4. Billing Determinants'!$B$19:$N$41,8,0)/'4. Billing Determinants'!$I$41*$D34, VLOOKUP(S$5,'4. Billing Determinants'!$B$19:$N$41,3,0)/'4. Billing Determinants'!$D$41*$D34)))))</f>
        <v>0</v>
      </c>
      <c r="T34" s="150">
        <f>IF(T$5="",0,IF($E34="kWh",VLOOKUP(T$5,'4. Billing Determinants'!$B$19:$N$41,4,0)/'4. Billing Determinants'!$E$41*$D34,IF($E34="kW",VLOOKUP(T$5,'4. Billing Determinants'!$B$19:$N$41,5,0)/'4. Billing Determinants'!$F$41*$D34,IF($E34="Non-RPP kWh",VLOOKUP(T$5,'4. Billing Determinants'!$B$19:$N$41,6,0)/'4. Billing Determinants'!$G$41*$D34,IF($E34="Distribution Rev.",VLOOKUP(T$5,'4. Billing Determinants'!$B$19:$N$41,8,0)/'4. Billing Determinants'!$I$41*$D34, VLOOKUP(T$5,'4. Billing Determinants'!$B$19:$N$41,3,0)/'4. Billing Determinants'!$D$41*$D34)))))</f>
        <v>0</v>
      </c>
      <c r="U34" s="150">
        <f>IF(U$5="",0,IF($E34="kWh",VLOOKUP(U$5,'4. Billing Determinants'!$B$19:$N$41,4,0)/'4. Billing Determinants'!$E$41*$D34,IF($E34="kW",VLOOKUP(U$5,'4. Billing Determinants'!$B$19:$N$41,5,0)/'4. Billing Determinants'!$F$41*$D34,IF($E34="Non-RPP kWh",VLOOKUP(U$5,'4. Billing Determinants'!$B$19:$N$41,6,0)/'4. Billing Determinants'!$G$41*$D34,IF($E34="Distribution Rev.",VLOOKUP(U$5,'4. Billing Determinants'!$B$19:$N$41,8,0)/'4. Billing Determinants'!$I$41*$D34, VLOOKUP(U$5,'4. Billing Determinants'!$B$19:$N$41,3,0)/'4. Billing Determinants'!$D$41*$D34)))))</f>
        <v>0</v>
      </c>
      <c r="V34" s="150">
        <f>IF(V$5="",0,IF($E34="kWh",VLOOKUP(V$5,'4. Billing Determinants'!$B$19:$N$41,4,0)/'4. Billing Determinants'!$E$41*$D34,IF($E34="kW",VLOOKUP(V$5,'4. Billing Determinants'!$B$19:$N$41,5,0)/'4. Billing Determinants'!$F$41*$D34,IF($E34="Non-RPP kWh",VLOOKUP(V$5,'4. Billing Determinants'!$B$19:$N$41,6,0)/'4. Billing Determinants'!$G$41*$D34,IF($E34="Distribution Rev.",VLOOKUP(V$5,'4. Billing Determinants'!$B$19:$N$41,8,0)/'4. Billing Determinants'!$I$41*$D34, VLOOKUP(V$5,'4. Billing Determinants'!$B$19:$N$41,3,0)/'4. Billing Determinants'!$D$41*$D34)))))</f>
        <v>0</v>
      </c>
      <c r="W34" s="150">
        <f>IF(W$5="",0,IF($E34="kWh",VLOOKUP(W$5,'4. Billing Determinants'!$B$19:$N$41,4,0)/'4. Billing Determinants'!$E$41*$D34,IF($E34="kW",VLOOKUP(W$5,'4. Billing Determinants'!$B$19:$N$41,5,0)/'4. Billing Determinants'!$F$41*$D34,IF($E34="Non-RPP kWh",VLOOKUP(W$5,'4. Billing Determinants'!$B$19:$N$41,6,0)/'4. Billing Determinants'!$G$41*$D34,IF($E34="Distribution Rev.",VLOOKUP(W$5,'4. Billing Determinants'!$B$19:$N$41,8,0)/'4. Billing Determinants'!$I$41*$D34, VLOOKUP(W$5,'4. Billing Determinants'!$B$19:$N$41,3,0)/'4. Billing Determinants'!$D$41*$D34)))))</f>
        <v>0</v>
      </c>
      <c r="X34" s="150">
        <f>IF(X$5="",0,IF($E34="kWh",VLOOKUP(X$5,'4. Billing Determinants'!$B$19:$N$41,4,0)/'4. Billing Determinants'!$E$41*$D34,IF($E34="kW",VLOOKUP(X$5,'4. Billing Determinants'!$B$19:$N$41,5,0)/'4. Billing Determinants'!$F$41*$D34,IF($E34="Non-RPP kWh",VLOOKUP(X$5,'4. Billing Determinants'!$B$19:$N$41,6,0)/'4. Billing Determinants'!$G$41*$D34,IF($E34="Distribution Rev.",VLOOKUP(X$5,'4. Billing Determinants'!$B$19:$N$41,8,0)/'4. Billing Determinants'!$I$41*$D34, VLOOKUP(X$5,'4. Billing Determinants'!$B$19:$N$41,3,0)/'4. Billing Determinants'!$D$41*$D34)))))</f>
        <v>0</v>
      </c>
      <c r="Y34" s="150">
        <f>IF(Y$5="",0,IF($E34="kWh",VLOOKUP(Y$5,'4. Billing Determinants'!$B$19:$N$41,4,0)/'4. Billing Determinants'!$E$41*$D34,IF($E34="kW",VLOOKUP(Y$5,'4. Billing Determinants'!$B$19:$N$41,5,0)/'4. Billing Determinants'!$F$41*$D34,IF($E34="Non-RPP kWh",VLOOKUP(Y$5,'4. Billing Determinants'!$B$19:$N$41,6,0)/'4. Billing Determinants'!$G$41*$D34,IF($E34="Distribution Rev.",VLOOKUP(Y$5,'4. Billing Determinants'!$B$19:$N$41,8,0)/'4. Billing Determinants'!$I$41*$D34, VLOOKUP(Y$5,'4. Billing Determinants'!$B$19:$N$41,3,0)/'4. Billing Determinants'!$D$41*$D34)))))</f>
        <v>0</v>
      </c>
    </row>
    <row r="35" spans="1:25" hidden="1" x14ac:dyDescent="0.2">
      <c r="B35" s="152" t="s">
        <v>18</v>
      </c>
      <c r="C35" s="149">
        <v>1572</v>
      </c>
      <c r="D35" s="211">
        <f>'2. 2013 Continuity Schedule'!CF57</f>
        <v>0</v>
      </c>
      <c r="E35" s="219"/>
      <c r="F35" s="211">
        <f>IF(F$5="",0,IF($E35="kWh",VLOOKUP(F$5,'4. Billing Determinants'!$B$19:$N$41,4,0)/'4. Billing Determinants'!$E$41*$D35,IF($E35="kW",VLOOKUP(F$5,'4. Billing Determinants'!$B$19:$N$41,5,0)/'4. Billing Determinants'!$F$41*$D35,IF($E35="Non-RPP kWh",VLOOKUP(F$5,'4. Billing Determinants'!$B$19:$N$41,6,0)/'4. Billing Determinants'!$G$41*$D35,IF($E35="Distribution Rev.",VLOOKUP(F$5,'4. Billing Determinants'!$B$19:$N$41,8,0)/'4. Billing Determinants'!$I$41*$D35, VLOOKUP(F$5,'4. Billing Determinants'!$B$19:$N$41,3,0)/'4. Billing Determinants'!$D$41*$D35)))))</f>
        <v>0</v>
      </c>
      <c r="G35" s="211">
        <f>IF(G$5="",0,IF($E35="kWh",VLOOKUP(G$5,'4. Billing Determinants'!$B$19:$N$41,4,0)/'4. Billing Determinants'!$E$41*$D35,IF($E35="kW",VLOOKUP(G$5,'4. Billing Determinants'!$B$19:$N$41,5,0)/'4. Billing Determinants'!$F$41*$D35,IF($E35="Non-RPP kWh",VLOOKUP(G$5,'4. Billing Determinants'!$B$19:$N$41,6,0)/'4. Billing Determinants'!$G$41*$D35,IF($E35="Distribution Rev.",VLOOKUP(G$5,'4. Billing Determinants'!$B$19:$N$41,8,0)/'4. Billing Determinants'!$I$41*$D35, VLOOKUP(G$5,'4. Billing Determinants'!$B$19:$N$41,3,0)/'4. Billing Determinants'!$D$41*$D35)))))</f>
        <v>0</v>
      </c>
      <c r="H35" s="211">
        <f>IF(H$5="",0,IF($E35="kWh",VLOOKUP(H$5,'4. Billing Determinants'!$B$19:$N$41,4,0)/'4. Billing Determinants'!$E$41*$D35,IF($E35="kW",VLOOKUP(H$5,'4. Billing Determinants'!$B$19:$N$41,5,0)/'4. Billing Determinants'!$F$41*$D35,IF($E35="Non-RPP kWh",VLOOKUP(H$5,'4. Billing Determinants'!$B$19:$N$41,6,0)/'4. Billing Determinants'!$G$41*$D35,IF($E35="Distribution Rev.",VLOOKUP(H$5,'4. Billing Determinants'!$B$19:$N$41,8,0)/'4. Billing Determinants'!$I$41*$D35, VLOOKUP(H$5,'4. Billing Determinants'!$B$19:$N$41,3,0)/'4. Billing Determinants'!$D$41*$D35)))))</f>
        <v>0</v>
      </c>
      <c r="I35" s="211">
        <f>IF(I$5="",0,IF($E35="kWh",VLOOKUP(I$5,'4. Billing Determinants'!$B$19:$N$41,4,0)/'4. Billing Determinants'!$E$41*$D35,IF($E35="kW",VLOOKUP(I$5,'4. Billing Determinants'!$B$19:$N$41,5,0)/'4. Billing Determinants'!$F$41*$D35,IF($E35="Non-RPP kWh",VLOOKUP(I$5,'4. Billing Determinants'!$B$19:$N$41,6,0)/'4. Billing Determinants'!$G$41*$D35,IF($E35="Distribution Rev.",VLOOKUP(I$5,'4. Billing Determinants'!$B$19:$N$41,8,0)/'4. Billing Determinants'!$I$41*$D35, VLOOKUP(I$5,'4. Billing Determinants'!$B$19:$N$41,3,0)/'4. Billing Determinants'!$D$41*$D35)))))</f>
        <v>0</v>
      </c>
      <c r="J35" s="211">
        <f>IF(J$5="",0,IF($E35="kWh",VLOOKUP(J$5,'4. Billing Determinants'!$B$19:$N$41,4,0)/'4. Billing Determinants'!$E$41*$D35,IF($E35="kW",VLOOKUP(J$5,'4. Billing Determinants'!$B$19:$N$41,5,0)/'4. Billing Determinants'!$F$41*$D35,IF($E35="Non-RPP kWh",VLOOKUP(J$5,'4. Billing Determinants'!$B$19:$N$41,6,0)/'4. Billing Determinants'!$G$41*$D35,IF($E35="Distribution Rev.",VLOOKUP(J$5,'4. Billing Determinants'!$B$19:$N$41,8,0)/'4. Billing Determinants'!$I$41*$D35, VLOOKUP(J$5,'4. Billing Determinants'!$B$19:$N$41,3,0)/'4. Billing Determinants'!$D$41*$D35)))))</f>
        <v>0</v>
      </c>
      <c r="K35" s="211">
        <f>IF(K$5="",0,IF($E35="kWh",VLOOKUP(K$5,'4. Billing Determinants'!$B$19:$N$41,4,0)/'4. Billing Determinants'!$E$41*$D35,IF($E35="kW",VLOOKUP(K$5,'4. Billing Determinants'!$B$19:$N$41,5,0)/'4. Billing Determinants'!$F$41*$D35,IF($E35="Non-RPP kWh",VLOOKUP(K$5,'4. Billing Determinants'!$B$19:$N$41,6,0)/'4. Billing Determinants'!$G$41*$D35,IF($E35="Distribution Rev.",VLOOKUP(K$5,'4. Billing Determinants'!$B$19:$N$41,8,0)/'4. Billing Determinants'!$I$41*$D35, VLOOKUP(K$5,'4. Billing Determinants'!$B$19:$N$41,3,0)/'4. Billing Determinants'!$D$41*$D35)))))</f>
        <v>0</v>
      </c>
      <c r="L35" s="211">
        <f>IF(L$5="",0,IF($E35="kWh",VLOOKUP(L$5,'4. Billing Determinants'!$B$19:$N$41,4,0)/'4. Billing Determinants'!$E$41*$D35,IF($E35="kW",VLOOKUP(L$5,'4. Billing Determinants'!$B$19:$N$41,5,0)/'4. Billing Determinants'!$F$41*$D35,IF($E35="Non-RPP kWh",VLOOKUP(L$5,'4. Billing Determinants'!$B$19:$N$41,6,0)/'4. Billing Determinants'!$G$41*$D35,IF($E35="Distribution Rev.",VLOOKUP(L$5,'4. Billing Determinants'!$B$19:$N$41,8,0)/'4. Billing Determinants'!$I$41*$D35, VLOOKUP(L$5,'4. Billing Determinants'!$B$19:$N$41,3,0)/'4. Billing Determinants'!$D$41*$D35)))))</f>
        <v>0</v>
      </c>
      <c r="M35" s="150">
        <f>IF(M$5="",0,IF($E35="kWh",VLOOKUP(M$5,'4. Billing Determinants'!$B$19:$N$41,4,0)/'4. Billing Determinants'!$E$41*$D35,IF($E35="kW",VLOOKUP(M$5,'4. Billing Determinants'!$B$19:$N$41,5,0)/'4. Billing Determinants'!$F$41*$D35,IF($E35="Non-RPP kWh",VLOOKUP(M$5,'4. Billing Determinants'!$B$19:$N$41,6,0)/'4. Billing Determinants'!$G$41*$D35,IF($E35="Distribution Rev.",VLOOKUP(M$5,'4. Billing Determinants'!$B$19:$N$41,8,0)/'4. Billing Determinants'!$I$41*$D35, VLOOKUP(M$5,'4. Billing Determinants'!$B$19:$N$41,3,0)/'4. Billing Determinants'!$D$41*$D35)))))</f>
        <v>0</v>
      </c>
      <c r="N35" s="150">
        <f>IF(N$5="",0,IF($E35="kWh",VLOOKUP(N$5,'4. Billing Determinants'!$B$19:$N$41,4,0)/'4. Billing Determinants'!$E$41*$D35,IF($E35="kW",VLOOKUP(N$5,'4. Billing Determinants'!$B$19:$N$41,5,0)/'4. Billing Determinants'!$F$41*$D35,IF($E35="Non-RPP kWh",VLOOKUP(N$5,'4. Billing Determinants'!$B$19:$N$41,6,0)/'4. Billing Determinants'!$G$41*$D35,IF($E35="Distribution Rev.",VLOOKUP(N$5,'4. Billing Determinants'!$B$19:$N$41,8,0)/'4. Billing Determinants'!$I$41*$D35, VLOOKUP(N$5,'4. Billing Determinants'!$B$19:$N$41,3,0)/'4. Billing Determinants'!$D$41*$D35)))))</f>
        <v>0</v>
      </c>
      <c r="O35" s="150">
        <f>IF(O$5="",0,IF($E35="kWh",VLOOKUP(O$5,'4. Billing Determinants'!$B$19:$N$41,4,0)/'4. Billing Determinants'!$E$41*$D35,IF($E35="kW",VLOOKUP(O$5,'4. Billing Determinants'!$B$19:$N$41,5,0)/'4. Billing Determinants'!$F$41*$D35,IF($E35="Non-RPP kWh",VLOOKUP(O$5,'4. Billing Determinants'!$B$19:$N$41,6,0)/'4. Billing Determinants'!$G$41*$D35,IF($E35="Distribution Rev.",VLOOKUP(O$5,'4. Billing Determinants'!$B$19:$N$41,8,0)/'4. Billing Determinants'!$I$41*$D35, VLOOKUP(O$5,'4. Billing Determinants'!$B$19:$N$41,3,0)/'4. Billing Determinants'!$D$41*$D35)))))</f>
        <v>0</v>
      </c>
      <c r="P35" s="150">
        <f>IF(P$5="",0,IF($E35="kWh",VLOOKUP(P$5,'4. Billing Determinants'!$B$19:$N$41,4,0)/'4. Billing Determinants'!$E$41*$D35,IF($E35="kW",VLOOKUP(P$5,'4. Billing Determinants'!$B$19:$N$41,5,0)/'4. Billing Determinants'!$F$41*$D35,IF($E35="Non-RPP kWh",VLOOKUP(P$5,'4. Billing Determinants'!$B$19:$N$41,6,0)/'4. Billing Determinants'!$G$41*$D35,IF($E35="Distribution Rev.",VLOOKUP(P$5,'4. Billing Determinants'!$B$19:$N$41,8,0)/'4. Billing Determinants'!$I$41*$D35, VLOOKUP(P$5,'4. Billing Determinants'!$B$19:$N$41,3,0)/'4. Billing Determinants'!$D$41*$D35)))))</f>
        <v>0</v>
      </c>
      <c r="Q35" s="150">
        <f>IF(Q$5="",0,IF($E35="kWh",VLOOKUP(Q$5,'4. Billing Determinants'!$B$19:$N$41,4,0)/'4. Billing Determinants'!$E$41*$D35,IF($E35="kW",VLOOKUP(Q$5,'4. Billing Determinants'!$B$19:$N$41,5,0)/'4. Billing Determinants'!$F$41*$D35,IF($E35="Non-RPP kWh",VLOOKUP(Q$5,'4. Billing Determinants'!$B$19:$N$41,6,0)/'4. Billing Determinants'!$G$41*$D35,IF($E35="Distribution Rev.",VLOOKUP(Q$5,'4. Billing Determinants'!$B$19:$N$41,8,0)/'4. Billing Determinants'!$I$41*$D35, VLOOKUP(Q$5,'4. Billing Determinants'!$B$19:$N$41,3,0)/'4. Billing Determinants'!$D$41*$D35)))))</f>
        <v>0</v>
      </c>
      <c r="R35" s="150">
        <f>IF(R$5="",0,IF($E35="kWh",VLOOKUP(R$5,'4. Billing Determinants'!$B$19:$N$41,4,0)/'4. Billing Determinants'!$E$41*$D35,IF($E35="kW",VLOOKUP(R$5,'4. Billing Determinants'!$B$19:$N$41,5,0)/'4. Billing Determinants'!$F$41*$D35,IF($E35="Non-RPP kWh",VLOOKUP(R$5,'4. Billing Determinants'!$B$19:$N$41,6,0)/'4. Billing Determinants'!$G$41*$D35,IF($E35="Distribution Rev.",VLOOKUP(R$5,'4. Billing Determinants'!$B$19:$N$41,8,0)/'4. Billing Determinants'!$I$41*$D35, VLOOKUP(R$5,'4. Billing Determinants'!$B$19:$N$41,3,0)/'4. Billing Determinants'!$D$41*$D35)))))</f>
        <v>0</v>
      </c>
      <c r="S35" s="150">
        <f>IF(S$5="",0,IF($E35="kWh",VLOOKUP(S$5,'4. Billing Determinants'!$B$19:$N$41,4,0)/'4. Billing Determinants'!$E$41*$D35,IF($E35="kW",VLOOKUP(S$5,'4. Billing Determinants'!$B$19:$N$41,5,0)/'4. Billing Determinants'!$F$41*$D35,IF($E35="Non-RPP kWh",VLOOKUP(S$5,'4. Billing Determinants'!$B$19:$N$41,6,0)/'4. Billing Determinants'!$G$41*$D35,IF($E35="Distribution Rev.",VLOOKUP(S$5,'4. Billing Determinants'!$B$19:$N$41,8,0)/'4. Billing Determinants'!$I$41*$D35, VLOOKUP(S$5,'4. Billing Determinants'!$B$19:$N$41,3,0)/'4. Billing Determinants'!$D$41*$D35)))))</f>
        <v>0</v>
      </c>
      <c r="T35" s="150">
        <f>IF(T$5="",0,IF($E35="kWh",VLOOKUP(T$5,'4. Billing Determinants'!$B$19:$N$41,4,0)/'4. Billing Determinants'!$E$41*$D35,IF($E35="kW",VLOOKUP(T$5,'4. Billing Determinants'!$B$19:$N$41,5,0)/'4. Billing Determinants'!$F$41*$D35,IF($E35="Non-RPP kWh",VLOOKUP(T$5,'4. Billing Determinants'!$B$19:$N$41,6,0)/'4. Billing Determinants'!$G$41*$D35,IF($E35="Distribution Rev.",VLOOKUP(T$5,'4. Billing Determinants'!$B$19:$N$41,8,0)/'4. Billing Determinants'!$I$41*$D35, VLOOKUP(T$5,'4. Billing Determinants'!$B$19:$N$41,3,0)/'4. Billing Determinants'!$D$41*$D35)))))</f>
        <v>0</v>
      </c>
      <c r="U35" s="150">
        <f>IF(U$5="",0,IF($E35="kWh",VLOOKUP(U$5,'4. Billing Determinants'!$B$19:$N$41,4,0)/'4. Billing Determinants'!$E$41*$D35,IF($E35="kW",VLOOKUP(U$5,'4. Billing Determinants'!$B$19:$N$41,5,0)/'4. Billing Determinants'!$F$41*$D35,IF($E35="Non-RPP kWh",VLOOKUP(U$5,'4. Billing Determinants'!$B$19:$N$41,6,0)/'4. Billing Determinants'!$G$41*$D35,IF($E35="Distribution Rev.",VLOOKUP(U$5,'4. Billing Determinants'!$B$19:$N$41,8,0)/'4. Billing Determinants'!$I$41*$D35, VLOOKUP(U$5,'4. Billing Determinants'!$B$19:$N$41,3,0)/'4. Billing Determinants'!$D$41*$D35)))))</f>
        <v>0</v>
      </c>
      <c r="V35" s="150">
        <f>IF(V$5="",0,IF($E35="kWh",VLOOKUP(V$5,'4. Billing Determinants'!$B$19:$N$41,4,0)/'4. Billing Determinants'!$E$41*$D35,IF($E35="kW",VLOOKUP(V$5,'4. Billing Determinants'!$B$19:$N$41,5,0)/'4. Billing Determinants'!$F$41*$D35,IF($E35="Non-RPP kWh",VLOOKUP(V$5,'4. Billing Determinants'!$B$19:$N$41,6,0)/'4. Billing Determinants'!$G$41*$D35,IF($E35="Distribution Rev.",VLOOKUP(V$5,'4. Billing Determinants'!$B$19:$N$41,8,0)/'4. Billing Determinants'!$I$41*$D35, VLOOKUP(V$5,'4. Billing Determinants'!$B$19:$N$41,3,0)/'4. Billing Determinants'!$D$41*$D35)))))</f>
        <v>0</v>
      </c>
      <c r="W35" s="150">
        <f>IF(W$5="",0,IF($E35="kWh",VLOOKUP(W$5,'4. Billing Determinants'!$B$19:$N$41,4,0)/'4. Billing Determinants'!$E$41*$D35,IF($E35="kW",VLOOKUP(W$5,'4. Billing Determinants'!$B$19:$N$41,5,0)/'4. Billing Determinants'!$F$41*$D35,IF($E35="Non-RPP kWh",VLOOKUP(W$5,'4. Billing Determinants'!$B$19:$N$41,6,0)/'4. Billing Determinants'!$G$41*$D35,IF($E35="Distribution Rev.",VLOOKUP(W$5,'4. Billing Determinants'!$B$19:$N$41,8,0)/'4. Billing Determinants'!$I$41*$D35, VLOOKUP(W$5,'4. Billing Determinants'!$B$19:$N$41,3,0)/'4. Billing Determinants'!$D$41*$D35)))))</f>
        <v>0</v>
      </c>
      <c r="X35" s="150">
        <f>IF(X$5="",0,IF($E35="kWh",VLOOKUP(X$5,'4. Billing Determinants'!$B$19:$N$41,4,0)/'4. Billing Determinants'!$E$41*$D35,IF($E35="kW",VLOOKUP(X$5,'4. Billing Determinants'!$B$19:$N$41,5,0)/'4. Billing Determinants'!$F$41*$D35,IF($E35="Non-RPP kWh",VLOOKUP(X$5,'4. Billing Determinants'!$B$19:$N$41,6,0)/'4. Billing Determinants'!$G$41*$D35,IF($E35="Distribution Rev.",VLOOKUP(X$5,'4. Billing Determinants'!$B$19:$N$41,8,0)/'4. Billing Determinants'!$I$41*$D35, VLOOKUP(X$5,'4. Billing Determinants'!$B$19:$N$41,3,0)/'4. Billing Determinants'!$D$41*$D35)))))</f>
        <v>0</v>
      </c>
      <c r="Y35" s="150">
        <f>IF(Y$5="",0,IF($E35="kWh",VLOOKUP(Y$5,'4. Billing Determinants'!$B$19:$N$41,4,0)/'4. Billing Determinants'!$E$41*$D35,IF($E35="kW",VLOOKUP(Y$5,'4. Billing Determinants'!$B$19:$N$41,5,0)/'4. Billing Determinants'!$F$41*$D35,IF($E35="Non-RPP kWh",VLOOKUP(Y$5,'4. Billing Determinants'!$B$19:$N$41,6,0)/'4. Billing Determinants'!$G$41*$D35,IF($E35="Distribution Rev.",VLOOKUP(Y$5,'4. Billing Determinants'!$B$19:$N$41,8,0)/'4. Billing Determinants'!$I$41*$D35, VLOOKUP(Y$5,'4. Billing Determinants'!$B$19:$N$41,3,0)/'4. Billing Determinants'!$D$41*$D35)))))</f>
        <v>0</v>
      </c>
    </row>
    <row r="36" spans="1:25" hidden="1" x14ac:dyDescent="0.2">
      <c r="B36" s="152" t="s">
        <v>6</v>
      </c>
      <c r="C36" s="149">
        <v>1574</v>
      </c>
      <c r="D36" s="211">
        <f>'2. 2013 Continuity Schedule'!CF58</f>
        <v>0</v>
      </c>
      <c r="E36" s="219"/>
      <c r="F36" s="211">
        <f>IF(F$5="",0,IF($E36="kWh",VLOOKUP(F$5,'4. Billing Determinants'!$B$19:$N$41,4,0)/'4. Billing Determinants'!$E$41*$D36,IF($E36="kW",VLOOKUP(F$5,'4. Billing Determinants'!$B$19:$N$41,5,0)/'4. Billing Determinants'!$F$41*$D36,IF($E36="Non-RPP kWh",VLOOKUP(F$5,'4. Billing Determinants'!$B$19:$N$41,6,0)/'4. Billing Determinants'!$G$41*$D36,IF($E36="Distribution Rev.",VLOOKUP(F$5,'4. Billing Determinants'!$B$19:$N$41,8,0)/'4. Billing Determinants'!$I$41*$D36, VLOOKUP(F$5,'4. Billing Determinants'!$B$19:$N$41,3,0)/'4. Billing Determinants'!$D$41*$D36)))))</f>
        <v>0</v>
      </c>
      <c r="G36" s="211">
        <f>IF(G$5="",0,IF($E36="kWh",VLOOKUP(G$5,'4. Billing Determinants'!$B$19:$N$41,4,0)/'4. Billing Determinants'!$E$41*$D36,IF($E36="kW",VLOOKUP(G$5,'4. Billing Determinants'!$B$19:$N$41,5,0)/'4. Billing Determinants'!$F$41*$D36,IF($E36="Non-RPP kWh",VLOOKUP(G$5,'4. Billing Determinants'!$B$19:$N$41,6,0)/'4. Billing Determinants'!$G$41*$D36,IF($E36="Distribution Rev.",VLOOKUP(G$5,'4. Billing Determinants'!$B$19:$N$41,8,0)/'4. Billing Determinants'!$I$41*$D36, VLOOKUP(G$5,'4. Billing Determinants'!$B$19:$N$41,3,0)/'4. Billing Determinants'!$D$41*$D36)))))</f>
        <v>0</v>
      </c>
      <c r="H36" s="211">
        <f>IF(H$5="",0,IF($E36="kWh",VLOOKUP(H$5,'4. Billing Determinants'!$B$19:$N$41,4,0)/'4. Billing Determinants'!$E$41*$D36,IF($E36="kW",VLOOKUP(H$5,'4. Billing Determinants'!$B$19:$N$41,5,0)/'4. Billing Determinants'!$F$41*$D36,IF($E36="Non-RPP kWh",VLOOKUP(H$5,'4. Billing Determinants'!$B$19:$N$41,6,0)/'4. Billing Determinants'!$G$41*$D36,IF($E36="Distribution Rev.",VLOOKUP(H$5,'4. Billing Determinants'!$B$19:$N$41,8,0)/'4. Billing Determinants'!$I$41*$D36, VLOOKUP(H$5,'4. Billing Determinants'!$B$19:$N$41,3,0)/'4. Billing Determinants'!$D$41*$D36)))))</f>
        <v>0</v>
      </c>
      <c r="I36" s="211">
        <f>IF(I$5="",0,IF($E36="kWh",VLOOKUP(I$5,'4. Billing Determinants'!$B$19:$N$41,4,0)/'4. Billing Determinants'!$E$41*$D36,IF($E36="kW",VLOOKUP(I$5,'4. Billing Determinants'!$B$19:$N$41,5,0)/'4. Billing Determinants'!$F$41*$D36,IF($E36="Non-RPP kWh",VLOOKUP(I$5,'4. Billing Determinants'!$B$19:$N$41,6,0)/'4. Billing Determinants'!$G$41*$D36,IF($E36="Distribution Rev.",VLOOKUP(I$5,'4. Billing Determinants'!$B$19:$N$41,8,0)/'4. Billing Determinants'!$I$41*$D36, VLOOKUP(I$5,'4. Billing Determinants'!$B$19:$N$41,3,0)/'4. Billing Determinants'!$D$41*$D36)))))</f>
        <v>0</v>
      </c>
      <c r="J36" s="211">
        <f>IF(J$5="",0,IF($E36="kWh",VLOOKUP(J$5,'4. Billing Determinants'!$B$19:$N$41,4,0)/'4. Billing Determinants'!$E$41*$D36,IF($E36="kW",VLOOKUP(J$5,'4. Billing Determinants'!$B$19:$N$41,5,0)/'4. Billing Determinants'!$F$41*$D36,IF($E36="Non-RPP kWh",VLOOKUP(J$5,'4. Billing Determinants'!$B$19:$N$41,6,0)/'4. Billing Determinants'!$G$41*$D36,IF($E36="Distribution Rev.",VLOOKUP(J$5,'4. Billing Determinants'!$B$19:$N$41,8,0)/'4. Billing Determinants'!$I$41*$D36, VLOOKUP(J$5,'4. Billing Determinants'!$B$19:$N$41,3,0)/'4. Billing Determinants'!$D$41*$D36)))))</f>
        <v>0</v>
      </c>
      <c r="K36" s="211">
        <f>IF(K$5="",0,IF($E36="kWh",VLOOKUP(K$5,'4. Billing Determinants'!$B$19:$N$41,4,0)/'4. Billing Determinants'!$E$41*$D36,IF($E36="kW",VLOOKUP(K$5,'4. Billing Determinants'!$B$19:$N$41,5,0)/'4. Billing Determinants'!$F$41*$D36,IF($E36="Non-RPP kWh",VLOOKUP(K$5,'4. Billing Determinants'!$B$19:$N$41,6,0)/'4. Billing Determinants'!$G$41*$D36,IF($E36="Distribution Rev.",VLOOKUP(K$5,'4. Billing Determinants'!$B$19:$N$41,8,0)/'4. Billing Determinants'!$I$41*$D36, VLOOKUP(K$5,'4. Billing Determinants'!$B$19:$N$41,3,0)/'4. Billing Determinants'!$D$41*$D36)))))</f>
        <v>0</v>
      </c>
      <c r="L36" s="211">
        <f>IF(L$5="",0,IF($E36="kWh",VLOOKUP(L$5,'4. Billing Determinants'!$B$19:$N$41,4,0)/'4. Billing Determinants'!$E$41*$D36,IF($E36="kW",VLOOKUP(L$5,'4. Billing Determinants'!$B$19:$N$41,5,0)/'4. Billing Determinants'!$F$41*$D36,IF($E36="Non-RPP kWh",VLOOKUP(L$5,'4. Billing Determinants'!$B$19:$N$41,6,0)/'4. Billing Determinants'!$G$41*$D36,IF($E36="Distribution Rev.",VLOOKUP(L$5,'4. Billing Determinants'!$B$19:$N$41,8,0)/'4. Billing Determinants'!$I$41*$D36, VLOOKUP(L$5,'4. Billing Determinants'!$B$19:$N$41,3,0)/'4. Billing Determinants'!$D$41*$D36)))))</f>
        <v>0</v>
      </c>
      <c r="M36" s="150">
        <f>IF(M$5="",0,IF($E36="kWh",VLOOKUP(M$5,'4. Billing Determinants'!$B$19:$N$41,4,0)/'4. Billing Determinants'!$E$41*$D36,IF($E36="kW",VLOOKUP(M$5,'4. Billing Determinants'!$B$19:$N$41,5,0)/'4. Billing Determinants'!$F$41*$D36,IF($E36="Non-RPP kWh",VLOOKUP(M$5,'4. Billing Determinants'!$B$19:$N$41,6,0)/'4. Billing Determinants'!$G$41*$D36,IF($E36="Distribution Rev.",VLOOKUP(M$5,'4. Billing Determinants'!$B$19:$N$41,8,0)/'4. Billing Determinants'!$I$41*$D36, VLOOKUP(M$5,'4. Billing Determinants'!$B$19:$N$41,3,0)/'4. Billing Determinants'!$D$41*$D36)))))</f>
        <v>0</v>
      </c>
      <c r="N36" s="150">
        <f>IF(N$5="",0,IF($E36="kWh",VLOOKUP(N$5,'4. Billing Determinants'!$B$19:$N$41,4,0)/'4. Billing Determinants'!$E$41*$D36,IF($E36="kW",VLOOKUP(N$5,'4. Billing Determinants'!$B$19:$N$41,5,0)/'4. Billing Determinants'!$F$41*$D36,IF($E36="Non-RPP kWh",VLOOKUP(N$5,'4. Billing Determinants'!$B$19:$N$41,6,0)/'4. Billing Determinants'!$G$41*$D36,IF($E36="Distribution Rev.",VLOOKUP(N$5,'4. Billing Determinants'!$B$19:$N$41,8,0)/'4. Billing Determinants'!$I$41*$D36, VLOOKUP(N$5,'4. Billing Determinants'!$B$19:$N$41,3,0)/'4. Billing Determinants'!$D$41*$D36)))))</f>
        <v>0</v>
      </c>
      <c r="O36" s="150">
        <f>IF(O$5="",0,IF($E36="kWh",VLOOKUP(O$5,'4. Billing Determinants'!$B$19:$N$41,4,0)/'4. Billing Determinants'!$E$41*$D36,IF($E36="kW",VLOOKUP(O$5,'4. Billing Determinants'!$B$19:$N$41,5,0)/'4. Billing Determinants'!$F$41*$D36,IF($E36="Non-RPP kWh",VLOOKUP(O$5,'4. Billing Determinants'!$B$19:$N$41,6,0)/'4. Billing Determinants'!$G$41*$D36,IF($E36="Distribution Rev.",VLOOKUP(O$5,'4. Billing Determinants'!$B$19:$N$41,8,0)/'4. Billing Determinants'!$I$41*$D36, VLOOKUP(O$5,'4. Billing Determinants'!$B$19:$N$41,3,0)/'4. Billing Determinants'!$D$41*$D36)))))</f>
        <v>0</v>
      </c>
      <c r="P36" s="150">
        <f>IF(P$5="",0,IF($E36="kWh",VLOOKUP(P$5,'4. Billing Determinants'!$B$19:$N$41,4,0)/'4. Billing Determinants'!$E$41*$D36,IF($E36="kW",VLOOKUP(P$5,'4. Billing Determinants'!$B$19:$N$41,5,0)/'4. Billing Determinants'!$F$41*$D36,IF($E36="Non-RPP kWh",VLOOKUP(P$5,'4. Billing Determinants'!$B$19:$N$41,6,0)/'4. Billing Determinants'!$G$41*$D36,IF($E36="Distribution Rev.",VLOOKUP(P$5,'4. Billing Determinants'!$B$19:$N$41,8,0)/'4. Billing Determinants'!$I$41*$D36, VLOOKUP(P$5,'4. Billing Determinants'!$B$19:$N$41,3,0)/'4. Billing Determinants'!$D$41*$D36)))))</f>
        <v>0</v>
      </c>
      <c r="Q36" s="150">
        <f>IF(Q$5="",0,IF($E36="kWh",VLOOKUP(Q$5,'4. Billing Determinants'!$B$19:$N$41,4,0)/'4. Billing Determinants'!$E$41*$D36,IF($E36="kW",VLOOKUP(Q$5,'4. Billing Determinants'!$B$19:$N$41,5,0)/'4. Billing Determinants'!$F$41*$D36,IF($E36="Non-RPP kWh",VLOOKUP(Q$5,'4. Billing Determinants'!$B$19:$N$41,6,0)/'4. Billing Determinants'!$G$41*$D36,IF($E36="Distribution Rev.",VLOOKUP(Q$5,'4. Billing Determinants'!$B$19:$N$41,8,0)/'4. Billing Determinants'!$I$41*$D36, VLOOKUP(Q$5,'4. Billing Determinants'!$B$19:$N$41,3,0)/'4. Billing Determinants'!$D$41*$D36)))))</f>
        <v>0</v>
      </c>
      <c r="R36" s="150">
        <f>IF(R$5="",0,IF($E36="kWh",VLOOKUP(R$5,'4. Billing Determinants'!$B$19:$N$41,4,0)/'4. Billing Determinants'!$E$41*$D36,IF($E36="kW",VLOOKUP(R$5,'4. Billing Determinants'!$B$19:$N$41,5,0)/'4. Billing Determinants'!$F$41*$D36,IF($E36="Non-RPP kWh",VLOOKUP(R$5,'4. Billing Determinants'!$B$19:$N$41,6,0)/'4. Billing Determinants'!$G$41*$D36,IF($E36="Distribution Rev.",VLOOKUP(R$5,'4. Billing Determinants'!$B$19:$N$41,8,0)/'4. Billing Determinants'!$I$41*$D36, VLOOKUP(R$5,'4. Billing Determinants'!$B$19:$N$41,3,0)/'4. Billing Determinants'!$D$41*$D36)))))</f>
        <v>0</v>
      </c>
      <c r="S36" s="150">
        <f>IF(S$5="",0,IF($E36="kWh",VLOOKUP(S$5,'4. Billing Determinants'!$B$19:$N$41,4,0)/'4. Billing Determinants'!$E$41*$D36,IF($E36="kW",VLOOKUP(S$5,'4. Billing Determinants'!$B$19:$N$41,5,0)/'4. Billing Determinants'!$F$41*$D36,IF($E36="Non-RPP kWh",VLOOKUP(S$5,'4. Billing Determinants'!$B$19:$N$41,6,0)/'4. Billing Determinants'!$G$41*$D36,IF($E36="Distribution Rev.",VLOOKUP(S$5,'4. Billing Determinants'!$B$19:$N$41,8,0)/'4. Billing Determinants'!$I$41*$D36, VLOOKUP(S$5,'4. Billing Determinants'!$B$19:$N$41,3,0)/'4. Billing Determinants'!$D$41*$D36)))))</f>
        <v>0</v>
      </c>
      <c r="T36" s="150">
        <f>IF(T$5="",0,IF($E36="kWh",VLOOKUP(T$5,'4. Billing Determinants'!$B$19:$N$41,4,0)/'4. Billing Determinants'!$E$41*$D36,IF($E36="kW",VLOOKUP(T$5,'4. Billing Determinants'!$B$19:$N$41,5,0)/'4. Billing Determinants'!$F$41*$D36,IF($E36="Non-RPP kWh",VLOOKUP(T$5,'4. Billing Determinants'!$B$19:$N$41,6,0)/'4. Billing Determinants'!$G$41*$D36,IF($E36="Distribution Rev.",VLOOKUP(T$5,'4. Billing Determinants'!$B$19:$N$41,8,0)/'4. Billing Determinants'!$I$41*$D36, VLOOKUP(T$5,'4. Billing Determinants'!$B$19:$N$41,3,0)/'4. Billing Determinants'!$D$41*$D36)))))</f>
        <v>0</v>
      </c>
      <c r="U36" s="150">
        <f>IF(U$5="",0,IF($E36="kWh",VLOOKUP(U$5,'4. Billing Determinants'!$B$19:$N$41,4,0)/'4. Billing Determinants'!$E$41*$D36,IF($E36="kW",VLOOKUP(U$5,'4. Billing Determinants'!$B$19:$N$41,5,0)/'4. Billing Determinants'!$F$41*$D36,IF($E36="Non-RPP kWh",VLOOKUP(U$5,'4. Billing Determinants'!$B$19:$N$41,6,0)/'4. Billing Determinants'!$G$41*$D36,IF($E36="Distribution Rev.",VLOOKUP(U$5,'4. Billing Determinants'!$B$19:$N$41,8,0)/'4. Billing Determinants'!$I$41*$D36, VLOOKUP(U$5,'4. Billing Determinants'!$B$19:$N$41,3,0)/'4. Billing Determinants'!$D$41*$D36)))))</f>
        <v>0</v>
      </c>
      <c r="V36" s="150">
        <f>IF(V$5="",0,IF($E36="kWh",VLOOKUP(V$5,'4. Billing Determinants'!$B$19:$N$41,4,0)/'4. Billing Determinants'!$E$41*$D36,IF($E36="kW",VLOOKUP(V$5,'4. Billing Determinants'!$B$19:$N$41,5,0)/'4. Billing Determinants'!$F$41*$D36,IF($E36="Non-RPP kWh",VLOOKUP(V$5,'4. Billing Determinants'!$B$19:$N$41,6,0)/'4. Billing Determinants'!$G$41*$D36,IF($E36="Distribution Rev.",VLOOKUP(V$5,'4. Billing Determinants'!$B$19:$N$41,8,0)/'4. Billing Determinants'!$I$41*$D36, VLOOKUP(V$5,'4. Billing Determinants'!$B$19:$N$41,3,0)/'4. Billing Determinants'!$D$41*$D36)))))</f>
        <v>0</v>
      </c>
      <c r="W36" s="150">
        <f>IF(W$5="",0,IF($E36="kWh",VLOOKUP(W$5,'4. Billing Determinants'!$B$19:$N$41,4,0)/'4. Billing Determinants'!$E$41*$D36,IF($E36="kW",VLOOKUP(W$5,'4. Billing Determinants'!$B$19:$N$41,5,0)/'4. Billing Determinants'!$F$41*$D36,IF($E36="Non-RPP kWh",VLOOKUP(W$5,'4. Billing Determinants'!$B$19:$N$41,6,0)/'4. Billing Determinants'!$G$41*$D36,IF($E36="Distribution Rev.",VLOOKUP(W$5,'4. Billing Determinants'!$B$19:$N$41,8,0)/'4. Billing Determinants'!$I$41*$D36, VLOOKUP(W$5,'4. Billing Determinants'!$B$19:$N$41,3,0)/'4. Billing Determinants'!$D$41*$D36)))))</f>
        <v>0</v>
      </c>
      <c r="X36" s="150">
        <f>IF(X$5="",0,IF($E36="kWh",VLOOKUP(X$5,'4. Billing Determinants'!$B$19:$N$41,4,0)/'4. Billing Determinants'!$E$41*$D36,IF($E36="kW",VLOOKUP(X$5,'4. Billing Determinants'!$B$19:$N$41,5,0)/'4. Billing Determinants'!$F$41*$D36,IF($E36="Non-RPP kWh",VLOOKUP(X$5,'4. Billing Determinants'!$B$19:$N$41,6,0)/'4. Billing Determinants'!$G$41*$D36,IF($E36="Distribution Rev.",VLOOKUP(X$5,'4. Billing Determinants'!$B$19:$N$41,8,0)/'4. Billing Determinants'!$I$41*$D36, VLOOKUP(X$5,'4. Billing Determinants'!$B$19:$N$41,3,0)/'4. Billing Determinants'!$D$41*$D36)))))</f>
        <v>0</v>
      </c>
      <c r="Y36" s="150">
        <f>IF(Y$5="",0,IF($E36="kWh",VLOOKUP(Y$5,'4. Billing Determinants'!$B$19:$N$41,4,0)/'4. Billing Determinants'!$E$41*$D36,IF($E36="kW",VLOOKUP(Y$5,'4. Billing Determinants'!$B$19:$N$41,5,0)/'4. Billing Determinants'!$F$41*$D36,IF($E36="Non-RPP kWh",VLOOKUP(Y$5,'4. Billing Determinants'!$B$19:$N$41,6,0)/'4. Billing Determinants'!$G$41*$D36,IF($E36="Distribution Rev.",VLOOKUP(Y$5,'4. Billing Determinants'!$B$19:$N$41,8,0)/'4. Billing Determinants'!$I$41*$D36, VLOOKUP(Y$5,'4. Billing Determinants'!$B$19:$N$41,3,0)/'4. Billing Determinants'!$D$41*$D36)))))</f>
        <v>0</v>
      </c>
    </row>
    <row r="37" spans="1:25" hidden="1" x14ac:dyDescent="0.2">
      <c r="B37" s="152" t="s">
        <v>63</v>
      </c>
      <c r="C37" s="149">
        <v>1582</v>
      </c>
      <c r="D37" s="211">
        <f>'2. 2013 Continuity Schedule'!CF59</f>
        <v>-0.27039200000000002</v>
      </c>
      <c r="E37" s="219"/>
      <c r="F37" s="211">
        <f>IF(F$5="",0,IF($E37="kWh",VLOOKUP(F$5,'4. Billing Determinants'!$B$19:$N$41,4,0)/'4. Billing Determinants'!$E$41*$D37,IF($E37="kW",VLOOKUP(F$5,'4. Billing Determinants'!$B$19:$N$41,5,0)/'4. Billing Determinants'!$F$41*$D37,IF($E37="Non-RPP kWh",VLOOKUP(F$5,'4. Billing Determinants'!$B$19:$N$41,6,0)/'4. Billing Determinants'!$G$41*$D37,IF($E37="Distribution Rev.",VLOOKUP(F$5,'4. Billing Determinants'!$B$19:$N$41,8,0)/'4. Billing Determinants'!$I$41*$D37, VLOOKUP(F$5,'4. Billing Determinants'!$B$19:$N$41,3,0)/'4. Billing Determinants'!$D$41*$D37)))))</f>
        <v>-0.24213102553429924</v>
      </c>
      <c r="G37" s="211">
        <f>IF(G$5="",0,IF($E37="kWh",VLOOKUP(G$5,'4. Billing Determinants'!$B$19:$N$41,4,0)/'4. Billing Determinants'!$E$41*$D37,IF($E37="kW",VLOOKUP(G$5,'4. Billing Determinants'!$B$19:$N$41,5,0)/'4. Billing Determinants'!$F$41*$D37,IF($E37="Non-RPP kWh",VLOOKUP(G$5,'4. Billing Determinants'!$B$19:$N$41,6,0)/'4. Billing Determinants'!$G$41*$D37,IF($E37="Distribution Rev.",VLOOKUP(G$5,'4. Billing Determinants'!$B$19:$N$41,8,0)/'4. Billing Determinants'!$I$41*$D37, VLOOKUP(G$5,'4. Billing Determinants'!$B$19:$N$41,3,0)/'4. Billing Determinants'!$D$41*$D37)))))</f>
        <v>-2.4267752341311136E-2</v>
      </c>
      <c r="H37" s="211">
        <f>IF(H$5="",0,IF($E37="kWh",VLOOKUP(H$5,'4. Billing Determinants'!$B$19:$N$41,4,0)/'4. Billing Determinants'!$E$41*$D37,IF($E37="kW",VLOOKUP(H$5,'4. Billing Determinants'!$B$19:$N$41,5,0)/'4. Billing Determinants'!$F$41*$D37,IF($E37="Non-RPP kWh",VLOOKUP(H$5,'4. Billing Determinants'!$B$19:$N$41,6,0)/'4. Billing Determinants'!$G$41*$D37,IF($E37="Distribution Rev.",VLOOKUP(H$5,'4. Billing Determinants'!$B$19:$N$41,8,0)/'4. Billing Determinants'!$I$41*$D37, VLOOKUP(H$5,'4. Billing Determinants'!$B$19:$N$41,3,0)/'4. Billing Determinants'!$D$41*$D37)))))</f>
        <v>-2.764954614584167E-3</v>
      </c>
      <c r="I37" s="211">
        <f>IF(I$5="",0,IF($E37="kWh",VLOOKUP(I$5,'4. Billing Determinants'!$B$19:$N$41,4,0)/'4. Billing Determinants'!$E$41*$D37,IF($E37="kW",VLOOKUP(I$5,'4. Billing Determinants'!$B$19:$N$41,5,0)/'4. Billing Determinants'!$F$41*$D37,IF($E37="Non-RPP kWh",VLOOKUP(I$5,'4. Billing Determinants'!$B$19:$N$41,6,0)/'4. Billing Determinants'!$G$41*$D37,IF($E37="Distribution Rev.",VLOOKUP(I$5,'4. Billing Determinants'!$B$19:$N$41,8,0)/'4. Billing Determinants'!$I$41*$D37, VLOOKUP(I$5,'4. Billing Determinants'!$B$19:$N$41,3,0)/'4. Billing Determinants'!$D$41*$D37)))))</f>
        <v>-1.0821740174497721E-4</v>
      </c>
      <c r="J37" s="211">
        <f>IF(J$5="",0,IF($E37="kWh",VLOOKUP(J$5,'4. Billing Determinants'!$B$19:$N$41,4,0)/'4. Billing Determinants'!$E$41*$D37,IF($E37="kW",VLOOKUP(J$5,'4. Billing Determinants'!$B$19:$N$41,5,0)/'4. Billing Determinants'!$F$41*$D37,IF($E37="Non-RPP kWh",VLOOKUP(J$5,'4. Billing Determinants'!$B$19:$N$41,6,0)/'4. Billing Determinants'!$G$41*$D37,IF($E37="Distribution Rev.",VLOOKUP(J$5,'4. Billing Determinants'!$B$19:$N$41,8,0)/'4. Billing Determinants'!$I$41*$D37, VLOOKUP(J$5,'4. Billing Determinants'!$B$19:$N$41,3,0)/'4. Billing Determinants'!$D$41*$D37)))))</f>
        <v>-3.0300872488593612E-4</v>
      </c>
      <c r="K37" s="211">
        <f>IF(K$5="",0,IF($E37="kWh",VLOOKUP(K$5,'4. Billing Determinants'!$B$19:$N$41,4,0)/'4. Billing Determinants'!$E$41*$D37,IF($E37="kW",VLOOKUP(K$5,'4. Billing Determinants'!$B$19:$N$41,5,0)/'4. Billing Determinants'!$F$41*$D37,IF($E37="Non-RPP kWh",VLOOKUP(K$5,'4. Billing Determinants'!$B$19:$N$41,6,0)/'4. Billing Determinants'!$G$41*$D37,IF($E37="Distribution Rev.",VLOOKUP(K$5,'4. Billing Determinants'!$B$19:$N$41,8,0)/'4. Billing Determinants'!$I$41*$D37, VLOOKUP(K$5,'4. Billing Determinants'!$B$19:$N$41,3,0)/'4. Billing Determinants'!$D$41*$D37)))))</f>
        <v>-8.0080877291283125E-4</v>
      </c>
      <c r="L37" s="211">
        <f>IF(L$5="",0,IF($E37="kWh",VLOOKUP(L$5,'4. Billing Determinants'!$B$19:$N$41,4,0)/'4. Billing Determinants'!$E$41*$D37,IF($E37="kW",VLOOKUP(L$5,'4. Billing Determinants'!$B$19:$N$41,5,0)/'4. Billing Determinants'!$F$41*$D37,IF($E37="Non-RPP kWh",VLOOKUP(L$5,'4. Billing Determinants'!$B$19:$N$41,6,0)/'4. Billing Determinants'!$G$41*$D37,IF($E37="Distribution Rev.",VLOOKUP(L$5,'4. Billing Determinants'!$B$19:$N$41,8,0)/'4. Billing Determinants'!$I$41*$D37, VLOOKUP(L$5,'4. Billing Determinants'!$B$19:$N$41,3,0)/'4. Billing Determinants'!$D$41*$D37)))))</f>
        <v>-1.6232610261746579E-5</v>
      </c>
      <c r="M37" s="150">
        <f>IF(M$5="",0,IF($E37="kWh",VLOOKUP(M$5,'4. Billing Determinants'!$B$19:$N$41,4,0)/'4. Billing Determinants'!$E$41*$D37,IF($E37="kW",VLOOKUP(M$5,'4. Billing Determinants'!$B$19:$N$41,5,0)/'4. Billing Determinants'!$F$41*$D37,IF($E37="Non-RPP kWh",VLOOKUP(M$5,'4. Billing Determinants'!$B$19:$N$41,6,0)/'4. Billing Determinants'!$G$41*$D37,IF($E37="Distribution Rev.",VLOOKUP(M$5,'4. Billing Determinants'!$B$19:$N$41,8,0)/'4. Billing Determinants'!$I$41*$D37, VLOOKUP(M$5,'4. Billing Determinants'!$B$19:$N$41,3,0)/'4. Billing Determinants'!$D$41*$D37)))))</f>
        <v>0</v>
      </c>
      <c r="N37" s="150">
        <f>IF(N$5="",0,IF($E37="kWh",VLOOKUP(N$5,'4. Billing Determinants'!$B$19:$N$41,4,0)/'4. Billing Determinants'!$E$41*$D37,IF($E37="kW",VLOOKUP(N$5,'4. Billing Determinants'!$B$19:$N$41,5,0)/'4. Billing Determinants'!$F$41*$D37,IF($E37="Non-RPP kWh",VLOOKUP(N$5,'4. Billing Determinants'!$B$19:$N$41,6,0)/'4. Billing Determinants'!$G$41*$D37,IF($E37="Distribution Rev.",VLOOKUP(N$5,'4. Billing Determinants'!$B$19:$N$41,8,0)/'4. Billing Determinants'!$I$41*$D37, VLOOKUP(N$5,'4. Billing Determinants'!$B$19:$N$41,3,0)/'4. Billing Determinants'!$D$41*$D37)))))</f>
        <v>0</v>
      </c>
      <c r="O37" s="150">
        <f>IF(O$5="",0,IF($E37="kWh",VLOOKUP(O$5,'4. Billing Determinants'!$B$19:$N$41,4,0)/'4. Billing Determinants'!$E$41*$D37,IF($E37="kW",VLOOKUP(O$5,'4. Billing Determinants'!$B$19:$N$41,5,0)/'4. Billing Determinants'!$F$41*$D37,IF($E37="Non-RPP kWh",VLOOKUP(O$5,'4. Billing Determinants'!$B$19:$N$41,6,0)/'4. Billing Determinants'!$G$41*$D37,IF($E37="Distribution Rev.",VLOOKUP(O$5,'4. Billing Determinants'!$B$19:$N$41,8,0)/'4. Billing Determinants'!$I$41*$D37, VLOOKUP(O$5,'4. Billing Determinants'!$B$19:$N$41,3,0)/'4. Billing Determinants'!$D$41*$D37)))))</f>
        <v>0</v>
      </c>
      <c r="P37" s="150">
        <f>IF(P$5="",0,IF($E37="kWh",VLOOKUP(P$5,'4. Billing Determinants'!$B$19:$N$41,4,0)/'4. Billing Determinants'!$E$41*$D37,IF($E37="kW",VLOOKUP(P$5,'4. Billing Determinants'!$B$19:$N$41,5,0)/'4. Billing Determinants'!$F$41*$D37,IF($E37="Non-RPP kWh",VLOOKUP(P$5,'4. Billing Determinants'!$B$19:$N$41,6,0)/'4. Billing Determinants'!$G$41*$D37,IF($E37="Distribution Rev.",VLOOKUP(P$5,'4. Billing Determinants'!$B$19:$N$41,8,0)/'4. Billing Determinants'!$I$41*$D37, VLOOKUP(P$5,'4. Billing Determinants'!$B$19:$N$41,3,0)/'4. Billing Determinants'!$D$41*$D37)))))</f>
        <v>0</v>
      </c>
      <c r="Q37" s="150">
        <f>IF(Q$5="",0,IF($E37="kWh",VLOOKUP(Q$5,'4. Billing Determinants'!$B$19:$N$41,4,0)/'4. Billing Determinants'!$E$41*$D37,IF($E37="kW",VLOOKUP(Q$5,'4. Billing Determinants'!$B$19:$N$41,5,0)/'4. Billing Determinants'!$F$41*$D37,IF($E37="Non-RPP kWh",VLOOKUP(Q$5,'4. Billing Determinants'!$B$19:$N$41,6,0)/'4. Billing Determinants'!$G$41*$D37,IF($E37="Distribution Rev.",VLOOKUP(Q$5,'4. Billing Determinants'!$B$19:$N$41,8,0)/'4. Billing Determinants'!$I$41*$D37, VLOOKUP(Q$5,'4. Billing Determinants'!$B$19:$N$41,3,0)/'4. Billing Determinants'!$D$41*$D37)))))</f>
        <v>0</v>
      </c>
      <c r="R37" s="150">
        <f>IF(R$5="",0,IF($E37="kWh",VLOOKUP(R$5,'4. Billing Determinants'!$B$19:$N$41,4,0)/'4. Billing Determinants'!$E$41*$D37,IF($E37="kW",VLOOKUP(R$5,'4. Billing Determinants'!$B$19:$N$41,5,0)/'4. Billing Determinants'!$F$41*$D37,IF($E37="Non-RPP kWh",VLOOKUP(R$5,'4. Billing Determinants'!$B$19:$N$41,6,0)/'4. Billing Determinants'!$G$41*$D37,IF($E37="Distribution Rev.",VLOOKUP(R$5,'4. Billing Determinants'!$B$19:$N$41,8,0)/'4. Billing Determinants'!$I$41*$D37, VLOOKUP(R$5,'4. Billing Determinants'!$B$19:$N$41,3,0)/'4. Billing Determinants'!$D$41*$D37)))))</f>
        <v>0</v>
      </c>
      <c r="S37" s="150">
        <f>IF(S$5="",0,IF($E37="kWh",VLOOKUP(S$5,'4. Billing Determinants'!$B$19:$N$41,4,0)/'4. Billing Determinants'!$E$41*$D37,IF($E37="kW",VLOOKUP(S$5,'4. Billing Determinants'!$B$19:$N$41,5,0)/'4. Billing Determinants'!$F$41*$D37,IF($E37="Non-RPP kWh",VLOOKUP(S$5,'4. Billing Determinants'!$B$19:$N$41,6,0)/'4. Billing Determinants'!$G$41*$D37,IF($E37="Distribution Rev.",VLOOKUP(S$5,'4. Billing Determinants'!$B$19:$N$41,8,0)/'4. Billing Determinants'!$I$41*$D37, VLOOKUP(S$5,'4. Billing Determinants'!$B$19:$N$41,3,0)/'4. Billing Determinants'!$D$41*$D37)))))</f>
        <v>0</v>
      </c>
      <c r="T37" s="150">
        <f>IF(T$5="",0,IF($E37="kWh",VLOOKUP(T$5,'4. Billing Determinants'!$B$19:$N$41,4,0)/'4. Billing Determinants'!$E$41*$D37,IF($E37="kW",VLOOKUP(T$5,'4. Billing Determinants'!$B$19:$N$41,5,0)/'4. Billing Determinants'!$F$41*$D37,IF($E37="Non-RPP kWh",VLOOKUP(T$5,'4. Billing Determinants'!$B$19:$N$41,6,0)/'4. Billing Determinants'!$G$41*$D37,IF($E37="Distribution Rev.",VLOOKUP(T$5,'4. Billing Determinants'!$B$19:$N$41,8,0)/'4. Billing Determinants'!$I$41*$D37, VLOOKUP(T$5,'4. Billing Determinants'!$B$19:$N$41,3,0)/'4. Billing Determinants'!$D$41*$D37)))))</f>
        <v>0</v>
      </c>
      <c r="U37" s="150">
        <f>IF(U$5="",0,IF($E37="kWh",VLOOKUP(U$5,'4. Billing Determinants'!$B$19:$N$41,4,0)/'4. Billing Determinants'!$E$41*$D37,IF($E37="kW",VLOOKUP(U$5,'4. Billing Determinants'!$B$19:$N$41,5,0)/'4. Billing Determinants'!$F$41*$D37,IF($E37="Non-RPP kWh",VLOOKUP(U$5,'4. Billing Determinants'!$B$19:$N$41,6,0)/'4. Billing Determinants'!$G$41*$D37,IF($E37="Distribution Rev.",VLOOKUP(U$5,'4. Billing Determinants'!$B$19:$N$41,8,0)/'4. Billing Determinants'!$I$41*$D37, VLOOKUP(U$5,'4. Billing Determinants'!$B$19:$N$41,3,0)/'4. Billing Determinants'!$D$41*$D37)))))</f>
        <v>0</v>
      </c>
      <c r="V37" s="150">
        <f>IF(V$5="",0,IF($E37="kWh",VLOOKUP(V$5,'4. Billing Determinants'!$B$19:$N$41,4,0)/'4. Billing Determinants'!$E$41*$D37,IF($E37="kW",VLOOKUP(V$5,'4. Billing Determinants'!$B$19:$N$41,5,0)/'4. Billing Determinants'!$F$41*$D37,IF($E37="Non-RPP kWh",VLOOKUP(V$5,'4. Billing Determinants'!$B$19:$N$41,6,0)/'4. Billing Determinants'!$G$41*$D37,IF($E37="Distribution Rev.",VLOOKUP(V$5,'4. Billing Determinants'!$B$19:$N$41,8,0)/'4. Billing Determinants'!$I$41*$D37, VLOOKUP(V$5,'4. Billing Determinants'!$B$19:$N$41,3,0)/'4. Billing Determinants'!$D$41*$D37)))))</f>
        <v>0</v>
      </c>
      <c r="W37" s="150">
        <f>IF(W$5="",0,IF($E37="kWh",VLOOKUP(W$5,'4. Billing Determinants'!$B$19:$N$41,4,0)/'4. Billing Determinants'!$E$41*$D37,IF($E37="kW",VLOOKUP(W$5,'4. Billing Determinants'!$B$19:$N$41,5,0)/'4. Billing Determinants'!$F$41*$D37,IF($E37="Non-RPP kWh",VLOOKUP(W$5,'4. Billing Determinants'!$B$19:$N$41,6,0)/'4. Billing Determinants'!$G$41*$D37,IF($E37="Distribution Rev.",VLOOKUP(W$5,'4. Billing Determinants'!$B$19:$N$41,8,0)/'4. Billing Determinants'!$I$41*$D37, VLOOKUP(W$5,'4. Billing Determinants'!$B$19:$N$41,3,0)/'4. Billing Determinants'!$D$41*$D37)))))</f>
        <v>0</v>
      </c>
      <c r="X37" s="150">
        <f>IF(X$5="",0,IF($E37="kWh",VLOOKUP(X$5,'4. Billing Determinants'!$B$19:$N$41,4,0)/'4. Billing Determinants'!$E$41*$D37,IF($E37="kW",VLOOKUP(X$5,'4. Billing Determinants'!$B$19:$N$41,5,0)/'4. Billing Determinants'!$F$41*$D37,IF($E37="Non-RPP kWh",VLOOKUP(X$5,'4. Billing Determinants'!$B$19:$N$41,6,0)/'4. Billing Determinants'!$G$41*$D37,IF($E37="Distribution Rev.",VLOOKUP(X$5,'4. Billing Determinants'!$B$19:$N$41,8,0)/'4. Billing Determinants'!$I$41*$D37, VLOOKUP(X$5,'4. Billing Determinants'!$B$19:$N$41,3,0)/'4. Billing Determinants'!$D$41*$D37)))))</f>
        <v>0</v>
      </c>
      <c r="Y37" s="150">
        <f>IF(Y$5="",0,IF($E37="kWh",VLOOKUP(Y$5,'4. Billing Determinants'!$B$19:$N$41,4,0)/'4. Billing Determinants'!$E$41*$D37,IF($E37="kW",VLOOKUP(Y$5,'4. Billing Determinants'!$B$19:$N$41,5,0)/'4. Billing Determinants'!$F$41*$D37,IF($E37="Non-RPP kWh",VLOOKUP(Y$5,'4. Billing Determinants'!$B$19:$N$41,6,0)/'4. Billing Determinants'!$G$41*$D37,IF($E37="Distribution Rev.",VLOOKUP(Y$5,'4. Billing Determinants'!$B$19:$N$41,8,0)/'4. Billing Determinants'!$I$41*$D37, VLOOKUP(Y$5,'4. Billing Determinants'!$B$19:$N$41,3,0)/'4. Billing Determinants'!$D$41*$D37)))))</f>
        <v>0</v>
      </c>
    </row>
    <row r="38" spans="1:25" hidden="1" x14ac:dyDescent="0.2">
      <c r="B38" s="152" t="s">
        <v>7</v>
      </c>
      <c r="C38" s="149">
        <v>2425</v>
      </c>
      <c r="D38" s="211">
        <f>'2. 2013 Continuity Schedule'!CF60</f>
        <v>0</v>
      </c>
      <c r="E38" s="219"/>
      <c r="F38" s="211">
        <f>IF(F$5="",0,IF($E38="kWh",VLOOKUP(F$5,'4. Billing Determinants'!$B$19:$N$41,4,0)/'4. Billing Determinants'!$E$41*$D38,IF($E38="kW",VLOOKUP(F$5,'4. Billing Determinants'!$B$19:$N$41,5,0)/'4. Billing Determinants'!$F$41*$D38,IF($E38="Non-RPP kWh",VLOOKUP(F$5,'4. Billing Determinants'!$B$19:$N$41,6,0)/'4. Billing Determinants'!$G$41*$D38,IF($E38="Distribution Rev.",VLOOKUP(F$5,'4. Billing Determinants'!$B$19:$N$41,8,0)/'4. Billing Determinants'!$I$41*$D38, VLOOKUP(F$5,'4. Billing Determinants'!$B$19:$N$41,3,0)/'4. Billing Determinants'!$D$41*$D38)))))</f>
        <v>0</v>
      </c>
      <c r="G38" s="211">
        <f>IF(G$5="",0,IF($E38="kWh",VLOOKUP(G$5,'4. Billing Determinants'!$B$19:$N$41,4,0)/'4. Billing Determinants'!$E$41*$D38,IF($E38="kW",VLOOKUP(G$5,'4. Billing Determinants'!$B$19:$N$41,5,0)/'4. Billing Determinants'!$F$41*$D38,IF($E38="Non-RPP kWh",VLOOKUP(G$5,'4. Billing Determinants'!$B$19:$N$41,6,0)/'4. Billing Determinants'!$G$41*$D38,IF($E38="Distribution Rev.",VLOOKUP(G$5,'4. Billing Determinants'!$B$19:$N$41,8,0)/'4. Billing Determinants'!$I$41*$D38, VLOOKUP(G$5,'4. Billing Determinants'!$B$19:$N$41,3,0)/'4. Billing Determinants'!$D$41*$D38)))))</f>
        <v>0</v>
      </c>
      <c r="H38" s="211">
        <f>IF(H$5="",0,IF($E38="kWh",VLOOKUP(H$5,'4. Billing Determinants'!$B$19:$N$41,4,0)/'4. Billing Determinants'!$E$41*$D38,IF($E38="kW",VLOOKUP(H$5,'4. Billing Determinants'!$B$19:$N$41,5,0)/'4. Billing Determinants'!$F$41*$D38,IF($E38="Non-RPP kWh",VLOOKUP(H$5,'4. Billing Determinants'!$B$19:$N$41,6,0)/'4. Billing Determinants'!$G$41*$D38,IF($E38="Distribution Rev.",VLOOKUP(H$5,'4. Billing Determinants'!$B$19:$N$41,8,0)/'4. Billing Determinants'!$I$41*$D38, VLOOKUP(H$5,'4. Billing Determinants'!$B$19:$N$41,3,0)/'4. Billing Determinants'!$D$41*$D38)))))</f>
        <v>0</v>
      </c>
      <c r="I38" s="211">
        <f>IF(I$5="",0,IF($E38="kWh",VLOOKUP(I$5,'4. Billing Determinants'!$B$19:$N$41,4,0)/'4. Billing Determinants'!$E$41*$D38,IF($E38="kW",VLOOKUP(I$5,'4. Billing Determinants'!$B$19:$N$41,5,0)/'4. Billing Determinants'!$F$41*$D38,IF($E38="Non-RPP kWh",VLOOKUP(I$5,'4. Billing Determinants'!$B$19:$N$41,6,0)/'4. Billing Determinants'!$G$41*$D38,IF($E38="Distribution Rev.",VLOOKUP(I$5,'4. Billing Determinants'!$B$19:$N$41,8,0)/'4. Billing Determinants'!$I$41*$D38, VLOOKUP(I$5,'4. Billing Determinants'!$B$19:$N$41,3,0)/'4. Billing Determinants'!$D$41*$D38)))))</f>
        <v>0</v>
      </c>
      <c r="J38" s="211">
        <f>IF(J$5="",0,IF($E38="kWh",VLOOKUP(J$5,'4. Billing Determinants'!$B$19:$N$41,4,0)/'4. Billing Determinants'!$E$41*$D38,IF($E38="kW",VLOOKUP(J$5,'4. Billing Determinants'!$B$19:$N$41,5,0)/'4. Billing Determinants'!$F$41*$D38,IF($E38="Non-RPP kWh",VLOOKUP(J$5,'4. Billing Determinants'!$B$19:$N$41,6,0)/'4. Billing Determinants'!$G$41*$D38,IF($E38="Distribution Rev.",VLOOKUP(J$5,'4. Billing Determinants'!$B$19:$N$41,8,0)/'4. Billing Determinants'!$I$41*$D38, VLOOKUP(J$5,'4. Billing Determinants'!$B$19:$N$41,3,0)/'4. Billing Determinants'!$D$41*$D38)))))</f>
        <v>0</v>
      </c>
      <c r="K38" s="211">
        <f>IF(K$5="",0,IF($E38="kWh",VLOOKUP(K$5,'4. Billing Determinants'!$B$19:$N$41,4,0)/'4. Billing Determinants'!$E$41*$D38,IF($E38="kW",VLOOKUP(K$5,'4. Billing Determinants'!$B$19:$N$41,5,0)/'4. Billing Determinants'!$F$41*$D38,IF($E38="Non-RPP kWh",VLOOKUP(K$5,'4. Billing Determinants'!$B$19:$N$41,6,0)/'4. Billing Determinants'!$G$41*$D38,IF($E38="Distribution Rev.",VLOOKUP(K$5,'4. Billing Determinants'!$B$19:$N$41,8,0)/'4. Billing Determinants'!$I$41*$D38, VLOOKUP(K$5,'4. Billing Determinants'!$B$19:$N$41,3,0)/'4. Billing Determinants'!$D$41*$D38)))))</f>
        <v>0</v>
      </c>
      <c r="L38" s="211">
        <f>IF(L$5="",0,IF($E38="kWh",VLOOKUP(L$5,'4. Billing Determinants'!$B$19:$N$41,4,0)/'4. Billing Determinants'!$E$41*$D38,IF($E38="kW",VLOOKUP(L$5,'4. Billing Determinants'!$B$19:$N$41,5,0)/'4. Billing Determinants'!$F$41*$D38,IF($E38="Non-RPP kWh",VLOOKUP(L$5,'4. Billing Determinants'!$B$19:$N$41,6,0)/'4. Billing Determinants'!$G$41*$D38,IF($E38="Distribution Rev.",VLOOKUP(L$5,'4. Billing Determinants'!$B$19:$N$41,8,0)/'4. Billing Determinants'!$I$41*$D38, VLOOKUP(L$5,'4. Billing Determinants'!$B$19:$N$41,3,0)/'4. Billing Determinants'!$D$41*$D38)))))</f>
        <v>0</v>
      </c>
      <c r="M38" s="150">
        <f>IF(M$5="",0,IF($E38="kWh",VLOOKUP(M$5,'4. Billing Determinants'!$B$19:$N$41,4,0)/'4. Billing Determinants'!$E$41*$D38,IF($E38="kW",VLOOKUP(M$5,'4. Billing Determinants'!$B$19:$N$41,5,0)/'4. Billing Determinants'!$F$41*$D38,IF($E38="Non-RPP kWh",VLOOKUP(M$5,'4. Billing Determinants'!$B$19:$N$41,6,0)/'4. Billing Determinants'!$G$41*$D38,IF($E38="Distribution Rev.",VLOOKUP(M$5,'4. Billing Determinants'!$B$19:$N$41,8,0)/'4. Billing Determinants'!$I$41*$D38, VLOOKUP(M$5,'4. Billing Determinants'!$B$19:$N$41,3,0)/'4. Billing Determinants'!$D$41*$D38)))))</f>
        <v>0</v>
      </c>
      <c r="N38" s="150">
        <f>IF(N$5="",0,IF($E38="kWh",VLOOKUP(N$5,'4. Billing Determinants'!$B$19:$N$41,4,0)/'4. Billing Determinants'!$E$41*$D38,IF($E38="kW",VLOOKUP(N$5,'4. Billing Determinants'!$B$19:$N$41,5,0)/'4. Billing Determinants'!$F$41*$D38,IF($E38="Non-RPP kWh",VLOOKUP(N$5,'4. Billing Determinants'!$B$19:$N$41,6,0)/'4. Billing Determinants'!$G$41*$D38,IF($E38="Distribution Rev.",VLOOKUP(N$5,'4. Billing Determinants'!$B$19:$N$41,8,0)/'4. Billing Determinants'!$I$41*$D38, VLOOKUP(N$5,'4. Billing Determinants'!$B$19:$N$41,3,0)/'4. Billing Determinants'!$D$41*$D38)))))</f>
        <v>0</v>
      </c>
      <c r="O38" s="150">
        <f>IF(O$5="",0,IF($E38="kWh",VLOOKUP(O$5,'4. Billing Determinants'!$B$19:$N$41,4,0)/'4. Billing Determinants'!$E$41*$D38,IF($E38="kW",VLOOKUP(O$5,'4. Billing Determinants'!$B$19:$N$41,5,0)/'4. Billing Determinants'!$F$41*$D38,IF($E38="Non-RPP kWh",VLOOKUP(O$5,'4. Billing Determinants'!$B$19:$N$41,6,0)/'4. Billing Determinants'!$G$41*$D38,IF($E38="Distribution Rev.",VLOOKUP(O$5,'4. Billing Determinants'!$B$19:$N$41,8,0)/'4. Billing Determinants'!$I$41*$D38, VLOOKUP(O$5,'4. Billing Determinants'!$B$19:$N$41,3,0)/'4. Billing Determinants'!$D$41*$D38)))))</f>
        <v>0</v>
      </c>
      <c r="P38" s="150">
        <f>IF(P$5="",0,IF($E38="kWh",VLOOKUP(P$5,'4. Billing Determinants'!$B$19:$N$41,4,0)/'4. Billing Determinants'!$E$41*$D38,IF($E38="kW",VLOOKUP(P$5,'4. Billing Determinants'!$B$19:$N$41,5,0)/'4. Billing Determinants'!$F$41*$D38,IF($E38="Non-RPP kWh",VLOOKUP(P$5,'4. Billing Determinants'!$B$19:$N$41,6,0)/'4. Billing Determinants'!$G$41*$D38,IF($E38="Distribution Rev.",VLOOKUP(P$5,'4. Billing Determinants'!$B$19:$N$41,8,0)/'4. Billing Determinants'!$I$41*$D38, VLOOKUP(P$5,'4. Billing Determinants'!$B$19:$N$41,3,0)/'4. Billing Determinants'!$D$41*$D38)))))</f>
        <v>0</v>
      </c>
      <c r="Q38" s="150">
        <f>IF(Q$5="",0,IF($E38="kWh",VLOOKUP(Q$5,'4. Billing Determinants'!$B$19:$N$41,4,0)/'4. Billing Determinants'!$E$41*$D38,IF($E38="kW",VLOOKUP(Q$5,'4. Billing Determinants'!$B$19:$N$41,5,0)/'4. Billing Determinants'!$F$41*$D38,IF($E38="Non-RPP kWh",VLOOKUP(Q$5,'4. Billing Determinants'!$B$19:$N$41,6,0)/'4. Billing Determinants'!$G$41*$D38,IF($E38="Distribution Rev.",VLOOKUP(Q$5,'4. Billing Determinants'!$B$19:$N$41,8,0)/'4. Billing Determinants'!$I$41*$D38, VLOOKUP(Q$5,'4. Billing Determinants'!$B$19:$N$41,3,0)/'4. Billing Determinants'!$D$41*$D38)))))</f>
        <v>0</v>
      </c>
      <c r="R38" s="150">
        <f>IF(R$5="",0,IF($E38="kWh",VLOOKUP(R$5,'4. Billing Determinants'!$B$19:$N$41,4,0)/'4. Billing Determinants'!$E$41*$D38,IF($E38="kW",VLOOKUP(R$5,'4. Billing Determinants'!$B$19:$N$41,5,0)/'4. Billing Determinants'!$F$41*$D38,IF($E38="Non-RPP kWh",VLOOKUP(R$5,'4. Billing Determinants'!$B$19:$N$41,6,0)/'4. Billing Determinants'!$G$41*$D38,IF($E38="Distribution Rev.",VLOOKUP(R$5,'4. Billing Determinants'!$B$19:$N$41,8,0)/'4. Billing Determinants'!$I$41*$D38, VLOOKUP(R$5,'4. Billing Determinants'!$B$19:$N$41,3,0)/'4. Billing Determinants'!$D$41*$D38)))))</f>
        <v>0</v>
      </c>
      <c r="S38" s="150">
        <f>IF(S$5="",0,IF($E38="kWh",VLOOKUP(S$5,'4. Billing Determinants'!$B$19:$N$41,4,0)/'4. Billing Determinants'!$E$41*$D38,IF($E38="kW",VLOOKUP(S$5,'4. Billing Determinants'!$B$19:$N$41,5,0)/'4. Billing Determinants'!$F$41*$D38,IF($E38="Non-RPP kWh",VLOOKUP(S$5,'4. Billing Determinants'!$B$19:$N$41,6,0)/'4. Billing Determinants'!$G$41*$D38,IF($E38="Distribution Rev.",VLOOKUP(S$5,'4. Billing Determinants'!$B$19:$N$41,8,0)/'4. Billing Determinants'!$I$41*$D38, VLOOKUP(S$5,'4. Billing Determinants'!$B$19:$N$41,3,0)/'4. Billing Determinants'!$D$41*$D38)))))</f>
        <v>0</v>
      </c>
      <c r="T38" s="150">
        <f>IF(T$5="",0,IF($E38="kWh",VLOOKUP(T$5,'4. Billing Determinants'!$B$19:$N$41,4,0)/'4. Billing Determinants'!$E$41*$D38,IF($E38="kW",VLOOKUP(T$5,'4. Billing Determinants'!$B$19:$N$41,5,0)/'4. Billing Determinants'!$F$41*$D38,IF($E38="Non-RPP kWh",VLOOKUP(T$5,'4. Billing Determinants'!$B$19:$N$41,6,0)/'4. Billing Determinants'!$G$41*$D38,IF($E38="Distribution Rev.",VLOOKUP(T$5,'4. Billing Determinants'!$B$19:$N$41,8,0)/'4. Billing Determinants'!$I$41*$D38, VLOOKUP(T$5,'4. Billing Determinants'!$B$19:$N$41,3,0)/'4. Billing Determinants'!$D$41*$D38)))))</f>
        <v>0</v>
      </c>
      <c r="U38" s="150">
        <f>IF(U$5="",0,IF($E38="kWh",VLOOKUP(U$5,'4. Billing Determinants'!$B$19:$N$41,4,0)/'4. Billing Determinants'!$E$41*$D38,IF($E38="kW",VLOOKUP(U$5,'4. Billing Determinants'!$B$19:$N$41,5,0)/'4. Billing Determinants'!$F$41*$D38,IF($E38="Non-RPP kWh",VLOOKUP(U$5,'4. Billing Determinants'!$B$19:$N$41,6,0)/'4. Billing Determinants'!$G$41*$D38,IF($E38="Distribution Rev.",VLOOKUP(U$5,'4. Billing Determinants'!$B$19:$N$41,8,0)/'4. Billing Determinants'!$I$41*$D38, VLOOKUP(U$5,'4. Billing Determinants'!$B$19:$N$41,3,0)/'4. Billing Determinants'!$D$41*$D38)))))</f>
        <v>0</v>
      </c>
      <c r="V38" s="150">
        <f>IF(V$5="",0,IF($E38="kWh",VLOOKUP(V$5,'4. Billing Determinants'!$B$19:$N$41,4,0)/'4. Billing Determinants'!$E$41*$D38,IF($E38="kW",VLOOKUP(V$5,'4. Billing Determinants'!$B$19:$N$41,5,0)/'4. Billing Determinants'!$F$41*$D38,IF($E38="Non-RPP kWh",VLOOKUP(V$5,'4. Billing Determinants'!$B$19:$N$41,6,0)/'4. Billing Determinants'!$G$41*$D38,IF($E38="Distribution Rev.",VLOOKUP(V$5,'4. Billing Determinants'!$B$19:$N$41,8,0)/'4. Billing Determinants'!$I$41*$D38, VLOOKUP(V$5,'4. Billing Determinants'!$B$19:$N$41,3,0)/'4. Billing Determinants'!$D$41*$D38)))))</f>
        <v>0</v>
      </c>
      <c r="W38" s="150">
        <f>IF(W$5="",0,IF($E38="kWh",VLOOKUP(W$5,'4. Billing Determinants'!$B$19:$N$41,4,0)/'4. Billing Determinants'!$E$41*$D38,IF($E38="kW",VLOOKUP(W$5,'4. Billing Determinants'!$B$19:$N$41,5,0)/'4. Billing Determinants'!$F$41*$D38,IF($E38="Non-RPP kWh",VLOOKUP(W$5,'4. Billing Determinants'!$B$19:$N$41,6,0)/'4. Billing Determinants'!$G$41*$D38,IF($E38="Distribution Rev.",VLOOKUP(W$5,'4. Billing Determinants'!$B$19:$N$41,8,0)/'4. Billing Determinants'!$I$41*$D38, VLOOKUP(W$5,'4. Billing Determinants'!$B$19:$N$41,3,0)/'4. Billing Determinants'!$D$41*$D38)))))</f>
        <v>0</v>
      </c>
      <c r="X38" s="150">
        <f>IF(X$5="",0,IF($E38="kWh",VLOOKUP(X$5,'4. Billing Determinants'!$B$19:$N$41,4,0)/'4. Billing Determinants'!$E$41*$D38,IF($E38="kW",VLOOKUP(X$5,'4. Billing Determinants'!$B$19:$N$41,5,0)/'4. Billing Determinants'!$F$41*$D38,IF($E38="Non-RPP kWh",VLOOKUP(X$5,'4. Billing Determinants'!$B$19:$N$41,6,0)/'4. Billing Determinants'!$G$41*$D38,IF($E38="Distribution Rev.",VLOOKUP(X$5,'4. Billing Determinants'!$B$19:$N$41,8,0)/'4. Billing Determinants'!$I$41*$D38, VLOOKUP(X$5,'4. Billing Determinants'!$B$19:$N$41,3,0)/'4. Billing Determinants'!$D$41*$D38)))))</f>
        <v>0</v>
      </c>
      <c r="Y38" s="150">
        <f>IF(Y$5="",0,IF($E38="kWh",VLOOKUP(Y$5,'4. Billing Determinants'!$B$19:$N$41,4,0)/'4. Billing Determinants'!$E$41*$D38,IF($E38="kW",VLOOKUP(Y$5,'4. Billing Determinants'!$B$19:$N$41,5,0)/'4. Billing Determinants'!$F$41*$D38,IF($E38="Non-RPP kWh",VLOOKUP(Y$5,'4. Billing Determinants'!$B$19:$N$41,6,0)/'4. Billing Determinants'!$G$41*$D38,IF($E38="Distribution Rev.",VLOOKUP(Y$5,'4. Billing Determinants'!$B$19:$N$41,8,0)/'4. Billing Determinants'!$I$41*$D38, VLOOKUP(Y$5,'4. Billing Determinants'!$B$19:$N$41,3,0)/'4. Billing Determinants'!$D$41*$D38)))))</f>
        <v>0</v>
      </c>
    </row>
    <row r="39" spans="1:25" s="133" customFormat="1" x14ac:dyDescent="0.2">
      <c r="A39" s="132"/>
      <c r="B39" s="203" t="s">
        <v>188</v>
      </c>
      <c r="C39" s="205"/>
      <c r="D39" s="214">
        <f>SUM(D18:D38)</f>
        <v>287224.76130400004</v>
      </c>
      <c r="E39" s="215"/>
      <c r="F39" s="214">
        <f>SUM(F18:F38)</f>
        <v>257014.74298624671</v>
      </c>
      <c r="G39" s="214">
        <f t="shared" ref="G39:Y39" si="1">SUM(G18:G38)</f>
        <v>25819.993502531128</v>
      </c>
      <c r="H39" s="214">
        <f t="shared" si="1"/>
        <v>3014.0262788219247</v>
      </c>
      <c r="I39" s="214">
        <f t="shared" si="1"/>
        <v>159.05983583135446</v>
      </c>
      <c r="J39" s="214">
        <f t="shared" si="1"/>
        <v>325.49980914267923</v>
      </c>
      <c r="K39" s="214">
        <f t="shared" si="1"/>
        <v>849.35943093889068</v>
      </c>
      <c r="L39" s="214">
        <f t="shared" si="1"/>
        <v>42.079460487312851</v>
      </c>
      <c r="M39" s="160">
        <f t="shared" si="1"/>
        <v>0</v>
      </c>
      <c r="N39" s="160">
        <f t="shared" si="1"/>
        <v>0</v>
      </c>
      <c r="O39" s="160">
        <f t="shared" si="1"/>
        <v>0</v>
      </c>
      <c r="P39" s="160">
        <f t="shared" si="1"/>
        <v>0</v>
      </c>
      <c r="Q39" s="160">
        <f t="shared" si="1"/>
        <v>0</v>
      </c>
      <c r="R39" s="160">
        <f t="shared" si="1"/>
        <v>0</v>
      </c>
      <c r="S39" s="160">
        <f t="shared" si="1"/>
        <v>0</v>
      </c>
      <c r="T39" s="160">
        <f t="shared" si="1"/>
        <v>0</v>
      </c>
      <c r="U39" s="160">
        <f t="shared" si="1"/>
        <v>0</v>
      </c>
      <c r="V39" s="160">
        <f t="shared" si="1"/>
        <v>0</v>
      </c>
      <c r="W39" s="160">
        <f t="shared" si="1"/>
        <v>0</v>
      </c>
      <c r="X39" s="160">
        <f t="shared" si="1"/>
        <v>0</v>
      </c>
      <c r="Y39" s="160">
        <f t="shared" si="1"/>
        <v>0</v>
      </c>
    </row>
    <row r="40" spans="1:25" s="153" customFormat="1" x14ac:dyDescent="0.2">
      <c r="B40" s="193"/>
      <c r="C40" s="154"/>
      <c r="D40" s="220"/>
      <c r="E40" s="221"/>
      <c r="F40" s="220"/>
      <c r="G40" s="220"/>
      <c r="H40" s="220"/>
      <c r="I40" s="220"/>
      <c r="J40" s="220"/>
      <c r="K40" s="220"/>
      <c r="L40" s="220"/>
      <c r="M40" s="155"/>
      <c r="N40" s="155"/>
      <c r="O40" s="155"/>
      <c r="P40" s="155"/>
      <c r="Q40" s="155"/>
      <c r="R40" s="155"/>
      <c r="S40" s="155"/>
      <c r="T40" s="155"/>
      <c r="U40" s="155"/>
      <c r="V40" s="155"/>
      <c r="W40" s="155"/>
      <c r="X40" s="155"/>
      <c r="Y40" s="155"/>
    </row>
    <row r="41" spans="1:25" hidden="1" x14ac:dyDescent="0.2">
      <c r="B41" s="159" t="s">
        <v>16</v>
      </c>
      <c r="C41" s="158">
        <v>1562</v>
      </c>
      <c r="D41" s="222">
        <v>0</v>
      </c>
      <c r="E41" s="219"/>
      <c r="F41" s="211">
        <f>IF(F$5="",0,IF($E41="kWh",VLOOKUP(F$5,'4. Billing Determinants'!$B$19:$N$41,4,0)/'4. Billing Determinants'!$E$41*$D41,IF($E41="kW",VLOOKUP(F$5,'4. Billing Determinants'!$B$19:$N$41,5,0)/'4. Billing Determinants'!$F$41*$D41,IF($E41="Non-RPP kWh",VLOOKUP(F$5,'4. Billing Determinants'!$B$19:$N$41,6,0)/'4. Billing Determinants'!$G$41*$D41,IF($E41="Distribution Rev.",VLOOKUP(F$5,'4. Billing Determinants'!$B$19:$N$41,8,0)/'4. Billing Determinants'!$I$41*$D41, VLOOKUP(F$5,'4. Billing Determinants'!$B$19:$N$41,3,0)/'4. Billing Determinants'!$D$41*$D41)))))</f>
        <v>0</v>
      </c>
      <c r="G41" s="211">
        <f>IF(G$5="",0,IF($E41="kWh",VLOOKUP(G$5,'4. Billing Determinants'!$B$19:$N$41,4,0)/'4. Billing Determinants'!$E$41*$D41,IF($E41="kW",VLOOKUP(G$5,'4. Billing Determinants'!$B$19:$N$41,5,0)/'4. Billing Determinants'!$F$41*$D41,IF($E41="Non-RPP kWh",VLOOKUP(G$5,'4. Billing Determinants'!$B$19:$N$41,6,0)/'4. Billing Determinants'!$G$41*$D41,IF($E41="Distribution Rev.",VLOOKUP(G$5,'4. Billing Determinants'!$B$19:$N$41,8,0)/'4. Billing Determinants'!$I$41*$D41, VLOOKUP(G$5,'4. Billing Determinants'!$B$19:$N$41,3,0)/'4. Billing Determinants'!$D$41*$D41)))))</f>
        <v>0</v>
      </c>
      <c r="H41" s="211">
        <f>IF(H$5="",0,IF($E41="kWh",VLOOKUP(H$5,'4. Billing Determinants'!$B$19:$N$41,4,0)/'4. Billing Determinants'!$E$41*$D41,IF($E41="kW",VLOOKUP(H$5,'4. Billing Determinants'!$B$19:$N$41,5,0)/'4. Billing Determinants'!$F$41*$D41,IF($E41="Non-RPP kWh",VLOOKUP(H$5,'4. Billing Determinants'!$B$19:$N$41,6,0)/'4. Billing Determinants'!$G$41*$D41,IF($E41="Distribution Rev.",VLOOKUP(H$5,'4. Billing Determinants'!$B$19:$N$41,8,0)/'4. Billing Determinants'!$I$41*$D41, VLOOKUP(H$5,'4. Billing Determinants'!$B$19:$N$41,3,0)/'4. Billing Determinants'!$D$41*$D41)))))</f>
        <v>0</v>
      </c>
      <c r="I41" s="211">
        <f>IF(I$5="",0,IF($E41="kWh",VLOOKUP(I$5,'4. Billing Determinants'!$B$19:$N$41,4,0)/'4. Billing Determinants'!$E$41*$D41,IF($E41="kW",VLOOKUP(I$5,'4. Billing Determinants'!$B$19:$N$41,5,0)/'4. Billing Determinants'!$F$41*$D41,IF($E41="Non-RPP kWh",VLOOKUP(I$5,'4. Billing Determinants'!$B$19:$N$41,6,0)/'4. Billing Determinants'!$G$41*$D41,IF($E41="Distribution Rev.",VLOOKUP(I$5,'4. Billing Determinants'!$B$19:$N$41,8,0)/'4. Billing Determinants'!$I$41*$D41, VLOOKUP(I$5,'4. Billing Determinants'!$B$19:$N$41,3,0)/'4. Billing Determinants'!$D$41*$D41)))))</f>
        <v>0</v>
      </c>
      <c r="J41" s="211">
        <f>IF(J$5="",0,IF($E41="kWh",VLOOKUP(J$5,'4. Billing Determinants'!$B$19:$N$41,4,0)/'4. Billing Determinants'!$E$41*$D41,IF($E41="kW",VLOOKUP(J$5,'4. Billing Determinants'!$B$19:$N$41,5,0)/'4. Billing Determinants'!$F$41*$D41,IF($E41="Non-RPP kWh",VLOOKUP(J$5,'4. Billing Determinants'!$B$19:$N$41,6,0)/'4. Billing Determinants'!$G$41*$D41,IF($E41="Distribution Rev.",VLOOKUP(J$5,'4. Billing Determinants'!$B$19:$N$41,8,0)/'4. Billing Determinants'!$I$41*$D41, VLOOKUP(J$5,'4. Billing Determinants'!$B$19:$N$41,3,0)/'4. Billing Determinants'!$D$41*$D41)))))</f>
        <v>0</v>
      </c>
      <c r="K41" s="211">
        <f>IF(K$5="",0,IF($E41="kWh",VLOOKUP(K$5,'4. Billing Determinants'!$B$19:$N$41,4,0)/'4. Billing Determinants'!$E$41*$D41,IF($E41="kW",VLOOKUP(K$5,'4. Billing Determinants'!$B$19:$N$41,5,0)/'4. Billing Determinants'!$F$41*$D41,IF($E41="Non-RPP kWh",VLOOKUP(K$5,'4. Billing Determinants'!$B$19:$N$41,6,0)/'4. Billing Determinants'!$G$41*$D41,IF($E41="Distribution Rev.",VLOOKUP(K$5,'4. Billing Determinants'!$B$19:$N$41,8,0)/'4. Billing Determinants'!$I$41*$D41, VLOOKUP(K$5,'4. Billing Determinants'!$B$19:$N$41,3,0)/'4. Billing Determinants'!$D$41*$D41)))))</f>
        <v>0</v>
      </c>
      <c r="L41" s="211">
        <f>IF(L$5="",0,IF($E41="kWh",VLOOKUP(L$5,'4. Billing Determinants'!$B$19:$N$41,4,0)/'4. Billing Determinants'!$E$41*$D41,IF($E41="kW",VLOOKUP(L$5,'4. Billing Determinants'!$B$19:$N$41,5,0)/'4. Billing Determinants'!$F$41*$D41,IF($E41="Non-RPP kWh",VLOOKUP(L$5,'4. Billing Determinants'!$B$19:$N$41,6,0)/'4. Billing Determinants'!$G$41*$D41,IF($E41="Distribution Rev.",VLOOKUP(L$5,'4. Billing Determinants'!$B$19:$N$41,8,0)/'4. Billing Determinants'!$I$41*$D41, VLOOKUP(L$5,'4. Billing Determinants'!$B$19:$N$41,3,0)/'4. Billing Determinants'!$D$41*$D41)))))</f>
        <v>0</v>
      </c>
      <c r="M41" s="150">
        <f>IF(M$5="",0,IF($E41="kWh",VLOOKUP(M$5,'4. Billing Determinants'!$B$19:$N$41,4,0)/'4. Billing Determinants'!$E$41*$D41,IF($E41="kW",VLOOKUP(M$5,'4. Billing Determinants'!$B$19:$N$41,5,0)/'4. Billing Determinants'!$F$41*$D41,IF($E41="Non-RPP kWh",VLOOKUP(M$5,'4. Billing Determinants'!$B$19:$N$41,6,0)/'4. Billing Determinants'!$G$41*$D41,IF($E41="Distribution Rev.",VLOOKUP(M$5,'4. Billing Determinants'!$B$19:$N$41,8,0)/'4. Billing Determinants'!$I$41*$D41, VLOOKUP(M$5,'4. Billing Determinants'!$B$19:$N$41,3,0)/'4. Billing Determinants'!$D$41*$D41)))))</f>
        <v>0</v>
      </c>
      <c r="N41" s="150">
        <f>IF(N$5="",0,IF($E41="kWh",VLOOKUP(N$5,'4. Billing Determinants'!$B$19:$N$41,4,0)/'4. Billing Determinants'!$E$41*$D41,IF($E41="kW",VLOOKUP(N$5,'4. Billing Determinants'!$B$19:$N$41,5,0)/'4. Billing Determinants'!$F$41*$D41,IF($E41="Non-RPP kWh",VLOOKUP(N$5,'4. Billing Determinants'!$B$19:$N$41,6,0)/'4. Billing Determinants'!$G$41*$D41,IF($E41="Distribution Rev.",VLOOKUP(N$5,'4. Billing Determinants'!$B$19:$N$41,8,0)/'4. Billing Determinants'!$I$41*$D41, VLOOKUP(N$5,'4. Billing Determinants'!$B$19:$N$41,3,0)/'4. Billing Determinants'!$D$41*$D41)))))</f>
        <v>0</v>
      </c>
      <c r="O41" s="150">
        <f>IF(O$5="",0,IF($E41="kWh",VLOOKUP(O$5,'4. Billing Determinants'!$B$19:$N$41,4,0)/'4. Billing Determinants'!$E$41*$D41,IF($E41="kW",VLOOKUP(O$5,'4. Billing Determinants'!$B$19:$N$41,5,0)/'4. Billing Determinants'!$F$41*$D41,IF($E41="Non-RPP kWh",VLOOKUP(O$5,'4. Billing Determinants'!$B$19:$N$41,6,0)/'4. Billing Determinants'!$G$41*$D41,IF($E41="Distribution Rev.",VLOOKUP(O$5,'4. Billing Determinants'!$B$19:$N$41,8,0)/'4. Billing Determinants'!$I$41*$D41, VLOOKUP(O$5,'4. Billing Determinants'!$B$19:$N$41,3,0)/'4. Billing Determinants'!$D$41*$D41)))))</f>
        <v>0</v>
      </c>
      <c r="P41" s="150">
        <f>IF(P$5="",0,IF($E41="kWh",VLOOKUP(P$5,'4. Billing Determinants'!$B$19:$N$41,4,0)/'4. Billing Determinants'!$E$41*$D41,IF($E41="kW",VLOOKUP(P$5,'4. Billing Determinants'!$B$19:$N$41,5,0)/'4. Billing Determinants'!$F$41*$D41,IF($E41="Non-RPP kWh",VLOOKUP(P$5,'4. Billing Determinants'!$B$19:$N$41,6,0)/'4. Billing Determinants'!$G$41*$D41,IF($E41="Distribution Rev.",VLOOKUP(P$5,'4. Billing Determinants'!$B$19:$N$41,8,0)/'4. Billing Determinants'!$I$41*$D41, VLOOKUP(P$5,'4. Billing Determinants'!$B$19:$N$41,3,0)/'4. Billing Determinants'!$D$41*$D41)))))</f>
        <v>0</v>
      </c>
      <c r="Q41" s="150">
        <f>IF(Q$5="",0,IF($E41="kWh",VLOOKUP(Q$5,'4. Billing Determinants'!$B$19:$N$41,4,0)/'4. Billing Determinants'!$E$41*$D41,IF($E41="kW",VLOOKUP(Q$5,'4. Billing Determinants'!$B$19:$N$41,5,0)/'4. Billing Determinants'!$F$41*$D41,IF($E41="Non-RPP kWh",VLOOKUP(Q$5,'4. Billing Determinants'!$B$19:$N$41,6,0)/'4. Billing Determinants'!$G$41*$D41,IF($E41="Distribution Rev.",VLOOKUP(Q$5,'4. Billing Determinants'!$B$19:$N$41,8,0)/'4. Billing Determinants'!$I$41*$D41, VLOOKUP(Q$5,'4. Billing Determinants'!$B$19:$N$41,3,0)/'4. Billing Determinants'!$D$41*$D41)))))</f>
        <v>0</v>
      </c>
      <c r="R41" s="150">
        <f>IF(R$5="",0,IF($E41="kWh",VLOOKUP(R$5,'4. Billing Determinants'!$B$19:$N$41,4,0)/'4. Billing Determinants'!$E$41*$D41,IF($E41="kW",VLOOKUP(R$5,'4. Billing Determinants'!$B$19:$N$41,5,0)/'4. Billing Determinants'!$F$41*$D41,IF($E41="Non-RPP kWh",VLOOKUP(R$5,'4. Billing Determinants'!$B$19:$N$41,6,0)/'4. Billing Determinants'!$G$41*$D41,IF($E41="Distribution Rev.",VLOOKUP(R$5,'4. Billing Determinants'!$B$19:$N$41,8,0)/'4. Billing Determinants'!$I$41*$D41, VLOOKUP(R$5,'4. Billing Determinants'!$B$19:$N$41,3,0)/'4. Billing Determinants'!$D$41*$D41)))))</f>
        <v>0</v>
      </c>
      <c r="S41" s="150">
        <f>IF(S$5="",0,IF($E41="kWh",VLOOKUP(S$5,'4. Billing Determinants'!$B$19:$N$41,4,0)/'4. Billing Determinants'!$E$41*$D41,IF($E41="kW",VLOOKUP(S$5,'4. Billing Determinants'!$B$19:$N$41,5,0)/'4. Billing Determinants'!$F$41*$D41,IF($E41="Non-RPP kWh",VLOOKUP(S$5,'4. Billing Determinants'!$B$19:$N$41,6,0)/'4. Billing Determinants'!$G$41*$D41,IF($E41="Distribution Rev.",VLOOKUP(S$5,'4. Billing Determinants'!$B$19:$N$41,8,0)/'4. Billing Determinants'!$I$41*$D41, VLOOKUP(S$5,'4. Billing Determinants'!$B$19:$N$41,3,0)/'4. Billing Determinants'!$D$41*$D41)))))</f>
        <v>0</v>
      </c>
      <c r="T41" s="150">
        <f>IF(T$5="",0,IF($E41="kWh",VLOOKUP(T$5,'4. Billing Determinants'!$B$19:$N$41,4,0)/'4. Billing Determinants'!$E$41*$D41,IF($E41="kW",VLOOKUP(T$5,'4. Billing Determinants'!$B$19:$N$41,5,0)/'4. Billing Determinants'!$F$41*$D41,IF($E41="Non-RPP kWh",VLOOKUP(T$5,'4. Billing Determinants'!$B$19:$N$41,6,0)/'4. Billing Determinants'!$G$41*$D41,IF($E41="Distribution Rev.",VLOOKUP(T$5,'4. Billing Determinants'!$B$19:$N$41,8,0)/'4. Billing Determinants'!$I$41*$D41, VLOOKUP(T$5,'4. Billing Determinants'!$B$19:$N$41,3,0)/'4. Billing Determinants'!$D$41*$D41)))))</f>
        <v>0</v>
      </c>
      <c r="U41" s="150">
        <f>IF(U$5="",0,IF($E41="kWh",VLOOKUP(U$5,'4. Billing Determinants'!$B$19:$N$41,4,0)/'4. Billing Determinants'!$E$41*$D41,IF($E41="kW",VLOOKUP(U$5,'4. Billing Determinants'!$B$19:$N$41,5,0)/'4. Billing Determinants'!$F$41*$D41,IF($E41="Non-RPP kWh",VLOOKUP(U$5,'4. Billing Determinants'!$B$19:$N$41,6,0)/'4. Billing Determinants'!$G$41*$D41,IF($E41="Distribution Rev.",VLOOKUP(U$5,'4. Billing Determinants'!$B$19:$N$41,8,0)/'4. Billing Determinants'!$I$41*$D41, VLOOKUP(U$5,'4. Billing Determinants'!$B$19:$N$41,3,0)/'4. Billing Determinants'!$D$41*$D41)))))</f>
        <v>0</v>
      </c>
      <c r="V41" s="150">
        <f>IF(V$5="",0,IF($E41="kWh",VLOOKUP(V$5,'4. Billing Determinants'!$B$19:$N$41,4,0)/'4. Billing Determinants'!$E$41*$D41,IF($E41="kW",VLOOKUP(V$5,'4. Billing Determinants'!$B$19:$N$41,5,0)/'4. Billing Determinants'!$F$41*$D41,IF($E41="Non-RPP kWh",VLOOKUP(V$5,'4. Billing Determinants'!$B$19:$N$41,6,0)/'4. Billing Determinants'!$G$41*$D41,IF($E41="Distribution Rev.",VLOOKUP(V$5,'4. Billing Determinants'!$B$19:$N$41,8,0)/'4. Billing Determinants'!$I$41*$D41, VLOOKUP(V$5,'4. Billing Determinants'!$B$19:$N$41,3,0)/'4. Billing Determinants'!$D$41*$D41)))))</f>
        <v>0</v>
      </c>
      <c r="W41" s="150">
        <f>IF(W$5="",0,IF($E41="kWh",VLOOKUP(W$5,'4. Billing Determinants'!$B$19:$N$41,4,0)/'4. Billing Determinants'!$E$41*$D41,IF($E41="kW",VLOOKUP(W$5,'4. Billing Determinants'!$B$19:$N$41,5,0)/'4. Billing Determinants'!$F$41*$D41,IF($E41="Non-RPP kWh",VLOOKUP(W$5,'4. Billing Determinants'!$B$19:$N$41,6,0)/'4. Billing Determinants'!$G$41*$D41,IF($E41="Distribution Rev.",VLOOKUP(W$5,'4. Billing Determinants'!$B$19:$N$41,8,0)/'4. Billing Determinants'!$I$41*$D41, VLOOKUP(W$5,'4. Billing Determinants'!$B$19:$N$41,3,0)/'4. Billing Determinants'!$D$41*$D41)))))</f>
        <v>0</v>
      </c>
      <c r="X41" s="150">
        <f>IF(X$5="",0,IF($E41="kWh",VLOOKUP(X$5,'4. Billing Determinants'!$B$19:$N$41,4,0)/'4. Billing Determinants'!$E$41*$D41,IF($E41="kW",VLOOKUP(X$5,'4. Billing Determinants'!$B$19:$N$41,5,0)/'4. Billing Determinants'!$F$41*$D41,IF($E41="Non-RPP kWh",VLOOKUP(X$5,'4. Billing Determinants'!$B$19:$N$41,6,0)/'4. Billing Determinants'!$G$41*$D41,IF($E41="Distribution Rev.",VLOOKUP(X$5,'4. Billing Determinants'!$B$19:$N$41,8,0)/'4. Billing Determinants'!$I$41*$D41, VLOOKUP(X$5,'4. Billing Determinants'!$B$19:$N$41,3,0)/'4. Billing Determinants'!$D$41*$D41)))))</f>
        <v>0</v>
      </c>
      <c r="Y41" s="150">
        <f>IF(Y$5="",0,IF($E41="kWh",VLOOKUP(Y$5,'4. Billing Determinants'!$B$19:$N$41,4,0)/'4. Billing Determinants'!$E$41*$D41,IF($E41="kW",VLOOKUP(Y$5,'4. Billing Determinants'!$B$19:$N$41,5,0)/'4. Billing Determinants'!$F$41*$D41,IF($E41="Non-RPP kWh",VLOOKUP(Y$5,'4. Billing Determinants'!$B$19:$N$41,6,0)/'4. Billing Determinants'!$G$41*$D41,IF($E41="Distribution Rev.",VLOOKUP(Y$5,'4. Billing Determinants'!$B$19:$N$41,8,0)/'4. Billing Determinants'!$I$41*$D41, VLOOKUP(Y$5,'4. Billing Determinants'!$B$19:$N$41,3,0)/'4. Billing Determinants'!$D$41*$D41)))))</f>
        <v>0</v>
      </c>
    </row>
    <row r="42" spans="1:25" ht="38.25" hidden="1" x14ac:dyDescent="0.2">
      <c r="B42" s="159" t="s">
        <v>191</v>
      </c>
      <c r="C42" s="158">
        <v>1592</v>
      </c>
      <c r="D42" s="211">
        <f>'2. 2013 Continuity Schedule'!CF65</f>
        <v>0</v>
      </c>
      <c r="E42" s="219"/>
      <c r="F42" s="211">
        <f>IF(F$5="",0,IF($E42="kWh",VLOOKUP(F$5,'4. Billing Determinants'!$B$19:$N$41,4,0)/'4. Billing Determinants'!$E$41*$D42,IF($E42="kW",VLOOKUP(F$5,'4. Billing Determinants'!$B$19:$N$41,5,0)/'4. Billing Determinants'!$F$41*$D42,IF($E42="Non-RPP kWh",VLOOKUP(F$5,'4. Billing Determinants'!$B$19:$N$41,6,0)/'4. Billing Determinants'!$G$41*$D42,IF($E42="Distribution Rev.",VLOOKUP(F$5,'4. Billing Determinants'!$B$19:$N$41,8,0)/'4. Billing Determinants'!$I$41*$D42, VLOOKUP(F$5,'4. Billing Determinants'!$B$19:$N$41,3,0)/'4. Billing Determinants'!$D$41*$D42)))))</f>
        <v>0</v>
      </c>
      <c r="G42" s="211">
        <f>IF(G$5="",0,IF($E42="kWh",VLOOKUP(G$5,'4. Billing Determinants'!$B$19:$N$41,4,0)/'4. Billing Determinants'!$E$41*$D42,IF($E42="kW",VLOOKUP(G$5,'4. Billing Determinants'!$B$19:$N$41,5,0)/'4. Billing Determinants'!$F$41*$D42,IF($E42="Non-RPP kWh",VLOOKUP(G$5,'4. Billing Determinants'!$B$19:$N$41,6,0)/'4. Billing Determinants'!$G$41*$D42,IF($E42="Distribution Rev.",VLOOKUP(G$5,'4. Billing Determinants'!$B$19:$N$41,8,0)/'4. Billing Determinants'!$I$41*$D42, VLOOKUP(G$5,'4. Billing Determinants'!$B$19:$N$41,3,0)/'4. Billing Determinants'!$D$41*$D42)))))</f>
        <v>0</v>
      </c>
      <c r="H42" s="211">
        <f>IF(H$5="",0,IF($E42="kWh",VLOOKUP(H$5,'4. Billing Determinants'!$B$19:$N$41,4,0)/'4. Billing Determinants'!$E$41*$D42,IF($E42="kW",VLOOKUP(H$5,'4. Billing Determinants'!$B$19:$N$41,5,0)/'4. Billing Determinants'!$F$41*$D42,IF($E42="Non-RPP kWh",VLOOKUP(H$5,'4. Billing Determinants'!$B$19:$N$41,6,0)/'4. Billing Determinants'!$G$41*$D42,IF($E42="Distribution Rev.",VLOOKUP(H$5,'4. Billing Determinants'!$B$19:$N$41,8,0)/'4. Billing Determinants'!$I$41*$D42, VLOOKUP(H$5,'4. Billing Determinants'!$B$19:$N$41,3,0)/'4. Billing Determinants'!$D$41*$D42)))))</f>
        <v>0</v>
      </c>
      <c r="I42" s="211">
        <f>IF(I$5="",0,IF($E42="kWh",VLOOKUP(I$5,'4. Billing Determinants'!$B$19:$N$41,4,0)/'4. Billing Determinants'!$E$41*$D42,IF($E42="kW",VLOOKUP(I$5,'4. Billing Determinants'!$B$19:$N$41,5,0)/'4. Billing Determinants'!$F$41*$D42,IF($E42="Non-RPP kWh",VLOOKUP(I$5,'4. Billing Determinants'!$B$19:$N$41,6,0)/'4. Billing Determinants'!$G$41*$D42,IF($E42="Distribution Rev.",VLOOKUP(I$5,'4. Billing Determinants'!$B$19:$N$41,8,0)/'4. Billing Determinants'!$I$41*$D42, VLOOKUP(I$5,'4. Billing Determinants'!$B$19:$N$41,3,0)/'4. Billing Determinants'!$D$41*$D42)))))</f>
        <v>0</v>
      </c>
      <c r="J42" s="211">
        <f>IF(J$5="",0,IF($E42="kWh",VLOOKUP(J$5,'4. Billing Determinants'!$B$19:$N$41,4,0)/'4. Billing Determinants'!$E$41*$D42,IF($E42="kW",VLOOKUP(J$5,'4. Billing Determinants'!$B$19:$N$41,5,0)/'4. Billing Determinants'!$F$41*$D42,IF($E42="Non-RPP kWh",VLOOKUP(J$5,'4. Billing Determinants'!$B$19:$N$41,6,0)/'4. Billing Determinants'!$G$41*$D42,IF($E42="Distribution Rev.",VLOOKUP(J$5,'4. Billing Determinants'!$B$19:$N$41,8,0)/'4. Billing Determinants'!$I$41*$D42, VLOOKUP(J$5,'4. Billing Determinants'!$B$19:$N$41,3,0)/'4. Billing Determinants'!$D$41*$D42)))))</f>
        <v>0</v>
      </c>
      <c r="K42" s="211">
        <f>IF(K$5="",0,IF($E42="kWh",VLOOKUP(K$5,'4. Billing Determinants'!$B$19:$N$41,4,0)/'4. Billing Determinants'!$E$41*$D42,IF($E42="kW",VLOOKUP(K$5,'4. Billing Determinants'!$B$19:$N$41,5,0)/'4. Billing Determinants'!$F$41*$D42,IF($E42="Non-RPP kWh",VLOOKUP(K$5,'4. Billing Determinants'!$B$19:$N$41,6,0)/'4. Billing Determinants'!$G$41*$D42,IF($E42="Distribution Rev.",VLOOKUP(K$5,'4. Billing Determinants'!$B$19:$N$41,8,0)/'4. Billing Determinants'!$I$41*$D42, VLOOKUP(K$5,'4. Billing Determinants'!$B$19:$N$41,3,0)/'4. Billing Determinants'!$D$41*$D42)))))</f>
        <v>0</v>
      </c>
      <c r="L42" s="211">
        <f>IF(L$5="",0,IF($E42="kWh",VLOOKUP(L$5,'4. Billing Determinants'!$B$19:$N$41,4,0)/'4. Billing Determinants'!$E$41*$D42,IF($E42="kW",VLOOKUP(L$5,'4. Billing Determinants'!$B$19:$N$41,5,0)/'4. Billing Determinants'!$F$41*$D42,IF($E42="Non-RPP kWh",VLOOKUP(L$5,'4. Billing Determinants'!$B$19:$N$41,6,0)/'4. Billing Determinants'!$G$41*$D42,IF($E42="Distribution Rev.",VLOOKUP(L$5,'4. Billing Determinants'!$B$19:$N$41,8,0)/'4. Billing Determinants'!$I$41*$D42, VLOOKUP(L$5,'4. Billing Determinants'!$B$19:$N$41,3,0)/'4. Billing Determinants'!$D$41*$D42)))))</f>
        <v>0</v>
      </c>
      <c r="M42" s="150">
        <f>IF(M$5="",0,IF($E42="kWh",VLOOKUP(M$5,'4. Billing Determinants'!$B$19:$N$41,4,0)/'4. Billing Determinants'!$E$41*$D42,IF($E42="kW",VLOOKUP(M$5,'4. Billing Determinants'!$B$19:$N$41,5,0)/'4. Billing Determinants'!$F$41*$D42,IF($E42="Non-RPP kWh",VLOOKUP(M$5,'4. Billing Determinants'!$B$19:$N$41,6,0)/'4. Billing Determinants'!$G$41*$D42,IF($E42="Distribution Rev.",VLOOKUP(M$5,'4. Billing Determinants'!$B$19:$N$41,8,0)/'4. Billing Determinants'!$I$41*$D42, VLOOKUP(M$5,'4. Billing Determinants'!$B$19:$N$41,3,0)/'4. Billing Determinants'!$D$41*$D42)))))</f>
        <v>0</v>
      </c>
      <c r="N42" s="150">
        <f>IF(N$5="",0,IF($E42="kWh",VLOOKUP(N$5,'4. Billing Determinants'!$B$19:$N$41,4,0)/'4. Billing Determinants'!$E$41*$D42,IF($E42="kW",VLOOKUP(N$5,'4. Billing Determinants'!$B$19:$N$41,5,0)/'4. Billing Determinants'!$F$41*$D42,IF($E42="Non-RPP kWh",VLOOKUP(N$5,'4. Billing Determinants'!$B$19:$N$41,6,0)/'4. Billing Determinants'!$G$41*$D42,IF($E42="Distribution Rev.",VLOOKUP(N$5,'4. Billing Determinants'!$B$19:$N$41,8,0)/'4. Billing Determinants'!$I$41*$D42, VLOOKUP(N$5,'4. Billing Determinants'!$B$19:$N$41,3,0)/'4. Billing Determinants'!$D$41*$D42)))))</f>
        <v>0</v>
      </c>
      <c r="O42" s="150">
        <f>IF(O$5="",0,IF($E42="kWh",VLOOKUP(O$5,'4. Billing Determinants'!$B$19:$N$41,4,0)/'4. Billing Determinants'!$E$41*$D42,IF($E42="kW",VLOOKUP(O$5,'4. Billing Determinants'!$B$19:$N$41,5,0)/'4. Billing Determinants'!$F$41*$D42,IF($E42="Non-RPP kWh",VLOOKUP(O$5,'4. Billing Determinants'!$B$19:$N$41,6,0)/'4. Billing Determinants'!$G$41*$D42,IF($E42="Distribution Rev.",VLOOKUP(O$5,'4. Billing Determinants'!$B$19:$N$41,8,0)/'4. Billing Determinants'!$I$41*$D42, VLOOKUP(O$5,'4. Billing Determinants'!$B$19:$N$41,3,0)/'4. Billing Determinants'!$D$41*$D42)))))</f>
        <v>0</v>
      </c>
      <c r="P42" s="150">
        <f>IF(P$5="",0,IF($E42="kWh",VLOOKUP(P$5,'4. Billing Determinants'!$B$19:$N$41,4,0)/'4. Billing Determinants'!$E$41*$D42,IF($E42="kW",VLOOKUP(P$5,'4. Billing Determinants'!$B$19:$N$41,5,0)/'4. Billing Determinants'!$F$41*$D42,IF($E42="Non-RPP kWh",VLOOKUP(P$5,'4. Billing Determinants'!$B$19:$N$41,6,0)/'4. Billing Determinants'!$G$41*$D42,IF($E42="Distribution Rev.",VLOOKUP(P$5,'4. Billing Determinants'!$B$19:$N$41,8,0)/'4. Billing Determinants'!$I$41*$D42, VLOOKUP(P$5,'4. Billing Determinants'!$B$19:$N$41,3,0)/'4. Billing Determinants'!$D$41*$D42)))))</f>
        <v>0</v>
      </c>
      <c r="Q42" s="150">
        <f>IF(Q$5="",0,IF($E42="kWh",VLOOKUP(Q$5,'4. Billing Determinants'!$B$19:$N$41,4,0)/'4. Billing Determinants'!$E$41*$D42,IF($E42="kW",VLOOKUP(Q$5,'4. Billing Determinants'!$B$19:$N$41,5,0)/'4. Billing Determinants'!$F$41*$D42,IF($E42="Non-RPP kWh",VLOOKUP(Q$5,'4. Billing Determinants'!$B$19:$N$41,6,0)/'4. Billing Determinants'!$G$41*$D42,IF($E42="Distribution Rev.",VLOOKUP(Q$5,'4. Billing Determinants'!$B$19:$N$41,8,0)/'4. Billing Determinants'!$I$41*$D42, VLOOKUP(Q$5,'4. Billing Determinants'!$B$19:$N$41,3,0)/'4. Billing Determinants'!$D$41*$D42)))))</f>
        <v>0</v>
      </c>
      <c r="R42" s="150">
        <f>IF(R$5="",0,IF($E42="kWh",VLOOKUP(R$5,'4. Billing Determinants'!$B$19:$N$41,4,0)/'4. Billing Determinants'!$E$41*$D42,IF($E42="kW",VLOOKUP(R$5,'4. Billing Determinants'!$B$19:$N$41,5,0)/'4. Billing Determinants'!$F$41*$D42,IF($E42="Non-RPP kWh",VLOOKUP(R$5,'4. Billing Determinants'!$B$19:$N$41,6,0)/'4. Billing Determinants'!$G$41*$D42,IF($E42="Distribution Rev.",VLOOKUP(R$5,'4. Billing Determinants'!$B$19:$N$41,8,0)/'4. Billing Determinants'!$I$41*$D42, VLOOKUP(R$5,'4. Billing Determinants'!$B$19:$N$41,3,0)/'4. Billing Determinants'!$D$41*$D42)))))</f>
        <v>0</v>
      </c>
      <c r="S42" s="150">
        <f>IF(S$5="",0,IF($E42="kWh",VLOOKUP(S$5,'4. Billing Determinants'!$B$19:$N$41,4,0)/'4. Billing Determinants'!$E$41*$D42,IF($E42="kW",VLOOKUP(S$5,'4. Billing Determinants'!$B$19:$N$41,5,0)/'4. Billing Determinants'!$F$41*$D42,IF($E42="Non-RPP kWh",VLOOKUP(S$5,'4. Billing Determinants'!$B$19:$N$41,6,0)/'4. Billing Determinants'!$G$41*$D42,IF($E42="Distribution Rev.",VLOOKUP(S$5,'4. Billing Determinants'!$B$19:$N$41,8,0)/'4. Billing Determinants'!$I$41*$D42, VLOOKUP(S$5,'4. Billing Determinants'!$B$19:$N$41,3,0)/'4. Billing Determinants'!$D$41*$D42)))))</f>
        <v>0</v>
      </c>
      <c r="T42" s="150">
        <f>IF(T$5="",0,IF($E42="kWh",VLOOKUP(T$5,'4. Billing Determinants'!$B$19:$N$41,4,0)/'4. Billing Determinants'!$E$41*$D42,IF($E42="kW",VLOOKUP(T$5,'4. Billing Determinants'!$B$19:$N$41,5,0)/'4. Billing Determinants'!$F$41*$D42,IF($E42="Non-RPP kWh",VLOOKUP(T$5,'4. Billing Determinants'!$B$19:$N$41,6,0)/'4. Billing Determinants'!$G$41*$D42,IF($E42="Distribution Rev.",VLOOKUP(T$5,'4. Billing Determinants'!$B$19:$N$41,8,0)/'4. Billing Determinants'!$I$41*$D42, VLOOKUP(T$5,'4. Billing Determinants'!$B$19:$N$41,3,0)/'4. Billing Determinants'!$D$41*$D42)))))</f>
        <v>0</v>
      </c>
      <c r="U42" s="150">
        <f>IF(U$5="",0,IF($E42="kWh",VLOOKUP(U$5,'4. Billing Determinants'!$B$19:$N$41,4,0)/'4. Billing Determinants'!$E$41*$D42,IF($E42="kW",VLOOKUP(U$5,'4. Billing Determinants'!$B$19:$N$41,5,0)/'4. Billing Determinants'!$F$41*$D42,IF($E42="Non-RPP kWh",VLOOKUP(U$5,'4. Billing Determinants'!$B$19:$N$41,6,0)/'4. Billing Determinants'!$G$41*$D42,IF($E42="Distribution Rev.",VLOOKUP(U$5,'4. Billing Determinants'!$B$19:$N$41,8,0)/'4. Billing Determinants'!$I$41*$D42, VLOOKUP(U$5,'4. Billing Determinants'!$B$19:$N$41,3,0)/'4. Billing Determinants'!$D$41*$D42)))))</f>
        <v>0</v>
      </c>
      <c r="V42" s="150">
        <f>IF(V$5="",0,IF($E42="kWh",VLOOKUP(V$5,'4. Billing Determinants'!$B$19:$N$41,4,0)/'4. Billing Determinants'!$E$41*$D42,IF($E42="kW",VLOOKUP(V$5,'4. Billing Determinants'!$B$19:$N$41,5,0)/'4. Billing Determinants'!$F$41*$D42,IF($E42="Non-RPP kWh",VLOOKUP(V$5,'4. Billing Determinants'!$B$19:$N$41,6,0)/'4. Billing Determinants'!$G$41*$D42,IF($E42="Distribution Rev.",VLOOKUP(V$5,'4. Billing Determinants'!$B$19:$N$41,8,0)/'4. Billing Determinants'!$I$41*$D42, VLOOKUP(V$5,'4. Billing Determinants'!$B$19:$N$41,3,0)/'4. Billing Determinants'!$D$41*$D42)))))</f>
        <v>0</v>
      </c>
      <c r="W42" s="150">
        <f>IF(W$5="",0,IF($E42="kWh",VLOOKUP(W$5,'4. Billing Determinants'!$B$19:$N$41,4,0)/'4. Billing Determinants'!$E$41*$D42,IF($E42="kW",VLOOKUP(W$5,'4. Billing Determinants'!$B$19:$N$41,5,0)/'4. Billing Determinants'!$F$41*$D42,IF($E42="Non-RPP kWh",VLOOKUP(W$5,'4. Billing Determinants'!$B$19:$N$41,6,0)/'4. Billing Determinants'!$G$41*$D42,IF($E42="Distribution Rev.",VLOOKUP(W$5,'4. Billing Determinants'!$B$19:$N$41,8,0)/'4. Billing Determinants'!$I$41*$D42, VLOOKUP(W$5,'4. Billing Determinants'!$B$19:$N$41,3,0)/'4. Billing Determinants'!$D$41*$D42)))))</f>
        <v>0</v>
      </c>
      <c r="X42" s="150">
        <f>IF(X$5="",0,IF($E42="kWh",VLOOKUP(X$5,'4. Billing Determinants'!$B$19:$N$41,4,0)/'4. Billing Determinants'!$E$41*$D42,IF($E42="kW",VLOOKUP(X$5,'4. Billing Determinants'!$B$19:$N$41,5,0)/'4. Billing Determinants'!$F$41*$D42,IF($E42="Non-RPP kWh",VLOOKUP(X$5,'4. Billing Determinants'!$B$19:$N$41,6,0)/'4. Billing Determinants'!$G$41*$D42,IF($E42="Distribution Rev.",VLOOKUP(X$5,'4. Billing Determinants'!$B$19:$N$41,8,0)/'4. Billing Determinants'!$I$41*$D42, VLOOKUP(X$5,'4. Billing Determinants'!$B$19:$N$41,3,0)/'4. Billing Determinants'!$D$41*$D42)))))</f>
        <v>0</v>
      </c>
      <c r="Y42" s="150">
        <f>IF(Y$5="",0,IF($E42="kWh",VLOOKUP(Y$5,'4. Billing Determinants'!$B$19:$N$41,4,0)/'4. Billing Determinants'!$E$41*$D42,IF($E42="kW",VLOOKUP(Y$5,'4. Billing Determinants'!$B$19:$N$41,5,0)/'4. Billing Determinants'!$F$41*$D42,IF($E42="Non-RPP kWh",VLOOKUP(Y$5,'4. Billing Determinants'!$B$19:$N$41,6,0)/'4. Billing Determinants'!$G$41*$D42,IF($E42="Distribution Rev.",VLOOKUP(Y$5,'4. Billing Determinants'!$B$19:$N$41,8,0)/'4. Billing Determinants'!$I$41*$D42, VLOOKUP(Y$5,'4. Billing Determinants'!$B$19:$N$41,3,0)/'4. Billing Determinants'!$D$41*$D42)))))</f>
        <v>0</v>
      </c>
    </row>
    <row r="43" spans="1:25" ht="38.25" x14ac:dyDescent="0.2">
      <c r="B43" s="159" t="s">
        <v>184</v>
      </c>
      <c r="C43" s="158">
        <v>1592</v>
      </c>
      <c r="D43" s="211">
        <f>'2. 2013 Continuity Schedule'!CF66</f>
        <v>-92434.222929999989</v>
      </c>
      <c r="E43" s="235" t="s">
        <v>186</v>
      </c>
      <c r="F43" s="211">
        <f>IF(F$5="",0,IF($E43="kWh",VLOOKUP(F$5,'4. Billing Determinants'!$B$19:$N$41,4,0)/'4. Billing Determinants'!$E$41*$D43,IF($E43="kW",VLOOKUP(F$5,'4. Billing Determinants'!$B$19:$N$41,5,0)/'4. Billing Determinants'!$F$41*$D43,IF($E43="Non-RPP kWh",VLOOKUP(F$5,'4. Billing Determinants'!$B$19:$N$41,6,0)/'4. Billing Determinants'!$G$41*$D43,IF($E43="Distribution Rev.",VLOOKUP(F$5,'4. Billing Determinants'!$B$19:$N$41,8,0)/'4. Billing Determinants'!$I$41*$D43, VLOOKUP(F$5,'4. Billing Determinants'!$B$19:$N$41,3,0)/'4. Billing Determinants'!$D$41*$D43)))))</f>
        <v>-32651.728479449226</v>
      </c>
      <c r="G43" s="211">
        <f>IF(G$5="",0,IF($E43="kWh",VLOOKUP(G$5,'4. Billing Determinants'!$B$19:$N$41,4,0)/'4. Billing Determinants'!$E$41*$D43,IF($E43="kW",VLOOKUP(G$5,'4. Billing Determinants'!$B$19:$N$41,5,0)/'4. Billing Determinants'!$F$41*$D43,IF($E43="Non-RPP kWh",VLOOKUP(G$5,'4. Billing Determinants'!$B$19:$N$41,6,0)/'4. Billing Determinants'!$G$41*$D43,IF($E43="Distribution Rev.",VLOOKUP(G$5,'4. Billing Determinants'!$B$19:$N$41,8,0)/'4. Billing Determinants'!$I$41*$D43, VLOOKUP(G$5,'4. Billing Determinants'!$B$19:$N$41,3,0)/'4. Billing Determinants'!$D$41*$D43)))))</f>
        <v>-13097.564290181728</v>
      </c>
      <c r="H43" s="211">
        <f>IF(H$5="",0,IF($E43="kWh",VLOOKUP(H$5,'4. Billing Determinants'!$B$19:$N$41,4,0)/'4. Billing Determinants'!$E$41*$D43,IF($E43="kW",VLOOKUP(H$5,'4. Billing Determinants'!$B$19:$N$41,5,0)/'4. Billing Determinants'!$F$41*$D43,IF($E43="Non-RPP kWh",VLOOKUP(H$5,'4. Billing Determinants'!$B$19:$N$41,6,0)/'4. Billing Determinants'!$G$41*$D43,IF($E43="Distribution Rev.",VLOOKUP(H$5,'4. Billing Determinants'!$B$19:$N$41,8,0)/'4. Billing Determinants'!$I$41*$D43, VLOOKUP(H$5,'4. Billing Determinants'!$B$19:$N$41,3,0)/'4. Billing Determinants'!$D$41*$D43)))))</f>
        <v>-27804.440460433336</v>
      </c>
      <c r="I43" s="211">
        <f>IF(I$5="",0,IF($E43="kWh",VLOOKUP(I$5,'4. Billing Determinants'!$B$19:$N$41,4,0)/'4. Billing Determinants'!$E$41*$D43,IF($E43="kW",VLOOKUP(I$5,'4. Billing Determinants'!$B$19:$N$41,5,0)/'4. Billing Determinants'!$F$41*$D43,IF($E43="Non-RPP kWh",VLOOKUP(I$5,'4. Billing Determinants'!$B$19:$N$41,6,0)/'4. Billing Determinants'!$G$41*$D43,IF($E43="Distribution Rev.",VLOOKUP(I$5,'4. Billing Determinants'!$B$19:$N$41,8,0)/'4. Billing Determinants'!$I$41*$D43, VLOOKUP(I$5,'4. Billing Determinants'!$B$19:$N$41,3,0)/'4. Billing Determinants'!$D$41*$D43)))))</f>
        <v>-17591.762345243769</v>
      </c>
      <c r="J43" s="211">
        <f>IF(J$5="",0,IF($E43="kWh",VLOOKUP(J$5,'4. Billing Determinants'!$B$19:$N$41,4,0)/'4. Billing Determinants'!$E$41*$D43,IF($E43="kW",VLOOKUP(J$5,'4. Billing Determinants'!$B$19:$N$41,5,0)/'4. Billing Determinants'!$F$41*$D43,IF($E43="Non-RPP kWh",VLOOKUP(J$5,'4. Billing Determinants'!$B$19:$N$41,6,0)/'4. Billing Determinants'!$G$41*$D43,IF($E43="Distribution Rev.",VLOOKUP(J$5,'4. Billing Determinants'!$B$19:$N$41,8,0)/'4. Billing Determinants'!$I$41*$D43, VLOOKUP(J$5,'4. Billing Determinants'!$B$19:$N$41,3,0)/'4. Billing Determinants'!$D$41*$D43)))))</f>
        <v>-189.96992300984459</v>
      </c>
      <c r="K43" s="211">
        <f>IF(K$5="",0,IF($E43="kWh",VLOOKUP(K$5,'4. Billing Determinants'!$B$19:$N$41,4,0)/'4. Billing Determinants'!$E$41*$D43,IF($E43="kW",VLOOKUP(K$5,'4. Billing Determinants'!$B$19:$N$41,5,0)/'4. Billing Determinants'!$F$41*$D43,IF($E43="Non-RPP kWh",VLOOKUP(K$5,'4. Billing Determinants'!$B$19:$N$41,6,0)/'4. Billing Determinants'!$G$41*$D43,IF($E43="Distribution Rev.",VLOOKUP(K$5,'4. Billing Determinants'!$B$19:$N$41,8,0)/'4. Billing Determinants'!$I$41*$D43, VLOOKUP(K$5,'4. Billing Determinants'!$B$19:$N$41,3,0)/'4. Billing Determinants'!$D$41*$D43)))))</f>
        <v>-11.944411758762042</v>
      </c>
      <c r="L43" s="211">
        <f>IF(L$5="",0,IF($E43="kWh",VLOOKUP(L$5,'4. Billing Determinants'!$B$19:$N$41,4,0)/'4. Billing Determinants'!$E$41*$D43,IF($E43="kW",VLOOKUP(L$5,'4. Billing Determinants'!$B$19:$N$41,5,0)/'4. Billing Determinants'!$F$41*$D43,IF($E43="Non-RPP kWh",VLOOKUP(L$5,'4. Billing Determinants'!$B$19:$N$41,6,0)/'4. Billing Determinants'!$G$41*$D43,IF($E43="Distribution Rev.",VLOOKUP(L$5,'4. Billing Determinants'!$B$19:$N$41,8,0)/'4. Billing Determinants'!$I$41*$D43, VLOOKUP(L$5,'4. Billing Determinants'!$B$19:$N$41,3,0)/'4. Billing Determinants'!$D$41*$D43)))))</f>
        <v>-1086.8130199233196</v>
      </c>
      <c r="M43" s="150">
        <f>IF(M$5="",0,IF($E43="kWh",VLOOKUP(M$5,'4. Billing Determinants'!$B$19:$N$41,4,0)/'4. Billing Determinants'!$E$41*$D43,IF($E43="kW",VLOOKUP(M$5,'4. Billing Determinants'!$B$19:$N$41,5,0)/'4. Billing Determinants'!$F$41*$D43,IF($E43="Non-RPP kWh",VLOOKUP(M$5,'4. Billing Determinants'!$B$19:$N$41,6,0)/'4. Billing Determinants'!$G$41*$D43,IF($E43="Distribution Rev.",VLOOKUP(M$5,'4. Billing Determinants'!$B$19:$N$41,8,0)/'4. Billing Determinants'!$I$41*$D43, VLOOKUP(M$5,'4. Billing Determinants'!$B$19:$N$41,3,0)/'4. Billing Determinants'!$D$41*$D43)))))</f>
        <v>0</v>
      </c>
      <c r="N43" s="150">
        <f>IF(N$5="",0,IF($E43="kWh",VLOOKUP(N$5,'4. Billing Determinants'!$B$19:$N$41,4,0)/'4. Billing Determinants'!$E$41*$D43,IF($E43="kW",VLOOKUP(N$5,'4. Billing Determinants'!$B$19:$N$41,5,0)/'4. Billing Determinants'!$F$41*$D43,IF($E43="Non-RPP kWh",VLOOKUP(N$5,'4. Billing Determinants'!$B$19:$N$41,6,0)/'4. Billing Determinants'!$G$41*$D43,IF($E43="Distribution Rev.",VLOOKUP(N$5,'4. Billing Determinants'!$B$19:$N$41,8,0)/'4. Billing Determinants'!$I$41*$D43, VLOOKUP(N$5,'4. Billing Determinants'!$B$19:$N$41,3,0)/'4. Billing Determinants'!$D$41*$D43)))))</f>
        <v>0</v>
      </c>
      <c r="O43" s="150">
        <f>IF(O$5="",0,IF($E43="kWh",VLOOKUP(O$5,'4. Billing Determinants'!$B$19:$N$41,4,0)/'4. Billing Determinants'!$E$41*$D43,IF($E43="kW",VLOOKUP(O$5,'4. Billing Determinants'!$B$19:$N$41,5,0)/'4. Billing Determinants'!$F$41*$D43,IF($E43="Non-RPP kWh",VLOOKUP(O$5,'4. Billing Determinants'!$B$19:$N$41,6,0)/'4. Billing Determinants'!$G$41*$D43,IF($E43="Distribution Rev.",VLOOKUP(O$5,'4. Billing Determinants'!$B$19:$N$41,8,0)/'4. Billing Determinants'!$I$41*$D43, VLOOKUP(O$5,'4. Billing Determinants'!$B$19:$N$41,3,0)/'4. Billing Determinants'!$D$41*$D43)))))</f>
        <v>0</v>
      </c>
      <c r="P43" s="150">
        <f>IF(P$5="",0,IF($E43="kWh",VLOOKUP(P$5,'4. Billing Determinants'!$B$19:$N$41,4,0)/'4. Billing Determinants'!$E$41*$D43,IF($E43="kW",VLOOKUP(P$5,'4. Billing Determinants'!$B$19:$N$41,5,0)/'4. Billing Determinants'!$F$41*$D43,IF($E43="Non-RPP kWh",VLOOKUP(P$5,'4. Billing Determinants'!$B$19:$N$41,6,0)/'4. Billing Determinants'!$G$41*$D43,IF($E43="Distribution Rev.",VLOOKUP(P$5,'4. Billing Determinants'!$B$19:$N$41,8,0)/'4. Billing Determinants'!$I$41*$D43, VLOOKUP(P$5,'4. Billing Determinants'!$B$19:$N$41,3,0)/'4. Billing Determinants'!$D$41*$D43)))))</f>
        <v>0</v>
      </c>
      <c r="Q43" s="150">
        <f>IF(Q$5="",0,IF($E43="kWh",VLOOKUP(Q$5,'4. Billing Determinants'!$B$19:$N$41,4,0)/'4. Billing Determinants'!$E$41*$D43,IF($E43="kW",VLOOKUP(Q$5,'4. Billing Determinants'!$B$19:$N$41,5,0)/'4. Billing Determinants'!$F$41*$D43,IF($E43="Non-RPP kWh",VLOOKUP(Q$5,'4. Billing Determinants'!$B$19:$N$41,6,0)/'4. Billing Determinants'!$G$41*$D43,IF($E43="Distribution Rev.",VLOOKUP(Q$5,'4. Billing Determinants'!$B$19:$N$41,8,0)/'4. Billing Determinants'!$I$41*$D43, VLOOKUP(Q$5,'4. Billing Determinants'!$B$19:$N$41,3,0)/'4. Billing Determinants'!$D$41*$D43)))))</f>
        <v>0</v>
      </c>
      <c r="R43" s="150">
        <f>IF(R$5="",0,IF($E43="kWh",VLOOKUP(R$5,'4. Billing Determinants'!$B$19:$N$41,4,0)/'4. Billing Determinants'!$E$41*$D43,IF($E43="kW",VLOOKUP(R$5,'4. Billing Determinants'!$B$19:$N$41,5,0)/'4. Billing Determinants'!$F$41*$D43,IF($E43="Non-RPP kWh",VLOOKUP(R$5,'4. Billing Determinants'!$B$19:$N$41,6,0)/'4. Billing Determinants'!$G$41*$D43,IF($E43="Distribution Rev.",VLOOKUP(R$5,'4. Billing Determinants'!$B$19:$N$41,8,0)/'4. Billing Determinants'!$I$41*$D43, VLOOKUP(R$5,'4. Billing Determinants'!$B$19:$N$41,3,0)/'4. Billing Determinants'!$D$41*$D43)))))</f>
        <v>0</v>
      </c>
      <c r="S43" s="150">
        <f>IF(S$5="",0,IF($E43="kWh",VLOOKUP(S$5,'4. Billing Determinants'!$B$19:$N$41,4,0)/'4. Billing Determinants'!$E$41*$D43,IF($E43="kW",VLOOKUP(S$5,'4. Billing Determinants'!$B$19:$N$41,5,0)/'4. Billing Determinants'!$F$41*$D43,IF($E43="Non-RPP kWh",VLOOKUP(S$5,'4. Billing Determinants'!$B$19:$N$41,6,0)/'4. Billing Determinants'!$G$41*$D43,IF($E43="Distribution Rev.",VLOOKUP(S$5,'4. Billing Determinants'!$B$19:$N$41,8,0)/'4. Billing Determinants'!$I$41*$D43, VLOOKUP(S$5,'4. Billing Determinants'!$B$19:$N$41,3,0)/'4. Billing Determinants'!$D$41*$D43)))))</f>
        <v>0</v>
      </c>
      <c r="T43" s="150">
        <f>IF(T$5="",0,IF($E43="kWh",VLOOKUP(T$5,'4. Billing Determinants'!$B$19:$N$41,4,0)/'4. Billing Determinants'!$E$41*$D43,IF($E43="kW",VLOOKUP(T$5,'4. Billing Determinants'!$B$19:$N$41,5,0)/'4. Billing Determinants'!$F$41*$D43,IF($E43="Non-RPP kWh",VLOOKUP(T$5,'4. Billing Determinants'!$B$19:$N$41,6,0)/'4. Billing Determinants'!$G$41*$D43,IF($E43="Distribution Rev.",VLOOKUP(T$5,'4. Billing Determinants'!$B$19:$N$41,8,0)/'4. Billing Determinants'!$I$41*$D43, VLOOKUP(T$5,'4. Billing Determinants'!$B$19:$N$41,3,0)/'4. Billing Determinants'!$D$41*$D43)))))</f>
        <v>0</v>
      </c>
      <c r="U43" s="150">
        <f>IF(U$5="",0,IF($E43="kWh",VLOOKUP(U$5,'4. Billing Determinants'!$B$19:$N$41,4,0)/'4. Billing Determinants'!$E$41*$D43,IF($E43="kW",VLOOKUP(U$5,'4. Billing Determinants'!$B$19:$N$41,5,0)/'4. Billing Determinants'!$F$41*$D43,IF($E43="Non-RPP kWh",VLOOKUP(U$5,'4. Billing Determinants'!$B$19:$N$41,6,0)/'4. Billing Determinants'!$G$41*$D43,IF($E43="Distribution Rev.",VLOOKUP(U$5,'4. Billing Determinants'!$B$19:$N$41,8,0)/'4. Billing Determinants'!$I$41*$D43, VLOOKUP(U$5,'4. Billing Determinants'!$B$19:$N$41,3,0)/'4. Billing Determinants'!$D$41*$D43)))))</f>
        <v>0</v>
      </c>
      <c r="V43" s="150">
        <f>IF(V$5="",0,IF($E43="kWh",VLOOKUP(V$5,'4. Billing Determinants'!$B$19:$N$41,4,0)/'4. Billing Determinants'!$E$41*$D43,IF($E43="kW",VLOOKUP(V$5,'4. Billing Determinants'!$B$19:$N$41,5,0)/'4. Billing Determinants'!$F$41*$D43,IF($E43="Non-RPP kWh",VLOOKUP(V$5,'4. Billing Determinants'!$B$19:$N$41,6,0)/'4. Billing Determinants'!$G$41*$D43,IF($E43="Distribution Rev.",VLOOKUP(V$5,'4. Billing Determinants'!$B$19:$N$41,8,0)/'4. Billing Determinants'!$I$41*$D43, VLOOKUP(V$5,'4. Billing Determinants'!$B$19:$N$41,3,0)/'4. Billing Determinants'!$D$41*$D43)))))</f>
        <v>0</v>
      </c>
      <c r="W43" s="150">
        <f>IF(W$5="",0,IF($E43="kWh",VLOOKUP(W$5,'4. Billing Determinants'!$B$19:$N$41,4,0)/'4. Billing Determinants'!$E$41*$D43,IF($E43="kW",VLOOKUP(W$5,'4. Billing Determinants'!$B$19:$N$41,5,0)/'4. Billing Determinants'!$F$41*$D43,IF($E43="Non-RPP kWh",VLOOKUP(W$5,'4. Billing Determinants'!$B$19:$N$41,6,0)/'4. Billing Determinants'!$G$41*$D43,IF($E43="Distribution Rev.",VLOOKUP(W$5,'4. Billing Determinants'!$B$19:$N$41,8,0)/'4. Billing Determinants'!$I$41*$D43, VLOOKUP(W$5,'4. Billing Determinants'!$B$19:$N$41,3,0)/'4. Billing Determinants'!$D$41*$D43)))))</f>
        <v>0</v>
      </c>
      <c r="X43" s="150">
        <f>IF(X$5="",0,IF($E43="kWh",VLOOKUP(X$5,'4. Billing Determinants'!$B$19:$N$41,4,0)/'4. Billing Determinants'!$E$41*$D43,IF($E43="kW",VLOOKUP(X$5,'4. Billing Determinants'!$B$19:$N$41,5,0)/'4. Billing Determinants'!$F$41*$D43,IF($E43="Non-RPP kWh",VLOOKUP(X$5,'4. Billing Determinants'!$B$19:$N$41,6,0)/'4. Billing Determinants'!$G$41*$D43,IF($E43="Distribution Rev.",VLOOKUP(X$5,'4. Billing Determinants'!$B$19:$N$41,8,0)/'4. Billing Determinants'!$I$41*$D43, VLOOKUP(X$5,'4. Billing Determinants'!$B$19:$N$41,3,0)/'4. Billing Determinants'!$D$41*$D43)))))</f>
        <v>0</v>
      </c>
      <c r="Y43" s="150">
        <f>IF(Y$5="",0,IF($E43="kWh",VLOOKUP(Y$5,'4. Billing Determinants'!$B$19:$N$41,4,0)/'4. Billing Determinants'!$E$41*$D43,IF($E43="kW",VLOOKUP(Y$5,'4. Billing Determinants'!$B$19:$N$41,5,0)/'4. Billing Determinants'!$F$41*$D43,IF($E43="Non-RPP kWh",VLOOKUP(Y$5,'4. Billing Determinants'!$B$19:$N$41,6,0)/'4. Billing Determinants'!$G$41*$D43,IF($E43="Distribution Rev.",VLOOKUP(Y$5,'4. Billing Determinants'!$B$19:$N$41,8,0)/'4. Billing Determinants'!$I$41*$D43, VLOOKUP(Y$5,'4. Billing Determinants'!$B$19:$N$41,3,0)/'4. Billing Determinants'!$D$41*$D43)))))</f>
        <v>0</v>
      </c>
    </row>
    <row r="44" spans="1:25" s="133" customFormat="1" x14ac:dyDescent="0.2">
      <c r="A44" s="132"/>
      <c r="B44" s="203" t="s">
        <v>192</v>
      </c>
      <c r="C44" s="205"/>
      <c r="D44" s="214">
        <f>SUM(D41:D43)</f>
        <v>-92434.222929999989</v>
      </c>
      <c r="E44" s="215"/>
      <c r="F44" s="214">
        <f>SUM(F41:F43)</f>
        <v>-32651.728479449226</v>
      </c>
      <c r="G44" s="214">
        <f t="shared" ref="G44:Y44" si="2">SUM(G41:G43)</f>
        <v>-13097.564290181728</v>
      </c>
      <c r="H44" s="214">
        <f t="shared" si="2"/>
        <v>-27804.440460433336</v>
      </c>
      <c r="I44" s="214">
        <f t="shared" si="2"/>
        <v>-17591.762345243769</v>
      </c>
      <c r="J44" s="214">
        <f t="shared" si="2"/>
        <v>-189.96992300984459</v>
      </c>
      <c r="K44" s="214">
        <f t="shared" si="2"/>
        <v>-11.944411758762042</v>
      </c>
      <c r="L44" s="214">
        <f t="shared" si="2"/>
        <v>-1086.8130199233196</v>
      </c>
      <c r="M44" s="160">
        <f t="shared" si="2"/>
        <v>0</v>
      </c>
      <c r="N44" s="160">
        <f t="shared" si="2"/>
        <v>0</v>
      </c>
      <c r="O44" s="160">
        <f t="shared" si="2"/>
        <v>0</v>
      </c>
      <c r="P44" s="160">
        <f t="shared" si="2"/>
        <v>0</v>
      </c>
      <c r="Q44" s="160">
        <f t="shared" si="2"/>
        <v>0</v>
      </c>
      <c r="R44" s="160">
        <f t="shared" si="2"/>
        <v>0</v>
      </c>
      <c r="S44" s="160">
        <f t="shared" si="2"/>
        <v>0</v>
      </c>
      <c r="T44" s="160">
        <f t="shared" si="2"/>
        <v>0</v>
      </c>
      <c r="U44" s="160">
        <f t="shared" si="2"/>
        <v>0</v>
      </c>
      <c r="V44" s="160">
        <f t="shared" si="2"/>
        <v>0</v>
      </c>
      <c r="W44" s="160">
        <f t="shared" si="2"/>
        <v>0</v>
      </c>
      <c r="X44" s="160">
        <f t="shared" si="2"/>
        <v>0</v>
      </c>
      <c r="Y44" s="160">
        <f t="shared" si="2"/>
        <v>0</v>
      </c>
    </row>
    <row r="45" spans="1:25" x14ac:dyDescent="0.2">
      <c r="B45" s="193"/>
      <c r="C45" s="156"/>
      <c r="D45" s="223"/>
      <c r="E45" s="224"/>
      <c r="F45" s="218"/>
      <c r="G45" s="218"/>
      <c r="H45" s="218"/>
      <c r="I45" s="218"/>
      <c r="J45" s="218"/>
      <c r="K45" s="218"/>
      <c r="L45" s="218"/>
    </row>
    <row r="46" spans="1:25" ht="25.5" x14ac:dyDescent="0.2">
      <c r="B46" s="159" t="s">
        <v>193</v>
      </c>
      <c r="C46" s="158">
        <v>1521</v>
      </c>
      <c r="D46" s="225">
        <v>0</v>
      </c>
      <c r="E46" s="212"/>
      <c r="F46" s="211">
        <f>IF(F$5="",0,IF($E46="kWh",VLOOKUP(F$5,'4. Billing Determinants'!$B$19:$N$41,4,0)/'4. Billing Determinants'!$E$41*$D46,IF($E46="kW",VLOOKUP(F$5,'4. Billing Determinants'!$B$19:$N$41,5,0)/'4. Billing Determinants'!$F$41*$D46,IF($E46="Non-RPP kWh",VLOOKUP(F$5,'4. Billing Determinants'!$B$19:$N$41,6,0)/'4. Billing Determinants'!$G$41*$D46,IF($E46="Distribution Rev.",VLOOKUP(F$5,'4. Billing Determinants'!$B$19:$N$41,8,0)/'4. Billing Determinants'!$I$41*$D46, VLOOKUP(F$5,'4. Billing Determinants'!$B$19:$N$41,3,0)/'4. Billing Determinants'!$D$41*$D46)))))</f>
        <v>0</v>
      </c>
      <c r="G46" s="211">
        <f>IF(G$5="",0,IF($E46="kWh",VLOOKUP(G$5,'4. Billing Determinants'!$B$19:$N$41,4,0)/'4. Billing Determinants'!$E$41*$D46,IF($E46="kW",VLOOKUP(G$5,'4. Billing Determinants'!$B$19:$N$41,5,0)/'4. Billing Determinants'!$F$41*$D46,IF($E46="Non-RPP kWh",VLOOKUP(G$5,'4. Billing Determinants'!$B$19:$N$41,6,0)/'4. Billing Determinants'!$G$41*$D46,IF($E46="Distribution Rev.",VLOOKUP(G$5,'4. Billing Determinants'!$B$19:$N$41,8,0)/'4. Billing Determinants'!$I$41*$D46, VLOOKUP(G$5,'4. Billing Determinants'!$B$19:$N$41,3,0)/'4. Billing Determinants'!$D$41*$D46)))))</f>
        <v>0</v>
      </c>
      <c r="H46" s="211">
        <f>IF(H$5="",0,IF($E46="kWh",VLOOKUP(H$5,'4. Billing Determinants'!$B$19:$N$41,4,0)/'4. Billing Determinants'!$E$41*$D46,IF($E46="kW",VLOOKUP(H$5,'4. Billing Determinants'!$B$19:$N$41,5,0)/'4. Billing Determinants'!$F$41*$D46,IF($E46="Non-RPP kWh",VLOOKUP(H$5,'4. Billing Determinants'!$B$19:$N$41,6,0)/'4. Billing Determinants'!$G$41*$D46,IF($E46="Distribution Rev.",VLOOKUP(H$5,'4. Billing Determinants'!$B$19:$N$41,8,0)/'4. Billing Determinants'!$I$41*$D46, VLOOKUP(H$5,'4. Billing Determinants'!$B$19:$N$41,3,0)/'4. Billing Determinants'!$D$41*$D46)))))</f>
        <v>0</v>
      </c>
      <c r="I46" s="211">
        <f>IF(I$5="",0,IF($E46="kWh",VLOOKUP(I$5,'4. Billing Determinants'!$B$19:$N$41,4,0)/'4. Billing Determinants'!$E$41*$D46,IF($E46="kW",VLOOKUP(I$5,'4. Billing Determinants'!$B$19:$N$41,5,0)/'4. Billing Determinants'!$F$41*$D46,IF($E46="Non-RPP kWh",VLOOKUP(I$5,'4. Billing Determinants'!$B$19:$N$41,6,0)/'4. Billing Determinants'!$G$41*$D46,IF($E46="Distribution Rev.",VLOOKUP(I$5,'4. Billing Determinants'!$B$19:$N$41,8,0)/'4. Billing Determinants'!$I$41*$D46, VLOOKUP(I$5,'4. Billing Determinants'!$B$19:$N$41,3,0)/'4. Billing Determinants'!$D$41*$D46)))))</f>
        <v>0</v>
      </c>
      <c r="J46" s="211">
        <f>IF(J$5="",0,IF($E46="kWh",VLOOKUP(J$5,'4. Billing Determinants'!$B$19:$N$41,4,0)/'4. Billing Determinants'!$E$41*$D46,IF($E46="kW",VLOOKUP(J$5,'4. Billing Determinants'!$B$19:$N$41,5,0)/'4. Billing Determinants'!$F$41*$D46,IF($E46="Non-RPP kWh",VLOOKUP(J$5,'4. Billing Determinants'!$B$19:$N$41,6,0)/'4. Billing Determinants'!$G$41*$D46,IF($E46="Distribution Rev.",VLOOKUP(J$5,'4. Billing Determinants'!$B$19:$N$41,8,0)/'4. Billing Determinants'!$I$41*$D46, VLOOKUP(J$5,'4. Billing Determinants'!$B$19:$N$41,3,0)/'4. Billing Determinants'!$D$41*$D46)))))</f>
        <v>0</v>
      </c>
      <c r="K46" s="211">
        <f>IF(K$5="",0,IF($E46="kWh",VLOOKUP(K$5,'4. Billing Determinants'!$B$19:$N$41,4,0)/'4. Billing Determinants'!$E$41*$D46,IF($E46="kW",VLOOKUP(K$5,'4. Billing Determinants'!$B$19:$N$41,5,0)/'4. Billing Determinants'!$F$41*$D46,IF($E46="Non-RPP kWh",VLOOKUP(K$5,'4. Billing Determinants'!$B$19:$N$41,6,0)/'4. Billing Determinants'!$G$41*$D46,IF($E46="Distribution Rev.",VLOOKUP(K$5,'4. Billing Determinants'!$B$19:$N$41,8,0)/'4. Billing Determinants'!$I$41*$D46, VLOOKUP(K$5,'4. Billing Determinants'!$B$19:$N$41,3,0)/'4. Billing Determinants'!$D$41*$D46)))))</f>
        <v>0</v>
      </c>
      <c r="L46" s="211">
        <f>IF(L$5="",0,IF($E46="kWh",VLOOKUP(L$5,'4. Billing Determinants'!$B$19:$N$41,4,0)/'4. Billing Determinants'!$E$41*$D46,IF($E46="kW",VLOOKUP(L$5,'4. Billing Determinants'!$B$19:$N$41,5,0)/'4. Billing Determinants'!$F$41*$D46,IF($E46="Non-RPP kWh",VLOOKUP(L$5,'4. Billing Determinants'!$B$19:$N$41,6,0)/'4. Billing Determinants'!$G$41*$D46,IF($E46="Distribution Rev.",VLOOKUP(L$5,'4. Billing Determinants'!$B$19:$N$41,8,0)/'4. Billing Determinants'!$I$41*$D46, VLOOKUP(L$5,'4. Billing Determinants'!$B$19:$N$41,3,0)/'4. Billing Determinants'!$D$41*$D46)))))</f>
        <v>0</v>
      </c>
      <c r="M46" s="150">
        <f>IF(M$5="",0,IF($E46="kWh",VLOOKUP(M$5,'4. Billing Determinants'!$B$19:$N$41,4,0)/'4. Billing Determinants'!$E$41*$D46,IF($E46="kW",VLOOKUP(M$5,'4. Billing Determinants'!$B$19:$N$41,5,0)/'4. Billing Determinants'!$F$41*$D46,IF($E46="Non-RPP kWh",VLOOKUP(M$5,'4. Billing Determinants'!$B$19:$N$41,6,0)/'4. Billing Determinants'!$G$41*$D46,IF($E46="Distribution Rev.",VLOOKUP(M$5,'4. Billing Determinants'!$B$19:$N$41,8,0)/'4. Billing Determinants'!$I$41*$D46, VLOOKUP(M$5,'4. Billing Determinants'!$B$19:$N$41,3,0)/'4. Billing Determinants'!$D$41*$D46)))))</f>
        <v>0</v>
      </c>
      <c r="N46" s="150">
        <f>IF(N$5="",0,IF($E46="kWh",VLOOKUP(N$5,'4. Billing Determinants'!$B$19:$N$41,4,0)/'4. Billing Determinants'!$E$41*$D46,IF($E46="kW",VLOOKUP(N$5,'4. Billing Determinants'!$B$19:$N$41,5,0)/'4. Billing Determinants'!$F$41*$D46,IF($E46="Non-RPP kWh",VLOOKUP(N$5,'4. Billing Determinants'!$B$19:$N$41,6,0)/'4. Billing Determinants'!$G$41*$D46,IF($E46="Distribution Rev.",VLOOKUP(N$5,'4. Billing Determinants'!$B$19:$N$41,8,0)/'4. Billing Determinants'!$I$41*$D46, VLOOKUP(N$5,'4. Billing Determinants'!$B$19:$N$41,3,0)/'4. Billing Determinants'!$D$41*$D46)))))</f>
        <v>0</v>
      </c>
      <c r="O46" s="150">
        <f>IF(O$5="",0,IF($E46="kWh",VLOOKUP(O$5,'4. Billing Determinants'!$B$19:$N$41,4,0)/'4. Billing Determinants'!$E$41*$D46,IF($E46="kW",VLOOKUP(O$5,'4. Billing Determinants'!$B$19:$N$41,5,0)/'4. Billing Determinants'!$F$41*$D46,IF($E46="Non-RPP kWh",VLOOKUP(O$5,'4. Billing Determinants'!$B$19:$N$41,6,0)/'4. Billing Determinants'!$G$41*$D46,IF($E46="Distribution Rev.",VLOOKUP(O$5,'4. Billing Determinants'!$B$19:$N$41,8,0)/'4. Billing Determinants'!$I$41*$D46, VLOOKUP(O$5,'4. Billing Determinants'!$B$19:$N$41,3,0)/'4. Billing Determinants'!$D$41*$D46)))))</f>
        <v>0</v>
      </c>
      <c r="P46" s="150">
        <f>IF(P$5="",0,IF($E46="kWh",VLOOKUP(P$5,'4. Billing Determinants'!$B$19:$N$41,4,0)/'4. Billing Determinants'!$E$41*$D46,IF($E46="kW",VLOOKUP(P$5,'4. Billing Determinants'!$B$19:$N$41,5,0)/'4. Billing Determinants'!$F$41*$D46,IF($E46="Non-RPP kWh",VLOOKUP(P$5,'4. Billing Determinants'!$B$19:$N$41,6,0)/'4. Billing Determinants'!$G$41*$D46,IF($E46="Distribution Rev.",VLOOKUP(P$5,'4. Billing Determinants'!$B$19:$N$41,8,0)/'4. Billing Determinants'!$I$41*$D46, VLOOKUP(P$5,'4. Billing Determinants'!$B$19:$N$41,3,0)/'4. Billing Determinants'!$D$41*$D46)))))</f>
        <v>0</v>
      </c>
      <c r="Q46" s="150">
        <f>IF(Q$5="",0,IF($E46="kWh",VLOOKUP(Q$5,'4. Billing Determinants'!$B$19:$N$41,4,0)/'4. Billing Determinants'!$E$41*$D46,IF($E46="kW",VLOOKUP(Q$5,'4. Billing Determinants'!$B$19:$N$41,5,0)/'4. Billing Determinants'!$F$41*$D46,IF($E46="Non-RPP kWh",VLOOKUP(Q$5,'4. Billing Determinants'!$B$19:$N$41,6,0)/'4. Billing Determinants'!$G$41*$D46,IF($E46="Distribution Rev.",VLOOKUP(Q$5,'4. Billing Determinants'!$B$19:$N$41,8,0)/'4. Billing Determinants'!$I$41*$D46, VLOOKUP(Q$5,'4. Billing Determinants'!$B$19:$N$41,3,0)/'4. Billing Determinants'!$D$41*$D46)))))</f>
        <v>0</v>
      </c>
      <c r="R46" s="150">
        <f>IF(R$5="",0,IF($E46="kWh",VLOOKUP(R$5,'4. Billing Determinants'!$B$19:$N$41,4,0)/'4. Billing Determinants'!$E$41*$D46,IF($E46="kW",VLOOKUP(R$5,'4. Billing Determinants'!$B$19:$N$41,5,0)/'4. Billing Determinants'!$F$41*$D46,IF($E46="Non-RPP kWh",VLOOKUP(R$5,'4. Billing Determinants'!$B$19:$N$41,6,0)/'4. Billing Determinants'!$G$41*$D46,IF($E46="Distribution Rev.",VLOOKUP(R$5,'4. Billing Determinants'!$B$19:$N$41,8,0)/'4. Billing Determinants'!$I$41*$D46, VLOOKUP(R$5,'4. Billing Determinants'!$B$19:$N$41,3,0)/'4. Billing Determinants'!$D$41*$D46)))))</f>
        <v>0</v>
      </c>
      <c r="S46" s="150">
        <f>IF(S$5="",0,IF($E46="kWh",VLOOKUP(S$5,'4. Billing Determinants'!$B$19:$N$41,4,0)/'4. Billing Determinants'!$E$41*$D46,IF($E46="kW",VLOOKUP(S$5,'4. Billing Determinants'!$B$19:$N$41,5,0)/'4. Billing Determinants'!$F$41*$D46,IF($E46="Non-RPP kWh",VLOOKUP(S$5,'4. Billing Determinants'!$B$19:$N$41,6,0)/'4. Billing Determinants'!$G$41*$D46,IF($E46="Distribution Rev.",VLOOKUP(S$5,'4. Billing Determinants'!$B$19:$N$41,8,0)/'4. Billing Determinants'!$I$41*$D46, VLOOKUP(S$5,'4. Billing Determinants'!$B$19:$N$41,3,0)/'4. Billing Determinants'!$D$41*$D46)))))</f>
        <v>0</v>
      </c>
      <c r="T46" s="150">
        <f>IF(T$5="",0,IF($E46="kWh",VLOOKUP(T$5,'4. Billing Determinants'!$B$19:$N$41,4,0)/'4. Billing Determinants'!$E$41*$D46,IF($E46="kW",VLOOKUP(T$5,'4. Billing Determinants'!$B$19:$N$41,5,0)/'4. Billing Determinants'!$F$41*$D46,IF($E46="Non-RPP kWh",VLOOKUP(T$5,'4. Billing Determinants'!$B$19:$N$41,6,0)/'4. Billing Determinants'!$G$41*$D46,IF($E46="Distribution Rev.",VLOOKUP(T$5,'4. Billing Determinants'!$B$19:$N$41,8,0)/'4. Billing Determinants'!$I$41*$D46, VLOOKUP(T$5,'4. Billing Determinants'!$B$19:$N$41,3,0)/'4. Billing Determinants'!$D$41*$D46)))))</f>
        <v>0</v>
      </c>
      <c r="U46" s="150">
        <f>IF(U$5="",0,IF($E46="kWh",VLOOKUP(U$5,'4. Billing Determinants'!$B$19:$N$41,4,0)/'4. Billing Determinants'!$E$41*$D46,IF($E46="kW",VLOOKUP(U$5,'4. Billing Determinants'!$B$19:$N$41,5,0)/'4. Billing Determinants'!$F$41*$D46,IF($E46="Non-RPP kWh",VLOOKUP(U$5,'4. Billing Determinants'!$B$19:$N$41,6,0)/'4. Billing Determinants'!$G$41*$D46,IF($E46="Distribution Rev.",VLOOKUP(U$5,'4. Billing Determinants'!$B$19:$N$41,8,0)/'4. Billing Determinants'!$I$41*$D46, VLOOKUP(U$5,'4. Billing Determinants'!$B$19:$N$41,3,0)/'4. Billing Determinants'!$D$41*$D46)))))</f>
        <v>0</v>
      </c>
      <c r="V46" s="150">
        <f>IF(V$5="",0,IF($E46="kWh",VLOOKUP(V$5,'4. Billing Determinants'!$B$19:$N$41,4,0)/'4. Billing Determinants'!$E$41*$D46,IF($E46="kW",VLOOKUP(V$5,'4. Billing Determinants'!$B$19:$N$41,5,0)/'4. Billing Determinants'!$F$41*$D46,IF($E46="Non-RPP kWh",VLOOKUP(V$5,'4. Billing Determinants'!$B$19:$N$41,6,0)/'4. Billing Determinants'!$G$41*$D46,IF($E46="Distribution Rev.",VLOOKUP(V$5,'4. Billing Determinants'!$B$19:$N$41,8,0)/'4. Billing Determinants'!$I$41*$D46, VLOOKUP(V$5,'4. Billing Determinants'!$B$19:$N$41,3,0)/'4. Billing Determinants'!$D$41*$D46)))))</f>
        <v>0</v>
      </c>
      <c r="W46" s="150">
        <f>IF(W$5="",0,IF($E46="kWh",VLOOKUP(W$5,'4. Billing Determinants'!$B$19:$N$41,4,0)/'4. Billing Determinants'!$E$41*$D46,IF($E46="kW",VLOOKUP(W$5,'4. Billing Determinants'!$B$19:$N$41,5,0)/'4. Billing Determinants'!$F$41*$D46,IF($E46="Non-RPP kWh",VLOOKUP(W$5,'4. Billing Determinants'!$B$19:$N$41,6,0)/'4. Billing Determinants'!$G$41*$D46,IF($E46="Distribution Rev.",VLOOKUP(W$5,'4. Billing Determinants'!$B$19:$N$41,8,0)/'4. Billing Determinants'!$I$41*$D46, VLOOKUP(W$5,'4. Billing Determinants'!$B$19:$N$41,3,0)/'4. Billing Determinants'!$D$41*$D46)))))</f>
        <v>0</v>
      </c>
      <c r="X46" s="150">
        <f>IF(X$5="",0,IF($E46="kWh",VLOOKUP(X$5,'4. Billing Determinants'!$B$19:$N$41,4,0)/'4. Billing Determinants'!$E$41*$D46,IF($E46="kW",VLOOKUP(X$5,'4. Billing Determinants'!$B$19:$N$41,5,0)/'4. Billing Determinants'!$F$41*$D46,IF($E46="Non-RPP kWh",VLOOKUP(X$5,'4. Billing Determinants'!$B$19:$N$41,6,0)/'4. Billing Determinants'!$G$41*$D46,IF($E46="Distribution Rev.",VLOOKUP(X$5,'4. Billing Determinants'!$B$19:$N$41,8,0)/'4. Billing Determinants'!$I$41*$D46, VLOOKUP(X$5,'4. Billing Determinants'!$B$19:$N$41,3,0)/'4. Billing Determinants'!$D$41*$D46)))))</f>
        <v>0</v>
      </c>
      <c r="Y46" s="150">
        <f>IF(Y$5="",0,IF($E46="kWh",VLOOKUP(Y$5,'4. Billing Determinants'!$B$19:$N$41,4,0)/'4. Billing Determinants'!$E$41*$D46,IF($E46="kW",VLOOKUP(Y$5,'4. Billing Determinants'!$B$19:$N$41,5,0)/'4. Billing Determinants'!$F$41*$D46,IF($E46="Non-RPP kWh",VLOOKUP(Y$5,'4. Billing Determinants'!$B$19:$N$41,6,0)/'4. Billing Determinants'!$G$41*$D46,IF($E46="Distribution Rev.",VLOOKUP(Y$5,'4. Billing Determinants'!$B$19:$N$41,8,0)/'4. Billing Determinants'!$I$41*$D46, VLOOKUP(Y$5,'4. Billing Determinants'!$B$19:$N$41,3,0)/'4. Billing Determinants'!$D$41*$D46)))))</f>
        <v>0</v>
      </c>
    </row>
    <row r="47" spans="1:25" ht="25.5" x14ac:dyDescent="0.2">
      <c r="B47" s="159" t="s">
        <v>194</v>
      </c>
      <c r="C47" s="158">
        <v>1568</v>
      </c>
      <c r="D47" s="211">
        <f>'2. 2013 Continuity Schedule'!CF73</f>
        <v>40314.700155999999</v>
      </c>
      <c r="E47" s="226"/>
      <c r="F47" s="227">
        <v>27226.25</v>
      </c>
      <c r="G47" s="227">
        <v>12729.87</v>
      </c>
      <c r="H47" s="227">
        <v>284.13</v>
      </c>
      <c r="I47" s="227">
        <v>74.459999999999994</v>
      </c>
      <c r="J47" s="227">
        <v>0</v>
      </c>
      <c r="K47" s="227">
        <v>0</v>
      </c>
      <c r="L47" s="227">
        <v>0</v>
      </c>
      <c r="M47" s="167"/>
      <c r="N47" s="167"/>
      <c r="O47" s="167"/>
      <c r="P47" s="167"/>
      <c r="Q47" s="167"/>
      <c r="R47" s="167"/>
      <c r="S47" s="167"/>
      <c r="T47" s="167"/>
      <c r="U47" s="167"/>
      <c r="V47" s="167"/>
      <c r="W47" s="167"/>
      <c r="X47" s="167"/>
      <c r="Y47" s="167"/>
    </row>
    <row r="48" spans="1:25" s="153" customFormat="1" x14ac:dyDescent="0.2">
      <c r="B48" s="297" t="s">
        <v>196</v>
      </c>
      <c r="C48" s="297"/>
      <c r="D48" s="228">
        <f>SUM(F47:Y47)</f>
        <v>40314.71</v>
      </c>
      <c r="E48" s="229"/>
      <c r="F48" s="229"/>
      <c r="G48" s="229"/>
      <c r="H48" s="229"/>
      <c r="I48" s="229"/>
      <c r="J48" s="229"/>
      <c r="K48" s="229"/>
      <c r="L48" s="229"/>
    </row>
    <row r="49" spans="2:25" s="153" customFormat="1" x14ac:dyDescent="0.2">
      <c r="B49" s="298" t="s">
        <v>178</v>
      </c>
      <c r="C49" s="298"/>
      <c r="D49" s="220">
        <f>D47-D48</f>
        <v>-9.8440000001573935E-3</v>
      </c>
      <c r="E49" s="230"/>
      <c r="F49" s="229"/>
      <c r="G49" s="229"/>
      <c r="H49" s="229"/>
      <c r="I49" s="229"/>
      <c r="J49" s="229"/>
      <c r="K49" s="229"/>
      <c r="L49" s="229"/>
    </row>
    <row r="50" spans="2:25" s="153" customFormat="1" x14ac:dyDescent="0.2">
      <c r="D50" s="229"/>
      <c r="E50" s="229"/>
      <c r="F50" s="229"/>
      <c r="G50" s="229"/>
      <c r="H50" s="229"/>
      <c r="I50" s="229"/>
      <c r="J50" s="229"/>
      <c r="K50" s="229"/>
      <c r="L50" s="229"/>
    </row>
    <row r="51" spans="2:25" s="169" customFormat="1" x14ac:dyDescent="0.2">
      <c r="B51" s="299" t="s">
        <v>198</v>
      </c>
      <c r="C51" s="299"/>
      <c r="D51" s="231">
        <f>SUM(F51:Y51)</f>
        <v>-3277344.5342620006</v>
      </c>
      <c r="E51" s="232"/>
      <c r="F51" s="231">
        <f t="shared" ref="F51:Y51" si="3">SUM(F46:F47,F44,F39,F16)</f>
        <v>-974193.28118325816</v>
      </c>
      <c r="G51" s="231">
        <f t="shared" si="3"/>
        <v>-470101.53999593155</v>
      </c>
      <c r="H51" s="231">
        <f t="shared" si="3"/>
        <v>-1081950.6576935246</v>
      </c>
      <c r="I51" s="231">
        <f t="shared" si="3"/>
        <v>-701666.10113192792</v>
      </c>
      <c r="J51" s="231">
        <f t="shared" si="3"/>
        <v>-7080.3745249871654</v>
      </c>
      <c r="K51" s="231">
        <f t="shared" si="3"/>
        <v>379.92183111703253</v>
      </c>
      <c r="L51" s="231">
        <f t="shared" si="3"/>
        <v>-42732.501563487574</v>
      </c>
      <c r="M51" s="171">
        <f t="shared" si="3"/>
        <v>0</v>
      </c>
      <c r="N51" s="171">
        <f t="shared" si="3"/>
        <v>0</v>
      </c>
      <c r="O51" s="171">
        <f t="shared" si="3"/>
        <v>0</v>
      </c>
      <c r="P51" s="171">
        <f t="shared" si="3"/>
        <v>0</v>
      </c>
      <c r="Q51" s="171">
        <f t="shared" si="3"/>
        <v>0</v>
      </c>
      <c r="R51" s="171">
        <f t="shared" si="3"/>
        <v>0</v>
      </c>
      <c r="S51" s="171">
        <f t="shared" si="3"/>
        <v>0</v>
      </c>
      <c r="T51" s="171">
        <f t="shared" si="3"/>
        <v>0</v>
      </c>
      <c r="U51" s="171">
        <f t="shared" si="3"/>
        <v>0</v>
      </c>
      <c r="V51" s="171">
        <f t="shared" si="3"/>
        <v>0</v>
      </c>
      <c r="W51" s="171">
        <f t="shared" si="3"/>
        <v>0</v>
      </c>
      <c r="X51" s="171">
        <f t="shared" si="3"/>
        <v>0</v>
      </c>
      <c r="Y51" s="171">
        <f t="shared" si="3"/>
        <v>0</v>
      </c>
    </row>
    <row r="52" spans="2:25" s="170" customFormat="1" x14ac:dyDescent="0.2">
      <c r="B52" s="299" t="s">
        <v>199</v>
      </c>
      <c r="C52" s="299"/>
      <c r="D52" s="231">
        <f>D11</f>
        <v>1022422.071068</v>
      </c>
      <c r="E52" s="231"/>
      <c r="F52" s="231">
        <f>F11</f>
        <v>67881.915208813822</v>
      </c>
      <c r="G52" s="231">
        <f t="shared" ref="G52:Y52" si="4">G11</f>
        <v>40981.356274370621</v>
      </c>
      <c r="H52" s="231">
        <f t="shared" si="4"/>
        <v>508342.2910687913</v>
      </c>
      <c r="I52" s="231">
        <f t="shared" si="4"/>
        <v>380914.2838807113</v>
      </c>
      <c r="J52" s="231">
        <f t="shared" si="4"/>
        <v>783.83140299981085</v>
      </c>
      <c r="K52" s="231">
        <f t="shared" si="4"/>
        <v>0</v>
      </c>
      <c r="L52" s="231">
        <f t="shared" si="4"/>
        <v>23518.393232313203</v>
      </c>
      <c r="M52" s="171">
        <f t="shared" si="4"/>
        <v>0</v>
      </c>
      <c r="N52" s="171">
        <f t="shared" si="4"/>
        <v>0</v>
      </c>
      <c r="O52" s="171">
        <f t="shared" si="4"/>
        <v>0</v>
      </c>
      <c r="P52" s="171">
        <f t="shared" si="4"/>
        <v>0</v>
      </c>
      <c r="Q52" s="171">
        <f t="shared" si="4"/>
        <v>0</v>
      </c>
      <c r="R52" s="171">
        <f t="shared" si="4"/>
        <v>0</v>
      </c>
      <c r="S52" s="171">
        <f t="shared" si="4"/>
        <v>0</v>
      </c>
      <c r="T52" s="171">
        <f t="shared" si="4"/>
        <v>0</v>
      </c>
      <c r="U52" s="171">
        <f t="shared" si="4"/>
        <v>0</v>
      </c>
      <c r="V52" s="171">
        <f t="shared" si="4"/>
        <v>0</v>
      </c>
      <c r="W52" s="171">
        <f t="shared" si="4"/>
        <v>0</v>
      </c>
      <c r="X52" s="171">
        <f t="shared" si="4"/>
        <v>0</v>
      </c>
      <c r="Y52" s="171">
        <f t="shared" si="4"/>
        <v>0</v>
      </c>
    </row>
    <row r="53" spans="2:25" s="153" customFormat="1" x14ac:dyDescent="0.2">
      <c r="B53" s="295" t="s">
        <v>200</v>
      </c>
      <c r="C53" s="295"/>
      <c r="D53" s="214">
        <f>SUM(D51:D52)</f>
        <v>-2254922.4631940005</v>
      </c>
      <c r="E53" s="215"/>
      <c r="F53" s="214">
        <f t="shared" ref="F53:Y53" si="5">SUM(F51:F52)</f>
        <v>-906311.36597444431</v>
      </c>
      <c r="G53" s="214">
        <f t="shared" si="5"/>
        <v>-429120.18372156093</v>
      </c>
      <c r="H53" s="214">
        <f t="shared" si="5"/>
        <v>-573608.36662473332</v>
      </c>
      <c r="I53" s="214">
        <f t="shared" si="5"/>
        <v>-320751.81725121662</v>
      </c>
      <c r="J53" s="214">
        <f t="shared" si="5"/>
        <v>-6296.5431219873544</v>
      </c>
      <c r="K53" s="214">
        <f t="shared" si="5"/>
        <v>379.92183111703253</v>
      </c>
      <c r="L53" s="214">
        <f t="shared" si="5"/>
        <v>-19214.108331174371</v>
      </c>
      <c r="M53" s="172">
        <f t="shared" si="5"/>
        <v>0</v>
      </c>
      <c r="N53" s="172">
        <f t="shared" si="5"/>
        <v>0</v>
      </c>
      <c r="O53" s="172">
        <f t="shared" si="5"/>
        <v>0</v>
      </c>
      <c r="P53" s="172">
        <f t="shared" si="5"/>
        <v>0</v>
      </c>
      <c r="Q53" s="172">
        <f t="shared" si="5"/>
        <v>0</v>
      </c>
      <c r="R53" s="172">
        <f t="shared" si="5"/>
        <v>0</v>
      </c>
      <c r="S53" s="172">
        <f t="shared" si="5"/>
        <v>0</v>
      </c>
      <c r="T53" s="172">
        <f t="shared" si="5"/>
        <v>0</v>
      </c>
      <c r="U53" s="172">
        <f t="shared" si="5"/>
        <v>0</v>
      </c>
      <c r="V53" s="172">
        <f t="shared" si="5"/>
        <v>0</v>
      </c>
      <c r="W53" s="172">
        <f t="shared" si="5"/>
        <v>0</v>
      </c>
      <c r="X53" s="172">
        <f t="shared" si="5"/>
        <v>0</v>
      </c>
      <c r="Y53" s="172">
        <f t="shared" si="5"/>
        <v>0</v>
      </c>
    </row>
    <row r="54" spans="2:25" x14ac:dyDescent="0.2">
      <c r="D54" s="157"/>
    </row>
  </sheetData>
  <mergeCells count="6">
    <mergeCell ref="B53:C53"/>
    <mergeCell ref="B4:E4"/>
    <mergeCell ref="B48:C48"/>
    <mergeCell ref="B49:C49"/>
    <mergeCell ref="B51:C51"/>
    <mergeCell ref="B52:C52"/>
  </mergeCells>
  <dataValidations count="3">
    <dataValidation type="list" allowBlank="1" showInputMessage="1" showErrorMessage="1" sqref="E6:E15">
      <formula1>"kWh, kW, Non-RPP kWh"</formula1>
    </dataValidation>
    <dataValidation type="list" allowBlank="1" showInputMessage="1" showErrorMessage="1" sqref="E41:E44 E39 E46">
      <formula1>"kWh, kW, Non-RPP kWh, Distribution Rev."</formula1>
    </dataValidation>
    <dataValidation type="list" allowBlank="1" showInputMessage="1" showErrorMessage="1" sqref="E18:E38">
      <formula1>"kWh, kW, Non-RPP kWh, Distribution Rev., # of Customers"</formula1>
    </dataValidation>
  </dataValidations>
  <pageMargins left="0.23622047244094491" right="0.23622047244094491" top="0.74803149606299213" bottom="0.74803149606299213" header="0.31496062992125984" footer="0.31496062992125984"/>
  <pageSetup scale="45" orientation="landscape" r:id="rId1"/>
  <headerFooter>
    <oddHeader>&amp;L&amp;Z&amp;F</oddHeader>
    <oddFooter>&amp;L&amp;Z&amp;F</oddFooter>
  </headerFooter>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68"/>
  <sheetViews>
    <sheetView showGridLines="0" topLeftCell="B7" zoomScaleNormal="100" workbookViewId="0">
      <selection activeCell="B18" sqref="B18:G41"/>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7.140625" customWidth="1"/>
    <col min="8" max="8" width="11.28515625" bestFit="1" customWidth="1"/>
    <col min="9" max="9" width="21" customWidth="1"/>
    <col min="10" max="10" width="21.28515625" customWidth="1"/>
  </cols>
  <sheetData>
    <row r="2" spans="2:11" x14ac:dyDescent="0.2">
      <c r="K2" s="132" t="s">
        <v>231</v>
      </c>
    </row>
    <row r="13" spans="2:11" x14ac:dyDescent="0.2">
      <c r="B13" s="174" t="s">
        <v>205</v>
      </c>
      <c r="C13" s="175"/>
      <c r="D13" s="176">
        <v>1</v>
      </c>
    </row>
    <row r="16" spans="2:11" ht="18" x14ac:dyDescent="0.25">
      <c r="B16" s="181" t="s">
        <v>208</v>
      </c>
    </row>
    <row r="18" spans="2:7" ht="15" x14ac:dyDescent="0.25">
      <c r="B18" s="194" t="s">
        <v>228</v>
      </c>
    </row>
    <row r="19" spans="2:7" ht="12.75" customHeight="1" x14ac:dyDescent="0.2">
      <c r="B19" s="300" t="s">
        <v>190</v>
      </c>
      <c r="C19" s="301" t="s">
        <v>173</v>
      </c>
      <c r="D19" s="302" t="s">
        <v>206</v>
      </c>
      <c r="E19" s="302" t="s">
        <v>201</v>
      </c>
      <c r="F19" s="300" t="s">
        <v>202</v>
      </c>
    </row>
    <row r="20" spans="2:7" ht="27" customHeight="1" x14ac:dyDescent="0.2">
      <c r="B20" s="301"/>
      <c r="C20" s="301"/>
      <c r="D20" s="303"/>
      <c r="E20" s="303"/>
      <c r="F20" s="300"/>
    </row>
    <row r="21" spans="2:7" x14ac:dyDescent="0.2">
      <c r="B21" s="168" t="str">
        <f>IF(ISBLANK('4. Billing Determinants'!B21), "", '4. Billing Determinants'!B21)</f>
        <v>Residential</v>
      </c>
      <c r="C21" s="206" t="s">
        <v>186</v>
      </c>
      <c r="D21" s="196">
        <f>IF(C21="", 0, IF(C21="kWh", '4. Billing Determinants'!E21, IF(C21="kW", '4. Billing Determinants'!F21, '4. Billing Determinants'!D21)))</f>
        <v>337828768</v>
      </c>
      <c r="E21" s="197">
        <f>HLOOKUP($B21, '5. Allocation of Balances'!$C$5:$Y$51, 47,FALSE)</f>
        <v>-974193.28118325816</v>
      </c>
      <c r="F21" s="233">
        <f>IF(ISERROR(E21/D21), 0, IF(C21="# of Customers", E21/D21/12/$D$13, E21/D21/$D$13))</f>
        <v>-2.8836895299078204E-3</v>
      </c>
      <c r="G21" t="str">
        <f>IF(C21="", "", IF(C21="# of Customers", "per customer per month", "$/"&amp;C21))</f>
        <v>$/kWh</v>
      </c>
    </row>
    <row r="22" spans="2:7" x14ac:dyDescent="0.2">
      <c r="B22" s="168" t="str">
        <f>IF(ISBLANK('4. Billing Determinants'!B22), "", '4. Billing Determinants'!B22)</f>
        <v>General Service Less Than 50 kW</v>
      </c>
      <c r="C22" s="206" t="str">
        <f>IF(ISBLANK('4. Billing Determinants'!C22), "", '4. Billing Determinants'!C22)</f>
        <v>kWh</v>
      </c>
      <c r="D22" s="196">
        <f>IF(C22="", 0, IF(C22="kWh", '4. Billing Determinants'!E22, IF(C22="kW", '4. Billing Determinants'!F22, '4. Billing Determinants'!D22)))</f>
        <v>135513010</v>
      </c>
      <c r="E22" s="197">
        <f>HLOOKUP($B22, '5. Allocation of Balances'!$C$5:$Y$51, 47,FALSE)</f>
        <v>-470101.53999593155</v>
      </c>
      <c r="F22" s="233">
        <f t="shared" ref="F22:F40" si="0">IF(ISERROR(E22/D22), 0, IF(C22="# of Customers", E22/D22/12/$D$13, E22/D22/$D$13))</f>
        <v>-3.4690509789128848E-3</v>
      </c>
      <c r="G22" t="str">
        <f t="shared" ref="G22:G40" si="1">IF(C22="", "", IF(C22="# of Customers", "per customer per month", "$/"&amp;C22))</f>
        <v>$/kWh</v>
      </c>
    </row>
    <row r="23" spans="2:7" x14ac:dyDescent="0.2">
      <c r="B23" s="168" t="str">
        <f>IF(ISBLANK('4. Billing Determinants'!B23), "", '4. Billing Determinants'!B23)</f>
        <v>General Service 50 to 999 kW</v>
      </c>
      <c r="C23" s="206" t="str">
        <f>IF(ISBLANK('4. Billing Determinants'!C23), "", '4. Billing Determinants'!C23)</f>
        <v>kW</v>
      </c>
      <c r="D23" s="196">
        <f>IF(C23="", 0, IF(C23="kWh", '4. Billing Determinants'!E23, IF(C23="kW", '4. Billing Determinants'!F23, '4. Billing Determinants'!D23)))</f>
        <v>741149.45</v>
      </c>
      <c r="E23" s="197">
        <f>HLOOKUP($B23, '5. Allocation of Balances'!$C$5:$Y$51, 47,FALSE)</f>
        <v>-1081950.6576935246</v>
      </c>
      <c r="F23" s="233">
        <f t="shared" si="0"/>
        <v>-1.4598279168844079</v>
      </c>
      <c r="G23" t="str">
        <f t="shared" si="1"/>
        <v>$/kW</v>
      </c>
    </row>
    <row r="24" spans="2:7" x14ac:dyDescent="0.2">
      <c r="B24" s="168" t="str">
        <f>IF(ISBLANK('4. Billing Determinants'!B24), "", '4. Billing Determinants'!B24)</f>
        <v>General Service 1,000 to 4,999 kW</v>
      </c>
      <c r="C24" s="206" t="str">
        <f>IF(ISBLANK('4. Billing Determinants'!C24), "", '4. Billing Determinants'!C24)</f>
        <v>kW</v>
      </c>
      <c r="D24" s="196">
        <f>IF(C24="", 0, IF(C24="kWh", '4. Billing Determinants'!E24, IF(C24="kW", '4. Billing Determinants'!F24, '4. Billing Determinants'!D24)))</f>
        <v>518429.68</v>
      </c>
      <c r="E24" s="197">
        <f>HLOOKUP($B24, '5. Allocation of Balances'!$C$5:$Y$51, 47,FALSE)</f>
        <v>-701666.10113192792</v>
      </c>
      <c r="F24" s="233">
        <f t="shared" si="0"/>
        <v>-1.353445082719662</v>
      </c>
      <c r="G24" t="str">
        <f t="shared" si="1"/>
        <v>$/kW</v>
      </c>
    </row>
    <row r="25" spans="2:7" x14ac:dyDescent="0.2">
      <c r="B25" s="168" t="str">
        <f>IF(ISBLANK('4. Billing Determinants'!B25), "", '4. Billing Determinants'!B25)</f>
        <v xml:space="preserve">Unmetered Scattered Load </v>
      </c>
      <c r="C25" s="206" t="str">
        <f>IF(ISBLANK('4. Billing Determinants'!C25), "", '4. Billing Determinants'!C25)</f>
        <v>kWh</v>
      </c>
      <c r="D25" s="196">
        <f>IF(C25="", 0, IF(C25="kWh", '4. Billing Determinants'!E25, IF(C25="kW", '4. Billing Determinants'!F25, '4. Billing Determinants'!D25)))</f>
        <v>1965510.19</v>
      </c>
      <c r="E25" s="197">
        <f>HLOOKUP($B25, '5. Allocation of Balances'!$C$5:$Y$51, 47,FALSE)</f>
        <v>-7080.3745249871654</v>
      </c>
      <c r="F25" s="233">
        <f t="shared" si="0"/>
        <v>-3.6023087343989633E-3</v>
      </c>
      <c r="G25" t="str">
        <f t="shared" si="1"/>
        <v>$/kWh</v>
      </c>
    </row>
    <row r="26" spans="2:7" x14ac:dyDescent="0.2">
      <c r="B26" s="168" t="str">
        <f>IF(ISBLANK('4. Billing Determinants'!B26), "", '4. Billing Determinants'!B26)</f>
        <v>Sentinel Lighting</v>
      </c>
      <c r="C26" s="206" t="str">
        <f>IF(ISBLANK('4. Billing Determinants'!C26), "", '4. Billing Determinants'!C26)</f>
        <v>kW</v>
      </c>
      <c r="D26" s="196">
        <f>IF(C26="", 0, IF(C26="kWh", '4. Billing Determinants'!E26, IF(C26="kW", '4. Billing Determinants'!F26, '4. Billing Determinants'!D26)))</f>
        <v>337</v>
      </c>
      <c r="E26" s="197">
        <f>HLOOKUP($B26, '5. Allocation of Balances'!$C$5:$Y$51, 47,FALSE)</f>
        <v>379.92183111703253</v>
      </c>
      <c r="F26" s="233">
        <f t="shared" si="0"/>
        <v>1.1273644840268027</v>
      </c>
      <c r="G26" t="str">
        <f t="shared" si="1"/>
        <v>$/kW</v>
      </c>
    </row>
    <row r="27" spans="2:7" x14ac:dyDescent="0.2">
      <c r="B27" s="168" t="str">
        <f>IF(ISBLANK('4. Billing Determinants'!B27), "", '4. Billing Determinants'!B27)</f>
        <v>Street Lighting</v>
      </c>
      <c r="C27" s="206" t="str">
        <f>IF(ISBLANK('4. Billing Determinants'!C27), "", '4. Billing Determinants'!C27)</f>
        <v>kW</v>
      </c>
      <c r="D27" s="196">
        <f>IF(C27="", 0, IF(C27="kWh", '4. Billing Determinants'!E27, IF(C27="kW", '4. Billing Determinants'!F27, '4. Billing Determinants'!D27)))</f>
        <v>31833.98</v>
      </c>
      <c r="E27" s="197">
        <f>HLOOKUP($B27, '5. Allocation of Balances'!$C$5:$Y$51, 47,FALSE)</f>
        <v>-42732.501563487574</v>
      </c>
      <c r="F27" s="233">
        <f t="shared" si="0"/>
        <v>-1.3423549792858944</v>
      </c>
      <c r="G27" t="str">
        <f t="shared" si="1"/>
        <v>$/kW</v>
      </c>
    </row>
    <row r="28" spans="2:7" hidden="1" x14ac:dyDescent="0.2">
      <c r="B28" s="168" t="str">
        <f>IF(ISBLANK('4. Billing Determinants'!B28), "", '4. Billing Determinants'!B28)</f>
        <v/>
      </c>
      <c r="C28" s="177" t="str">
        <f>IF(ISBLANK('4. Billing Determinants'!C28), "", '4. Billing Determinants'!C28)</f>
        <v/>
      </c>
      <c r="D28" s="196">
        <f>IF(C28="", 0, IF(C28="kWh", '4. Billing Determinants'!E28, IF(C28="kW", '4. Billing Determinants'!F28, '4. Billing Determinants'!D28)))</f>
        <v>0</v>
      </c>
      <c r="E28" s="197">
        <f>HLOOKUP($B28, '5. Allocation of Balances'!$C$5:$Y$51, 47,FALSE)</f>
        <v>0</v>
      </c>
      <c r="F28" s="173">
        <f t="shared" si="0"/>
        <v>0</v>
      </c>
      <c r="G28" t="str">
        <f t="shared" si="1"/>
        <v/>
      </c>
    </row>
    <row r="29" spans="2:7" hidden="1" x14ac:dyDescent="0.2">
      <c r="B29" s="168" t="str">
        <f>IF(ISBLANK('4. Billing Determinants'!B29), "", '4. Billing Determinants'!B29)</f>
        <v/>
      </c>
      <c r="C29" s="177" t="str">
        <f>IF(ISBLANK('4. Billing Determinants'!C29), "", '4. Billing Determinants'!C29)</f>
        <v/>
      </c>
      <c r="D29" s="196">
        <f>IF(C29="", 0, IF(C29="kWh", '4. Billing Determinants'!E29, IF(C29="kW", '4. Billing Determinants'!F29, '4. Billing Determinants'!D29)))</f>
        <v>0</v>
      </c>
      <c r="E29" s="197">
        <f>HLOOKUP($B29, '5. Allocation of Balances'!$C$5:$Y$51, 47,FALSE)</f>
        <v>0</v>
      </c>
      <c r="F29" s="173">
        <f t="shared" si="0"/>
        <v>0</v>
      </c>
      <c r="G29" t="str">
        <f t="shared" si="1"/>
        <v/>
      </c>
    </row>
    <row r="30" spans="2:7" hidden="1" x14ac:dyDescent="0.2">
      <c r="B30" s="168" t="str">
        <f>IF(ISBLANK('4. Billing Determinants'!B30), "", '4. Billing Determinants'!B30)</f>
        <v/>
      </c>
      <c r="C30" s="177" t="str">
        <f>IF(ISBLANK('4. Billing Determinants'!C30), "", '4. Billing Determinants'!C30)</f>
        <v/>
      </c>
      <c r="D30" s="196">
        <f>IF(C30="", 0, IF(C30="kWh", '4. Billing Determinants'!E30, IF(C30="kW", '4. Billing Determinants'!F30, '4. Billing Determinants'!D30)))</f>
        <v>0</v>
      </c>
      <c r="E30" s="197">
        <f>HLOOKUP($B30, '5. Allocation of Balances'!$C$5:$Y$51, 47,FALSE)</f>
        <v>0</v>
      </c>
      <c r="F30" s="173">
        <f t="shared" si="0"/>
        <v>0</v>
      </c>
      <c r="G30" t="str">
        <f t="shared" si="1"/>
        <v/>
      </c>
    </row>
    <row r="31" spans="2:7" hidden="1" x14ac:dyDescent="0.2">
      <c r="B31" s="168" t="str">
        <f>IF(ISBLANK('4. Billing Determinants'!B31), "", '4. Billing Determinants'!B31)</f>
        <v/>
      </c>
      <c r="C31" s="177" t="str">
        <f>IF(ISBLANK('4. Billing Determinants'!C31), "", '4. Billing Determinants'!C31)</f>
        <v/>
      </c>
      <c r="D31" s="196">
        <f>IF(C31="", 0, IF(C31="kWh", '4. Billing Determinants'!E31, IF(C31="kW", '4. Billing Determinants'!F31, '4. Billing Determinants'!D31)))</f>
        <v>0</v>
      </c>
      <c r="E31" s="197">
        <f>HLOOKUP($B31, '5. Allocation of Balances'!$C$5:$Y$51, 47,FALSE)</f>
        <v>0</v>
      </c>
      <c r="F31" s="173">
        <f t="shared" si="0"/>
        <v>0</v>
      </c>
      <c r="G31" t="str">
        <f t="shared" si="1"/>
        <v/>
      </c>
    </row>
    <row r="32" spans="2:7" hidden="1" x14ac:dyDescent="0.2">
      <c r="B32" s="168" t="str">
        <f>IF(ISBLANK('4. Billing Determinants'!B32), "", '4. Billing Determinants'!B32)</f>
        <v/>
      </c>
      <c r="C32" s="177" t="str">
        <f>IF(ISBLANK('4. Billing Determinants'!C32), "", '4. Billing Determinants'!C32)</f>
        <v/>
      </c>
      <c r="D32" s="196">
        <f>IF(C32="", 0, IF(C32="kWh", '4. Billing Determinants'!E32, IF(C32="kW", '4. Billing Determinants'!F32, '4. Billing Determinants'!D32)))</f>
        <v>0</v>
      </c>
      <c r="E32" s="197">
        <f>HLOOKUP($B32, '5. Allocation of Balances'!$C$5:$Y$51, 47,FALSE)</f>
        <v>0</v>
      </c>
      <c r="F32" s="173">
        <f t="shared" si="0"/>
        <v>0</v>
      </c>
      <c r="G32" t="str">
        <f t="shared" si="1"/>
        <v/>
      </c>
    </row>
    <row r="33" spans="2:9" hidden="1" x14ac:dyDescent="0.2">
      <c r="B33" s="168" t="str">
        <f>IF(ISBLANK('4. Billing Determinants'!B33), "", '4. Billing Determinants'!B33)</f>
        <v/>
      </c>
      <c r="C33" s="177" t="str">
        <f>IF(ISBLANK('4. Billing Determinants'!C33), "", '4. Billing Determinants'!C33)</f>
        <v/>
      </c>
      <c r="D33" s="196">
        <f>IF(C33="", 0, IF(C33="kWh", '4. Billing Determinants'!E33, IF(C33="kW", '4. Billing Determinants'!F33, '4. Billing Determinants'!D33)))</f>
        <v>0</v>
      </c>
      <c r="E33" s="197">
        <f>HLOOKUP($B33, '5. Allocation of Balances'!$C$5:$Y$51, 47,FALSE)</f>
        <v>0</v>
      </c>
      <c r="F33" s="173">
        <f t="shared" si="0"/>
        <v>0</v>
      </c>
      <c r="G33" t="str">
        <f t="shared" si="1"/>
        <v/>
      </c>
    </row>
    <row r="34" spans="2:9" hidden="1" x14ac:dyDescent="0.2">
      <c r="B34" s="168" t="str">
        <f>IF(ISBLANK('4. Billing Determinants'!B34), "", '4. Billing Determinants'!B34)</f>
        <v/>
      </c>
      <c r="C34" s="177" t="str">
        <f>IF(ISBLANK('4. Billing Determinants'!C34), "", '4. Billing Determinants'!C34)</f>
        <v/>
      </c>
      <c r="D34" s="196">
        <f>IF(C34="", 0, IF(C34="kWh", '4. Billing Determinants'!E34, IF(C34="kW", '4. Billing Determinants'!F34, '4. Billing Determinants'!D34)))</f>
        <v>0</v>
      </c>
      <c r="E34" s="197">
        <f>HLOOKUP($B34, '5. Allocation of Balances'!$C$5:$Y$51, 47,FALSE)</f>
        <v>0</v>
      </c>
      <c r="F34" s="173">
        <f t="shared" si="0"/>
        <v>0</v>
      </c>
      <c r="G34" t="str">
        <f t="shared" si="1"/>
        <v/>
      </c>
    </row>
    <row r="35" spans="2:9" hidden="1" x14ac:dyDescent="0.2">
      <c r="B35" s="168" t="str">
        <f>IF(ISBLANK('4. Billing Determinants'!B35), "", '4. Billing Determinants'!B35)</f>
        <v/>
      </c>
      <c r="C35" s="177" t="str">
        <f>IF(ISBLANK('4. Billing Determinants'!C35), "", '4. Billing Determinants'!C35)</f>
        <v/>
      </c>
      <c r="D35" s="196">
        <f>IF(C35="", 0, IF(C35="kWh", '4. Billing Determinants'!E35, IF(C35="kW", '4. Billing Determinants'!F35, '4. Billing Determinants'!D35)))</f>
        <v>0</v>
      </c>
      <c r="E35" s="197">
        <f>HLOOKUP($B35, '5. Allocation of Balances'!$C$5:$Y$51, 47,FALSE)</f>
        <v>0</v>
      </c>
      <c r="F35" s="173">
        <f t="shared" si="0"/>
        <v>0</v>
      </c>
      <c r="G35" t="str">
        <f t="shared" si="1"/>
        <v/>
      </c>
    </row>
    <row r="36" spans="2:9" hidden="1" x14ac:dyDescent="0.2">
      <c r="B36" s="168" t="str">
        <f>IF(ISBLANK('4. Billing Determinants'!B36), "", '4. Billing Determinants'!B36)</f>
        <v/>
      </c>
      <c r="C36" s="177" t="str">
        <f>IF(ISBLANK('4. Billing Determinants'!C36), "", '4. Billing Determinants'!C36)</f>
        <v/>
      </c>
      <c r="D36" s="196">
        <f>IF(C36="", 0, IF(C36="kWh", '4. Billing Determinants'!E36, IF(C36="kW", '4. Billing Determinants'!F36, '4. Billing Determinants'!D36)))</f>
        <v>0</v>
      </c>
      <c r="E36" s="197">
        <f>HLOOKUP($B36, '5. Allocation of Balances'!$C$5:$Y$51, 47,FALSE)</f>
        <v>0</v>
      </c>
      <c r="F36" s="173">
        <f t="shared" si="0"/>
        <v>0</v>
      </c>
      <c r="G36" t="str">
        <f t="shared" si="1"/>
        <v/>
      </c>
    </row>
    <row r="37" spans="2:9" hidden="1" x14ac:dyDescent="0.2">
      <c r="B37" s="168" t="str">
        <f>IF(ISBLANK('4. Billing Determinants'!B37), "", '4. Billing Determinants'!B37)</f>
        <v/>
      </c>
      <c r="C37" s="177" t="str">
        <f>IF(ISBLANK('4. Billing Determinants'!C37), "", '4. Billing Determinants'!C37)</f>
        <v/>
      </c>
      <c r="D37" s="196">
        <f>IF(C37="", 0, IF(C37="kWh", '4. Billing Determinants'!E37, IF(C37="kW", '4. Billing Determinants'!F37, '4. Billing Determinants'!D37)))</f>
        <v>0</v>
      </c>
      <c r="E37" s="197">
        <f>HLOOKUP($B37, '5. Allocation of Balances'!$C$5:$Y$51, 47,FALSE)</f>
        <v>0</v>
      </c>
      <c r="F37" s="173">
        <f t="shared" si="0"/>
        <v>0</v>
      </c>
      <c r="G37" t="str">
        <f t="shared" si="1"/>
        <v/>
      </c>
    </row>
    <row r="38" spans="2:9" hidden="1" x14ac:dyDescent="0.2">
      <c r="B38" s="168" t="str">
        <f>IF(ISBLANK('4. Billing Determinants'!B38), "", '4. Billing Determinants'!B38)</f>
        <v/>
      </c>
      <c r="C38" s="177" t="str">
        <f>IF(ISBLANK('4. Billing Determinants'!C38), "", '4. Billing Determinants'!C38)</f>
        <v/>
      </c>
      <c r="D38" s="196">
        <f>IF(C38="", 0, IF(C38="kWh", '4. Billing Determinants'!E38, IF(C38="kW", '4. Billing Determinants'!F38, '4. Billing Determinants'!D38)))</f>
        <v>0</v>
      </c>
      <c r="E38" s="197">
        <f>HLOOKUP($B38, '5. Allocation of Balances'!$C$5:$Y$51, 47,FALSE)</f>
        <v>0</v>
      </c>
      <c r="F38" s="173">
        <f t="shared" si="0"/>
        <v>0</v>
      </c>
      <c r="G38" t="str">
        <f t="shared" si="1"/>
        <v/>
      </c>
    </row>
    <row r="39" spans="2:9" hidden="1" x14ac:dyDescent="0.2">
      <c r="B39" s="168" t="str">
        <f>IF(ISBLANK('4. Billing Determinants'!B39), "", '4. Billing Determinants'!B39)</f>
        <v/>
      </c>
      <c r="C39" s="177" t="str">
        <f>IF(ISBLANK('4. Billing Determinants'!C39), "", '4. Billing Determinants'!C39)</f>
        <v/>
      </c>
      <c r="D39" s="196">
        <f>IF(C39="", 0, IF(C39="kWh", '4. Billing Determinants'!E39, IF(C39="kW", '4. Billing Determinants'!F39, '4. Billing Determinants'!D39)))</f>
        <v>0</v>
      </c>
      <c r="E39" s="197">
        <f>HLOOKUP($B39, '5. Allocation of Balances'!$C$5:$Y$51, 47,FALSE)</f>
        <v>0</v>
      </c>
      <c r="F39" s="173">
        <f t="shared" si="0"/>
        <v>0</v>
      </c>
      <c r="G39" t="str">
        <f t="shared" si="1"/>
        <v/>
      </c>
      <c r="I39" s="182"/>
    </row>
    <row r="40" spans="2:9" hidden="1" x14ac:dyDescent="0.2">
      <c r="B40" s="168" t="str">
        <f>IF(ISBLANK('4. Billing Determinants'!B40), "", '4. Billing Determinants'!B40)</f>
        <v/>
      </c>
      <c r="C40" s="177" t="str">
        <f>IF(ISBLANK('4. Billing Determinants'!C40), "", '4. Billing Determinants'!C40)</f>
        <v/>
      </c>
      <c r="D40" s="196">
        <f>IF(C40="", 0, IF(C40="kWh", '4. Billing Determinants'!E40, IF(C40="kW", '4. Billing Determinants'!F40, '4. Billing Determinants'!D40)))</f>
        <v>0</v>
      </c>
      <c r="E40" s="197">
        <f>HLOOKUP($B40, '5. Allocation of Balances'!$C$5:$Y$51, 47,FALSE)</f>
        <v>0</v>
      </c>
      <c r="F40" s="173">
        <f t="shared" si="0"/>
        <v>0</v>
      </c>
      <c r="G40" t="str">
        <f t="shared" si="1"/>
        <v/>
      </c>
    </row>
    <row r="41" spans="2:9" x14ac:dyDescent="0.2">
      <c r="B41" s="207" t="s">
        <v>174</v>
      </c>
      <c r="C41" s="208"/>
      <c r="D41" s="209"/>
      <c r="E41" s="210">
        <f>SUM(E21:E40)</f>
        <v>-3277344.5342620006</v>
      </c>
      <c r="F41" s="207"/>
    </row>
    <row r="44" spans="2:9" ht="18" x14ac:dyDescent="0.25">
      <c r="B44" s="181" t="s">
        <v>207</v>
      </c>
    </row>
    <row r="45" spans="2:9" ht="15" x14ac:dyDescent="0.2">
      <c r="B45" s="195" t="s">
        <v>229</v>
      </c>
    </row>
    <row r="46" spans="2:9" x14ac:dyDescent="0.2">
      <c r="B46" s="300" t="s">
        <v>190</v>
      </c>
      <c r="C46" s="301" t="s">
        <v>173</v>
      </c>
      <c r="D46" s="302" t="s">
        <v>206</v>
      </c>
      <c r="E46" s="302" t="s">
        <v>203</v>
      </c>
      <c r="F46" s="300" t="s">
        <v>204</v>
      </c>
    </row>
    <row r="47" spans="2:9" x14ac:dyDescent="0.2">
      <c r="B47" s="301"/>
      <c r="C47" s="301"/>
      <c r="D47" s="303"/>
      <c r="E47" s="303"/>
      <c r="F47" s="300"/>
    </row>
    <row r="48" spans="2:9" x14ac:dyDescent="0.2">
      <c r="B48" s="168" t="str">
        <f t="shared" ref="B48:B67" si="2">B21</f>
        <v>Residential</v>
      </c>
      <c r="C48" s="206" t="s">
        <v>186</v>
      </c>
      <c r="D48" s="196">
        <f>IF(C48="", 0, IF(C48="kWh", '4. Billing Determinants'!G21, IF(C48="kW", '4. Billing Determinants'!H21, '4. Billing Determinants'!D21)))</f>
        <v>33772368</v>
      </c>
      <c r="E48" s="197">
        <f>HLOOKUP($B21, '5. Allocation of Balances'!$C$5:$Y$52, 48,FALSE)</f>
        <v>67881.915208813822</v>
      </c>
      <c r="F48" s="173">
        <f>IF(ISERROR(E48/D48), 0, IF(C48="# of Customers", E48/D48/12/$D$13, E48/D48/$D$13))</f>
        <v>2.0099838782052185E-3</v>
      </c>
      <c r="G48" t="str">
        <f>IF(C48="", "", IF(C48="# of Customers", "per customer per month", "$/"&amp;C48))</f>
        <v>$/kWh</v>
      </c>
    </row>
    <row r="49" spans="2:7" x14ac:dyDescent="0.2">
      <c r="B49" s="168" t="str">
        <f t="shared" si="2"/>
        <v>General Service Less Than 50 kW</v>
      </c>
      <c r="C49" s="206" t="s">
        <v>186</v>
      </c>
      <c r="D49" s="196">
        <f>IF(C49="", 0, IF(C49="kWh", '4. Billing Determinants'!G22, IF(C49="kW", '4. Billing Determinants'!H22, '4. Billing Determinants'!D22)))</f>
        <v>20388898</v>
      </c>
      <c r="E49" s="197">
        <f>HLOOKUP($B22, '5. Allocation of Balances'!$C$5:$Y$52, 48,FALSE)</f>
        <v>40981.356274370621</v>
      </c>
      <c r="F49" s="173">
        <f t="shared" ref="F49:F67" si="3">IF(ISERROR(E49/D49), 0, IF(C49="# of Customers", E49/D49/12/$D$13, E49/D49/$D$13))</f>
        <v>2.0099838782052185E-3</v>
      </c>
      <c r="G49" t="str">
        <f t="shared" ref="G49:G67" si="4">IF(C49="", "", IF(C49="# of Customers", "per customer per month", "$/"&amp;C49))</f>
        <v>$/kWh</v>
      </c>
    </row>
    <row r="50" spans="2:7" x14ac:dyDescent="0.2">
      <c r="B50" s="168" t="str">
        <f t="shared" si="2"/>
        <v>General Service 50 to 999 kW</v>
      </c>
      <c r="C50" s="206" t="s">
        <v>212</v>
      </c>
      <c r="D50" s="196">
        <f>IF(C50="", 0, IF(C50="kWh", '4. Billing Determinants'!G23, IF(C50="kW", '4. Billing Determinants'!H23, '4. Billing Determinants'!D23)))</f>
        <v>651575.64987425087</v>
      </c>
      <c r="E50" s="197">
        <f>HLOOKUP($B23, '5. Allocation of Balances'!$C$5:$Y$52, 48,FALSE)</f>
        <v>508342.2910687913</v>
      </c>
      <c r="F50" s="173">
        <f t="shared" si="3"/>
        <v>0.78017386187911941</v>
      </c>
      <c r="G50" t="str">
        <f t="shared" si="4"/>
        <v>$/kW</v>
      </c>
    </row>
    <row r="51" spans="2:7" x14ac:dyDescent="0.2">
      <c r="B51" s="168" t="str">
        <f t="shared" si="2"/>
        <v>General Service 1,000 to 4,999 kW</v>
      </c>
      <c r="C51" s="206" t="s">
        <v>212</v>
      </c>
      <c r="D51" s="196">
        <f>IF(C51="", 0, IF(C51="kWh", '4. Billing Determinants'!G24, IF(C51="kW", '4. Billing Determinants'!H24, '4. Billing Determinants'!D24)))</f>
        <v>539789.88115142181</v>
      </c>
      <c r="E51" s="197">
        <f>HLOOKUP($B24, '5. Allocation of Balances'!$C$5:$Y$52, 48,FALSE)</f>
        <v>380914.2838807113</v>
      </c>
      <c r="F51" s="173">
        <f t="shared" si="3"/>
        <v>0.70567140508115089</v>
      </c>
      <c r="G51" t="str">
        <f t="shared" si="4"/>
        <v>$/kW</v>
      </c>
    </row>
    <row r="52" spans="2:7" x14ac:dyDescent="0.2">
      <c r="B52" s="168" t="str">
        <f t="shared" si="2"/>
        <v xml:space="preserve">Unmetered Scattered Load </v>
      </c>
      <c r="C52" s="206" t="s">
        <v>186</v>
      </c>
      <c r="D52" s="196">
        <f>IF(C52="", 0, IF(C52="kWh", '4. Billing Determinants'!G25, IF(C52="kW", '4. Billing Determinants'!H25, '4. Billing Determinants'!D25)))</f>
        <v>389969</v>
      </c>
      <c r="E52" s="197">
        <f>HLOOKUP($B25, '5. Allocation of Balances'!$C$5:$Y$52, 48,FALSE)</f>
        <v>783.83140299981085</v>
      </c>
      <c r="F52" s="173">
        <f t="shared" si="3"/>
        <v>2.0099838782052185E-3</v>
      </c>
      <c r="G52" t="str">
        <f t="shared" si="4"/>
        <v>$/kWh</v>
      </c>
    </row>
    <row r="53" spans="2:7" x14ac:dyDescent="0.2">
      <c r="B53" s="168" t="str">
        <f t="shared" si="2"/>
        <v>Sentinel Lighting</v>
      </c>
      <c r="C53" s="206" t="s">
        <v>212</v>
      </c>
      <c r="D53" s="196">
        <f>IF(C53="", 0, IF(C53="kWh", '4. Billing Determinants'!G26, IF(C53="kW", '4. Billing Determinants'!H26, '4. Billing Determinants'!D26)))</f>
        <v>0</v>
      </c>
      <c r="E53" s="197">
        <f>HLOOKUP($B26, '5. Allocation of Balances'!$C$5:$Y$52, 48,FALSE)</f>
        <v>0</v>
      </c>
      <c r="F53" s="173">
        <f t="shared" si="3"/>
        <v>0</v>
      </c>
      <c r="G53" t="str">
        <f t="shared" si="4"/>
        <v>$/kW</v>
      </c>
    </row>
    <row r="54" spans="2:7" x14ac:dyDescent="0.2">
      <c r="B54" s="168" t="str">
        <f t="shared" si="2"/>
        <v>Street Lighting</v>
      </c>
      <c r="C54" s="206" t="s">
        <v>212</v>
      </c>
      <c r="D54" s="196">
        <f>IF(C54="", 0, IF(C54="kWh", '4. Billing Determinants'!G27, IF(C54="kW", '4. Billing Determinants'!H27, '4. Billing Determinants'!D27)))</f>
        <v>33125.369173210012</v>
      </c>
      <c r="E54" s="197">
        <f>HLOOKUP($B27, '5. Allocation of Balances'!$C$5:$Y$52, 48,FALSE)</f>
        <v>23518.393232313203</v>
      </c>
      <c r="F54" s="173">
        <f t="shared" si="3"/>
        <v>0.70998131701830491</v>
      </c>
      <c r="G54" t="str">
        <f t="shared" si="4"/>
        <v>$/kW</v>
      </c>
    </row>
    <row r="55" spans="2:7" hidden="1" x14ac:dyDescent="0.2">
      <c r="B55" s="168" t="str">
        <f t="shared" si="2"/>
        <v/>
      </c>
      <c r="C55" s="177" t="str">
        <f>IF(ISBLANK('4. Billing Determinants'!C52), "", '4. Billing Determinants'!C52)</f>
        <v/>
      </c>
      <c r="D55" s="196">
        <f>IF(C55="", 0, IF(C55="kWh", '4. Billing Determinants'!G28, IF(C55="kW", '4. Billing Determinants'!H28, '4. Billing Determinants'!D28)))</f>
        <v>0</v>
      </c>
      <c r="E55" s="197">
        <f>HLOOKUP($B28, '5. Allocation of Balances'!$C$5:$Y$52, 48,FALSE)</f>
        <v>0</v>
      </c>
      <c r="F55" s="173">
        <f t="shared" si="3"/>
        <v>0</v>
      </c>
      <c r="G55" t="str">
        <f t="shared" si="4"/>
        <v/>
      </c>
    </row>
    <row r="56" spans="2:7" hidden="1" x14ac:dyDescent="0.2">
      <c r="B56" s="168" t="str">
        <f t="shared" si="2"/>
        <v/>
      </c>
      <c r="C56" s="177" t="str">
        <f>IF(ISBLANK('4. Billing Determinants'!C53), "", '4. Billing Determinants'!C53)</f>
        <v/>
      </c>
      <c r="D56" s="196">
        <f>IF(C56="", 0, IF(C56="kWh", '4. Billing Determinants'!G29, IF(C56="kW", '4. Billing Determinants'!H29, '4. Billing Determinants'!D29)))</f>
        <v>0</v>
      </c>
      <c r="E56" s="197">
        <f>HLOOKUP($B29, '5. Allocation of Balances'!$C$5:$Y$52, 48,FALSE)</f>
        <v>0</v>
      </c>
      <c r="F56" s="173">
        <f t="shared" si="3"/>
        <v>0</v>
      </c>
      <c r="G56" t="str">
        <f t="shared" si="4"/>
        <v/>
      </c>
    </row>
    <row r="57" spans="2:7" hidden="1" x14ac:dyDescent="0.2">
      <c r="B57" s="168" t="str">
        <f t="shared" si="2"/>
        <v/>
      </c>
      <c r="C57" s="177" t="str">
        <f>IF(ISBLANK('4. Billing Determinants'!C54), "", '4. Billing Determinants'!C54)</f>
        <v/>
      </c>
      <c r="D57" s="196">
        <f>IF(C57="", 0, IF(C57="kWh", '4. Billing Determinants'!G30, IF(C57="kW", '4. Billing Determinants'!H30, '4. Billing Determinants'!D30)))</f>
        <v>0</v>
      </c>
      <c r="E57" s="197">
        <f>HLOOKUP($B30, '5. Allocation of Balances'!$C$5:$Y$52, 48,FALSE)</f>
        <v>0</v>
      </c>
      <c r="F57" s="173">
        <f t="shared" si="3"/>
        <v>0</v>
      </c>
      <c r="G57" t="str">
        <f t="shared" si="4"/>
        <v/>
      </c>
    </row>
    <row r="58" spans="2:7" hidden="1" x14ac:dyDescent="0.2">
      <c r="B58" s="168" t="str">
        <f t="shared" si="2"/>
        <v/>
      </c>
      <c r="C58" s="177" t="str">
        <f>IF(ISBLANK('4. Billing Determinants'!C55), "", '4. Billing Determinants'!C55)</f>
        <v/>
      </c>
      <c r="D58" s="196">
        <f>IF(C58="", 0, IF(C58="kWh", '4. Billing Determinants'!G31, IF(C58="kW", '4. Billing Determinants'!H31, '4. Billing Determinants'!D31)))</f>
        <v>0</v>
      </c>
      <c r="E58" s="197">
        <f>HLOOKUP($B31, '5. Allocation of Balances'!$C$5:$Y$52, 48,FALSE)</f>
        <v>0</v>
      </c>
      <c r="F58" s="173">
        <f t="shared" si="3"/>
        <v>0</v>
      </c>
      <c r="G58" t="str">
        <f t="shared" si="4"/>
        <v/>
      </c>
    </row>
    <row r="59" spans="2:7" hidden="1" x14ac:dyDescent="0.2">
      <c r="B59" s="168" t="str">
        <f t="shared" si="2"/>
        <v/>
      </c>
      <c r="C59" s="177" t="str">
        <f>IF(ISBLANK('4. Billing Determinants'!C56), "", '4. Billing Determinants'!C56)</f>
        <v/>
      </c>
      <c r="D59" s="196">
        <f>IF(C59="", 0, IF(C59="kWh", '4. Billing Determinants'!G32, IF(C59="kW", '4. Billing Determinants'!H32, '4. Billing Determinants'!D32)))</f>
        <v>0</v>
      </c>
      <c r="E59" s="197">
        <f>HLOOKUP($B32, '5. Allocation of Balances'!$C$5:$Y$52, 48,FALSE)</f>
        <v>0</v>
      </c>
      <c r="F59" s="173">
        <f t="shared" si="3"/>
        <v>0</v>
      </c>
      <c r="G59" t="str">
        <f t="shared" si="4"/>
        <v/>
      </c>
    </row>
    <row r="60" spans="2:7" hidden="1" x14ac:dyDescent="0.2">
      <c r="B60" s="168" t="str">
        <f t="shared" si="2"/>
        <v/>
      </c>
      <c r="C60" s="177" t="str">
        <f>IF(ISBLANK('4. Billing Determinants'!C57), "", '4. Billing Determinants'!C57)</f>
        <v/>
      </c>
      <c r="D60" s="196">
        <f>IF(C60="", 0, IF(C60="kWh", '4. Billing Determinants'!G33, IF(C60="kW", '4. Billing Determinants'!H33, '4. Billing Determinants'!D33)))</f>
        <v>0</v>
      </c>
      <c r="E60" s="197">
        <f>HLOOKUP($B33, '5. Allocation of Balances'!$C$5:$Y$52, 48,FALSE)</f>
        <v>0</v>
      </c>
      <c r="F60" s="173">
        <f t="shared" si="3"/>
        <v>0</v>
      </c>
      <c r="G60" t="str">
        <f t="shared" si="4"/>
        <v/>
      </c>
    </row>
    <row r="61" spans="2:7" hidden="1" x14ac:dyDescent="0.2">
      <c r="B61" s="168" t="str">
        <f t="shared" si="2"/>
        <v/>
      </c>
      <c r="C61" s="177" t="str">
        <f>IF(ISBLANK('4. Billing Determinants'!C58), "", '4. Billing Determinants'!C58)</f>
        <v/>
      </c>
      <c r="D61" s="196">
        <f>IF(C61="", 0, IF(C61="kWh", '4. Billing Determinants'!G34, IF(C61="kW", '4. Billing Determinants'!H34, '4. Billing Determinants'!D34)))</f>
        <v>0</v>
      </c>
      <c r="E61" s="197">
        <f>HLOOKUP($B34, '5. Allocation of Balances'!$C$5:$Y$52, 48,FALSE)</f>
        <v>0</v>
      </c>
      <c r="F61" s="173">
        <f t="shared" si="3"/>
        <v>0</v>
      </c>
      <c r="G61" t="str">
        <f t="shared" si="4"/>
        <v/>
      </c>
    </row>
    <row r="62" spans="2:7" hidden="1" x14ac:dyDescent="0.2">
      <c r="B62" s="168" t="str">
        <f t="shared" si="2"/>
        <v/>
      </c>
      <c r="C62" s="177" t="str">
        <f>IF(ISBLANK('4. Billing Determinants'!C59), "", '4. Billing Determinants'!C59)</f>
        <v/>
      </c>
      <c r="D62" s="196">
        <f>IF(C62="", 0, IF(C62="kWh", '4. Billing Determinants'!G35, IF(C62="kW", '4. Billing Determinants'!H35, '4. Billing Determinants'!D35)))</f>
        <v>0</v>
      </c>
      <c r="E62" s="197">
        <f>HLOOKUP($B35, '5. Allocation of Balances'!$C$5:$Y$52, 48,FALSE)</f>
        <v>0</v>
      </c>
      <c r="F62" s="173">
        <f t="shared" si="3"/>
        <v>0</v>
      </c>
      <c r="G62" t="str">
        <f t="shared" si="4"/>
        <v/>
      </c>
    </row>
    <row r="63" spans="2:7" hidden="1" x14ac:dyDescent="0.2">
      <c r="B63" s="168" t="str">
        <f t="shared" si="2"/>
        <v/>
      </c>
      <c r="C63" s="177" t="str">
        <f>IF(ISBLANK('4. Billing Determinants'!C60), "", '4. Billing Determinants'!C60)</f>
        <v/>
      </c>
      <c r="D63" s="196">
        <f>IF(C63="", 0, IF(C63="kWh", '4. Billing Determinants'!G36, IF(C63="kW", '4. Billing Determinants'!H36, '4. Billing Determinants'!D36)))</f>
        <v>0</v>
      </c>
      <c r="E63" s="197">
        <f>HLOOKUP($B36, '5. Allocation of Balances'!$C$5:$Y$52, 48,FALSE)</f>
        <v>0</v>
      </c>
      <c r="F63" s="173">
        <f t="shared" si="3"/>
        <v>0</v>
      </c>
      <c r="G63" t="str">
        <f t="shared" si="4"/>
        <v/>
      </c>
    </row>
    <row r="64" spans="2:7" hidden="1" x14ac:dyDescent="0.2">
      <c r="B64" s="168" t="str">
        <f t="shared" si="2"/>
        <v/>
      </c>
      <c r="C64" s="177" t="str">
        <f>IF(ISBLANK('4. Billing Determinants'!C61), "", '4. Billing Determinants'!C61)</f>
        <v/>
      </c>
      <c r="D64" s="196">
        <f>IF(C64="", 0, IF(C64="kWh", '4. Billing Determinants'!G37, IF(C64="kW", '4. Billing Determinants'!H37, '4. Billing Determinants'!D37)))</f>
        <v>0</v>
      </c>
      <c r="E64" s="197">
        <f>HLOOKUP($B37, '5. Allocation of Balances'!$C$5:$Y$52, 48,FALSE)</f>
        <v>0</v>
      </c>
      <c r="F64" s="173">
        <f t="shared" si="3"/>
        <v>0</v>
      </c>
      <c r="G64" t="str">
        <f t="shared" si="4"/>
        <v/>
      </c>
    </row>
    <row r="65" spans="2:7" hidden="1" x14ac:dyDescent="0.2">
      <c r="B65" s="168" t="str">
        <f t="shared" si="2"/>
        <v/>
      </c>
      <c r="C65" s="177" t="str">
        <f>IF(ISBLANK('4. Billing Determinants'!C62), "", '4. Billing Determinants'!C62)</f>
        <v/>
      </c>
      <c r="D65" s="196">
        <f>IF(C65="", 0, IF(C65="kWh", '4. Billing Determinants'!G38, IF(C65="kW", '4. Billing Determinants'!H38, '4. Billing Determinants'!D38)))</f>
        <v>0</v>
      </c>
      <c r="E65" s="197">
        <f>HLOOKUP($B38, '5. Allocation of Balances'!$C$5:$Y$52, 48,FALSE)</f>
        <v>0</v>
      </c>
      <c r="F65" s="173">
        <f t="shared" si="3"/>
        <v>0</v>
      </c>
      <c r="G65" t="str">
        <f t="shared" si="4"/>
        <v/>
      </c>
    </row>
    <row r="66" spans="2:7" hidden="1" x14ac:dyDescent="0.2">
      <c r="B66" s="168" t="str">
        <f t="shared" si="2"/>
        <v/>
      </c>
      <c r="C66" s="177" t="str">
        <f>IF(ISBLANK('4. Billing Determinants'!C63), "", '4. Billing Determinants'!C63)</f>
        <v/>
      </c>
      <c r="D66" s="196">
        <f>IF(C66="", 0, IF(C66="kWh", '4. Billing Determinants'!G39, IF(C66="kW", '4. Billing Determinants'!H39, '4. Billing Determinants'!D39)))</f>
        <v>0</v>
      </c>
      <c r="E66" s="197">
        <f>HLOOKUP($B39, '5. Allocation of Balances'!$C$5:$Y$52, 48,FALSE)</f>
        <v>0</v>
      </c>
      <c r="F66" s="173">
        <f t="shared" si="3"/>
        <v>0</v>
      </c>
      <c r="G66" t="str">
        <f t="shared" si="4"/>
        <v/>
      </c>
    </row>
    <row r="67" spans="2:7" hidden="1" x14ac:dyDescent="0.2">
      <c r="B67" s="168" t="str">
        <f t="shared" si="2"/>
        <v/>
      </c>
      <c r="C67" s="177" t="str">
        <f>IF(ISBLANK('4. Billing Determinants'!C64), "", '4. Billing Determinants'!C64)</f>
        <v/>
      </c>
      <c r="D67" s="196">
        <f>IF(C67="", 0, IF(C67="kWh", '4. Billing Determinants'!G40, IF(C67="kW", '4. Billing Determinants'!H40, '4. Billing Determinants'!D40)))</f>
        <v>0</v>
      </c>
      <c r="E67" s="197">
        <f>HLOOKUP($B40, '5. Allocation of Balances'!$C$5:$Y$52, 48,FALSE)</f>
        <v>0</v>
      </c>
      <c r="F67" s="173">
        <f t="shared" si="3"/>
        <v>0</v>
      </c>
      <c r="G67" t="str">
        <f t="shared" si="4"/>
        <v/>
      </c>
    </row>
    <row r="68" spans="2:7" x14ac:dyDescent="0.2">
      <c r="B68" s="207" t="s">
        <v>174</v>
      </c>
      <c r="C68" s="208"/>
      <c r="D68" s="209"/>
      <c r="E68" s="210">
        <f>SUM(E48:E67)</f>
        <v>1022422.071068</v>
      </c>
      <c r="F68" s="207"/>
    </row>
  </sheetData>
  <mergeCells count="10">
    <mergeCell ref="B46:B47"/>
    <mergeCell ref="C46:C47"/>
    <mergeCell ref="D19:D20"/>
    <mergeCell ref="E19:E20"/>
    <mergeCell ref="F19:F20"/>
    <mergeCell ref="E46:E47"/>
    <mergeCell ref="F46:F47"/>
    <mergeCell ref="D46:D47"/>
    <mergeCell ref="B19:B20"/>
    <mergeCell ref="C19:C20"/>
  </mergeCells>
  <conditionalFormatting sqref="C21:C40">
    <cfRule type="cellIs" dxfId="3" priority="5" operator="equal">
      <formula>"kW"</formula>
    </cfRule>
  </conditionalFormatting>
  <conditionalFormatting sqref="C48:C67">
    <cfRule type="cellIs" dxfId="2" priority="3" operator="equal">
      <formula>"kW"</formula>
    </cfRule>
  </conditionalFormatting>
  <conditionalFormatting sqref="G21:G40">
    <cfRule type="cellIs" dxfId="1" priority="2" operator="equal">
      <formula>"$/kW"</formula>
    </cfRule>
  </conditionalFormatting>
  <conditionalFormatting sqref="G48:G67">
    <cfRule type="cellIs" dxfId="0" priority="1" operator="equal">
      <formula>"$/kW"</formula>
    </cfRule>
  </conditionalFormatting>
  <dataValidations count="2">
    <dataValidation type="list" allowBlank="1" showInputMessage="1" showErrorMessage="1" sqref="D13">
      <formula1>"1,2,3,4"</formula1>
    </dataValidation>
    <dataValidation type="list" allowBlank="1" showInputMessage="1" showErrorMessage="1" sqref="C21:C40 C48:C67">
      <formula1>"kWh, kW, # of Customers"</formula1>
    </dataValidation>
  </dataValidations>
  <pageMargins left="0.70866141732283472" right="0.70866141732283472" top="0.74803149606299213" bottom="0.74803149606299213" header="0.31496062992125984" footer="0.31496062992125984"/>
  <pageSetup scale="55" orientation="landscape" r:id="rId1"/>
  <headerFooter>
    <oddFooter>&amp;L&amp;Z&amp;F&amp;R&amp;D</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Information Sheet</vt:lpstr>
      <vt:lpstr>2. 2013 Continuity Schedule</vt:lpstr>
      <vt:lpstr>3. Appendix A</vt:lpstr>
      <vt:lpstr>4. Billing Determinants</vt:lpstr>
      <vt:lpstr>5. Allocation of Balances</vt:lpstr>
      <vt:lpstr>6. Rate Rider Calculations</vt:lpstr>
      <vt:lpstr>Sheet1</vt:lpstr>
      <vt:lpstr>'1. Information Sheet'!Print_Area</vt:lpstr>
      <vt:lpstr>'3. Appendix A'!Print_Area</vt:lpstr>
      <vt:lpstr>'5. Allocation of Balances'!Print_Area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jpajala</cp:lastModifiedBy>
  <cp:lastPrinted>2013-02-08T21:18:19Z</cp:lastPrinted>
  <dcterms:created xsi:type="dcterms:W3CDTF">2005-04-25T20:13:02Z</dcterms:created>
  <dcterms:modified xsi:type="dcterms:W3CDTF">2013-03-19T20:30:45Z</dcterms:modified>
</cp:coreProperties>
</file>