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6" windowHeight="9216"/>
  </bookViews>
  <sheets>
    <sheet name="CWH adjustments to RRWF via IRs" sheetId="1" r:id="rId1"/>
    <sheet name="Sheet2" sheetId="2" r:id="rId2"/>
    <sheet name="Sheet3" sheetId="3" r:id="rId3"/>
  </sheets>
  <definedNames>
    <definedName name="_xlnm.Print_Area" localSheetId="0">'CWH adjustments to RRWF via IRs'!$A$1:$W$62</definedName>
  </definedNames>
  <calcPr calcId="145621"/>
</workbook>
</file>

<file path=xl/calcChain.xml><?xml version="1.0" encoding="utf-8"?>
<calcChain xmlns="http://schemas.openxmlformats.org/spreadsheetml/2006/main">
  <c r="S54" i="1" l="1"/>
  <c r="S55" i="1"/>
  <c r="S53" i="1"/>
  <c r="R55" i="1"/>
  <c r="R54" i="1"/>
  <c r="R53" i="1"/>
  <c r="R50" i="1"/>
  <c r="R48" i="1"/>
  <c r="R47" i="1"/>
  <c r="R46" i="1"/>
  <c r="R41" i="1"/>
  <c r="R40" i="1"/>
  <c r="R39" i="1"/>
  <c r="R38" i="1"/>
  <c r="Q39" i="1" l="1"/>
  <c r="Q38" i="1"/>
  <c r="Q36" i="1"/>
  <c r="Q30" i="1"/>
  <c r="Q19" i="1"/>
  <c r="Q10" i="1"/>
  <c r="Q9" i="1"/>
  <c r="P58" i="1"/>
  <c r="P30" i="1"/>
  <c r="P19" i="1"/>
  <c r="O39" i="1"/>
  <c r="O38" i="1"/>
  <c r="O19" i="1"/>
  <c r="O18" i="1"/>
  <c r="O13" i="1"/>
  <c r="N39" i="1"/>
  <c r="N38" i="1"/>
  <c r="N19" i="1"/>
  <c r="N10" i="1"/>
  <c r="M39" i="1" l="1"/>
  <c r="M38" i="1"/>
  <c r="M29" i="1"/>
  <c r="M19" i="1"/>
  <c r="M12" i="1"/>
  <c r="L39" i="1"/>
  <c r="L38" i="1"/>
  <c r="L29" i="1"/>
  <c r="L19" i="1"/>
  <c r="L12" i="1"/>
  <c r="K39" i="1"/>
  <c r="K38" i="1"/>
  <c r="K19" i="1"/>
  <c r="J39" i="1"/>
  <c r="J38" i="1"/>
  <c r="J19" i="1"/>
  <c r="J13" i="1"/>
  <c r="I39" i="1"/>
  <c r="I38" i="1"/>
  <c r="I19" i="1"/>
  <c r="I13" i="1"/>
  <c r="G13" i="1" l="1"/>
  <c r="E39" i="1" l="1"/>
  <c r="E38" i="1"/>
  <c r="E13" i="1"/>
  <c r="R58" i="1"/>
  <c r="U14" i="1"/>
  <c r="R10" i="1"/>
  <c r="S10" i="1" s="1"/>
  <c r="U10" i="1" s="1"/>
  <c r="R12" i="1"/>
  <c r="S12" i="1" s="1"/>
  <c r="U12" i="1" s="1"/>
  <c r="R13" i="1"/>
  <c r="S13" i="1" s="1"/>
  <c r="U13" i="1" s="1"/>
  <c r="R18" i="1"/>
  <c r="S18" i="1" s="1"/>
  <c r="U18" i="1" s="1"/>
  <c r="R19" i="1"/>
  <c r="S19" i="1" s="1"/>
  <c r="U19" i="1" s="1"/>
  <c r="R21" i="1"/>
  <c r="S21" i="1" s="1"/>
  <c r="U21" i="1" s="1"/>
  <c r="R22" i="1"/>
  <c r="S22" i="1" s="1"/>
  <c r="U22" i="1" s="1"/>
  <c r="R23" i="1"/>
  <c r="S23" i="1" s="1"/>
  <c r="U23" i="1" s="1"/>
  <c r="R24" i="1"/>
  <c r="S24" i="1" s="1"/>
  <c r="U24" i="1" s="1"/>
  <c r="R26" i="1"/>
  <c r="S26" i="1" s="1"/>
  <c r="R29" i="1"/>
  <c r="S29" i="1" s="1"/>
  <c r="U29" i="1" s="1"/>
  <c r="R30" i="1"/>
  <c r="S30" i="1" s="1"/>
  <c r="U30" i="1" s="1"/>
  <c r="R31" i="1"/>
  <c r="S31" i="1" s="1"/>
  <c r="U31" i="1" s="1"/>
  <c r="R36" i="1"/>
  <c r="S36" i="1" s="1"/>
  <c r="U36" i="1" s="1"/>
  <c r="R9" i="1"/>
  <c r="S9" i="1" s="1"/>
  <c r="U9" i="1" s="1"/>
  <c r="S58" i="1"/>
  <c r="U58" i="1" s="1"/>
  <c r="U47" i="1"/>
  <c r="U48" i="1"/>
  <c r="U50" i="1"/>
  <c r="U46" i="1"/>
  <c r="S50" i="1"/>
  <c r="S47" i="1"/>
  <c r="S48" i="1"/>
  <c r="S46" i="1"/>
  <c r="U54" i="1"/>
  <c r="U55" i="1"/>
  <c r="U53" i="1"/>
  <c r="S42" i="1"/>
  <c r="U42" i="1" s="1"/>
  <c r="S38" i="1"/>
  <c r="U38" i="1" s="1"/>
  <c r="S39" i="1"/>
  <c r="U39" i="1" s="1"/>
  <c r="T50" i="1"/>
  <c r="T26" i="1"/>
  <c r="D50" i="1"/>
  <c r="D26" i="1"/>
  <c r="U26" i="1" l="1"/>
</calcChain>
</file>

<file path=xl/sharedStrings.xml><?xml version="1.0" encoding="utf-8"?>
<sst xmlns="http://schemas.openxmlformats.org/spreadsheetml/2006/main" count="68" uniqueCount="68">
  <si>
    <t>Rate Base:</t>
  </si>
  <si>
    <t>Gross Fixed Assests (average)</t>
  </si>
  <si>
    <t>Accumulated Depreciation (average)</t>
  </si>
  <si>
    <t>Allowance for Working Capital</t>
  </si>
  <si>
    <t>Controllable expenses</t>
  </si>
  <si>
    <t>Cost of Power</t>
  </si>
  <si>
    <t>Working Capital Rate (%)</t>
  </si>
  <si>
    <t>Utility Income</t>
  </si>
  <si>
    <t>Operating income</t>
  </si>
  <si>
    <t>Distribution Revenue at Current Rates</t>
  </si>
  <si>
    <t>Distribution Revenue at Proposed Rates</t>
  </si>
  <si>
    <t>Other Revenue:</t>
  </si>
  <si>
    <t>Specific Service Charges</t>
  </si>
  <si>
    <t>Late Payment Charges</t>
  </si>
  <si>
    <t>Other Distribution Revenue</t>
  </si>
  <si>
    <t>Other Income &amp; Deductions</t>
  </si>
  <si>
    <t>Total Revenue Offsets</t>
  </si>
  <si>
    <t>Operating Expenses:</t>
  </si>
  <si>
    <t>OM&amp;A expenses</t>
  </si>
  <si>
    <t>Depreciation/Amortization</t>
  </si>
  <si>
    <t>Property taxes</t>
  </si>
  <si>
    <t>Other expenses</t>
  </si>
  <si>
    <t>Taxes/PILs</t>
  </si>
  <si>
    <t>Taxable income:</t>
  </si>
  <si>
    <t>Adjustments required to arrrive at taxable income</t>
  </si>
  <si>
    <t>Utility Income taxes and Rates:</t>
  </si>
  <si>
    <t>Income taxes (not grossed up)</t>
  </si>
  <si>
    <t>Income taxes (grossed up)</t>
  </si>
  <si>
    <t>Federal Taxes (%)</t>
  </si>
  <si>
    <t>Provincial Taxes (%)</t>
  </si>
  <si>
    <t>Income Tax Credits</t>
  </si>
  <si>
    <t xml:space="preserve">Capitalizaation/Cost of Capital </t>
  </si>
  <si>
    <t>Capital Structure:</t>
  </si>
  <si>
    <t>Long-term debt Capitalization Ratio (%)</t>
  </si>
  <si>
    <t>Short-term debt Capitalization Ratio (%)</t>
  </si>
  <si>
    <t>Common Equity Capitalization Ratio (%)</t>
  </si>
  <si>
    <t>Preferred Shares Capitalization Ratio (%)</t>
  </si>
  <si>
    <t>Cost of Capital:</t>
  </si>
  <si>
    <t>Long-term debt Cost Rate (%)</t>
  </si>
  <si>
    <t>Short-term debt Cost Rate (%)</t>
  </si>
  <si>
    <t>Common Equity Cost Rate (%)</t>
  </si>
  <si>
    <t>Preferred Shares Cost Rate (%)</t>
  </si>
  <si>
    <t>Adjustment to Return on Rate Base associated with Deferred PP&amp;E balance as a result of transition form CGAPP to MIFRS ($)</t>
  </si>
  <si>
    <t>IR#2 Staff 10 Update RPP</t>
  </si>
  <si>
    <t>IR #8 Staff 28 Revised Loss Factor</t>
  </si>
  <si>
    <t>IR#2 Staff 48s MS-2 to actual</t>
  </si>
  <si>
    <t>Difference</t>
  </si>
  <si>
    <t>IR#8 Staff 56s RTSR Jan 1st rates</t>
  </si>
  <si>
    <t>IR#8 Staff 57s LV updated H1 Charges</t>
  </si>
  <si>
    <t>IR#4 VECC 58 Update Cos Capital Parameters</t>
  </si>
  <si>
    <t>IR#4 Staff 55s One-time cost $58,352/4</t>
  </si>
  <si>
    <t>IR#4 Staff 62 Smart Mtr Install changes</t>
  </si>
  <si>
    <t>IR#3 VECC 53 CDM Adjustments</t>
  </si>
  <si>
    <t>IR#4 Staff 52 Revised Legal costs-One Time $50,000</t>
  </si>
  <si>
    <t>IR#4 Staff 20-One-time Costs 5655 ($40,100/4)</t>
  </si>
  <si>
    <t>IR#9 Staff 61 PP&amp;E Adj Removal</t>
  </si>
  <si>
    <t>RRWF Interrogatory Reponses (Submitted)</t>
  </si>
  <si>
    <t>Gross Revenue Deficiency</t>
  </si>
  <si>
    <t xml:space="preserve">Centre Wellington Hydro Ltd. </t>
  </si>
  <si>
    <t>OEB File number EB-2012-0113</t>
  </si>
  <si>
    <t>Revenue Requirement Workform Adjustments since original submission</t>
  </si>
  <si>
    <t>Adjusted RRWF Balances (showing details of each adjustment)</t>
  </si>
  <si>
    <t>RRWF Per Board Decision</t>
  </si>
  <si>
    <t>RRWF Initial Application October 17, 2012</t>
  </si>
  <si>
    <t>Total Adjustment (resulting from IR's)</t>
  </si>
  <si>
    <t>Dated: March 26, 2013</t>
  </si>
  <si>
    <t>OEB Staff discussion re: filing in CGAAP</t>
  </si>
  <si>
    <t>Adjustments made to the filing as a result of the IR's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</si>
</sst>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164" fontId="2" fillId="0" borderId="0" xfId="1" applyNumberFormat="1" applyFont="1" applyBorder="1"/>
    <xf numFmtId="164" fontId="2" fillId="0" borderId="0" xfId="0" applyNumberFormat="1" applyFont="1" applyBorder="1"/>
    <xf numFmtId="9" fontId="2" fillId="0" borderId="0" xfId="0" applyNumberFormat="1" applyFont="1" applyBorder="1"/>
    <xf numFmtId="9" fontId="2" fillId="0" borderId="0" xfId="2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0" fontId="2" fillId="0" borderId="0" xfId="0" applyFont="1" applyFill="1" applyBorder="1"/>
    <xf numFmtId="1" fontId="2" fillId="0" borderId="0" xfId="0" applyNumberFormat="1" applyFont="1" applyBorder="1"/>
    <xf numFmtId="10" fontId="2" fillId="0" borderId="0" xfId="0" applyNumberFormat="1" applyFont="1" applyBorder="1"/>
    <xf numFmtId="10" fontId="2" fillId="0" borderId="0" xfId="2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164" fontId="2" fillId="2" borderId="10" xfId="1" applyNumberFormat="1" applyFont="1" applyFill="1" applyBorder="1"/>
    <xf numFmtId="0" fontId="2" fillId="2" borderId="10" xfId="0" applyFont="1" applyFill="1" applyBorder="1"/>
    <xf numFmtId="9" fontId="2" fillId="2" borderId="10" xfId="0" applyNumberFormat="1" applyFont="1" applyFill="1" applyBorder="1"/>
    <xf numFmtId="10" fontId="2" fillId="2" borderId="10" xfId="0" applyNumberFormat="1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10" fontId="2" fillId="2" borderId="10" xfId="1" applyNumberFormat="1" applyFont="1" applyFill="1" applyBorder="1"/>
    <xf numFmtId="164" fontId="2" fillId="2" borderId="4" xfId="1" applyNumberFormat="1" applyFont="1" applyFill="1" applyBorder="1"/>
    <xf numFmtId="164" fontId="2" fillId="0" borderId="10" xfId="1" applyNumberFormat="1" applyFont="1" applyBorder="1"/>
    <xf numFmtId="9" fontId="2" fillId="0" borderId="10" xfId="0" applyNumberFormat="1" applyFont="1" applyBorder="1"/>
    <xf numFmtId="10" fontId="2" fillId="0" borderId="10" xfId="0" applyNumberFormat="1" applyFont="1" applyBorder="1"/>
    <xf numFmtId="0" fontId="2" fillId="0" borderId="10" xfId="0" applyFont="1" applyBorder="1"/>
    <xf numFmtId="164" fontId="2" fillId="0" borderId="10" xfId="0" applyNumberFormat="1" applyFont="1" applyBorder="1"/>
    <xf numFmtId="0" fontId="2" fillId="0" borderId="4" xfId="0" applyFont="1" applyBorder="1"/>
    <xf numFmtId="0" fontId="4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workbookViewId="0">
      <selection activeCell="F9" sqref="F9"/>
    </sheetView>
  </sheetViews>
  <sheetFormatPr defaultColWidth="8.88671875" defaultRowHeight="12" x14ac:dyDescent="0.25"/>
  <cols>
    <col min="1" max="1" width="3.33203125" style="1" customWidth="1"/>
    <col min="2" max="2" width="4.6640625" style="1" customWidth="1"/>
    <col min="3" max="3" width="36" style="2" customWidth="1"/>
    <col min="4" max="4" width="11.109375" style="1" customWidth="1"/>
    <col min="5" max="5" width="9.109375" style="1" customWidth="1"/>
    <col min="6" max="6" width="9.21875" style="1" customWidth="1"/>
    <col min="7" max="7" width="9.33203125" style="1" customWidth="1"/>
    <col min="8" max="10" width="9.21875" style="1" customWidth="1"/>
    <col min="11" max="11" width="9.33203125" style="1" customWidth="1"/>
    <col min="12" max="13" width="9.109375" style="1" customWidth="1"/>
    <col min="14" max="14" width="9.33203125" style="1" customWidth="1"/>
    <col min="15" max="15" width="10" style="1" customWidth="1"/>
    <col min="16" max="16" width="8.88671875" style="1" customWidth="1"/>
    <col min="17" max="17" width="8.5546875" style="1" customWidth="1"/>
    <col min="18" max="18" width="9.5546875" style="1" customWidth="1"/>
    <col min="19" max="19" width="11.44140625" style="1" customWidth="1"/>
    <col min="20" max="20" width="10.6640625" style="1" bestFit="1" customWidth="1"/>
    <col min="21" max="21" width="10.33203125" style="1" customWidth="1"/>
    <col min="22" max="22" width="1.77734375" style="1" customWidth="1"/>
    <col min="23" max="23" width="11.21875" style="1" customWidth="1"/>
    <col min="24" max="24" width="1.109375" style="1" customWidth="1"/>
    <col min="25" max="16384" width="8.88671875" style="1"/>
  </cols>
  <sheetData>
    <row r="1" spans="1:23" x14ac:dyDescent="0.25">
      <c r="A1" s="1" t="s">
        <v>58</v>
      </c>
    </row>
    <row r="2" spans="1:23" x14ac:dyDescent="0.25">
      <c r="A2" s="1" t="s">
        <v>59</v>
      </c>
    </row>
    <row r="3" spans="1:23" x14ac:dyDescent="0.25">
      <c r="A3" s="1" t="s">
        <v>60</v>
      </c>
    </row>
    <row r="4" spans="1:23" x14ac:dyDescent="0.25">
      <c r="A4" s="1" t="s">
        <v>65</v>
      </c>
    </row>
    <row r="6" spans="1:23" x14ac:dyDescent="0.25">
      <c r="A6" s="9"/>
      <c r="B6" s="10"/>
      <c r="C6" s="11"/>
      <c r="D6" s="5"/>
      <c r="E6" s="4" t="s">
        <v>67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7"/>
      <c r="T6" s="5"/>
      <c r="U6" s="7"/>
      <c r="V6" s="10"/>
      <c r="W6" s="5"/>
    </row>
    <row r="7" spans="1:23" s="3" customFormat="1" ht="60" x14ac:dyDescent="0.25">
      <c r="A7" s="12"/>
      <c r="B7" s="13"/>
      <c r="C7" s="13"/>
      <c r="D7" s="6" t="s">
        <v>63</v>
      </c>
      <c r="E7" s="44" t="s">
        <v>43</v>
      </c>
      <c r="F7" s="44" t="s">
        <v>54</v>
      </c>
      <c r="G7" s="44" t="s">
        <v>44</v>
      </c>
      <c r="H7" s="44" t="s">
        <v>45</v>
      </c>
      <c r="I7" s="44" t="s">
        <v>47</v>
      </c>
      <c r="J7" s="44" t="s">
        <v>48</v>
      </c>
      <c r="K7" s="44" t="s">
        <v>49</v>
      </c>
      <c r="L7" s="44" t="s">
        <v>53</v>
      </c>
      <c r="M7" s="44" t="s">
        <v>50</v>
      </c>
      <c r="N7" s="44" t="s">
        <v>51</v>
      </c>
      <c r="O7" s="44" t="s">
        <v>52</v>
      </c>
      <c r="P7" s="44" t="s">
        <v>55</v>
      </c>
      <c r="Q7" s="44" t="s">
        <v>66</v>
      </c>
      <c r="R7" s="6" t="s">
        <v>64</v>
      </c>
      <c r="S7" s="8" t="s">
        <v>61</v>
      </c>
      <c r="T7" s="6" t="s">
        <v>56</v>
      </c>
      <c r="U7" s="8" t="s">
        <v>46</v>
      </c>
      <c r="V7" s="45"/>
      <c r="W7" s="46" t="s">
        <v>62</v>
      </c>
    </row>
    <row r="8" spans="1:23" x14ac:dyDescent="0.25">
      <c r="A8" s="14" t="s">
        <v>0</v>
      </c>
      <c r="B8" s="15"/>
      <c r="C8" s="16"/>
      <c r="D8" s="3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31"/>
      <c r="S8" s="15"/>
      <c r="T8" s="31"/>
      <c r="U8" s="41"/>
      <c r="V8" s="15"/>
      <c r="W8" s="30"/>
    </row>
    <row r="9" spans="1:23" x14ac:dyDescent="0.25">
      <c r="A9" s="14"/>
      <c r="B9" s="15" t="s">
        <v>1</v>
      </c>
      <c r="C9" s="16"/>
      <c r="D9" s="30">
        <v>19951965</v>
      </c>
      <c r="E9" s="17">
        <v>0</v>
      </c>
      <c r="F9" s="17">
        <v>0</v>
      </c>
      <c r="G9" s="17">
        <v>0</v>
      </c>
      <c r="H9" s="17">
        <v>-16790</v>
      </c>
      <c r="I9" s="17">
        <v>0</v>
      </c>
      <c r="J9" s="17">
        <v>0</v>
      </c>
      <c r="K9" s="17">
        <v>0</v>
      </c>
      <c r="L9" s="17"/>
      <c r="M9" s="17">
        <v>0</v>
      </c>
      <c r="N9" s="17">
        <v>0</v>
      </c>
      <c r="O9" s="17">
        <v>0</v>
      </c>
      <c r="P9" s="17">
        <v>0</v>
      </c>
      <c r="Q9" s="17">
        <f>19937828-19935175</f>
        <v>2653</v>
      </c>
      <c r="R9" s="30">
        <f>SUM(E9:Q9)</f>
        <v>-14137</v>
      </c>
      <c r="S9" s="18">
        <f>D9+R9</f>
        <v>19937828</v>
      </c>
      <c r="T9" s="30">
        <v>19937828</v>
      </c>
      <c r="U9" s="38">
        <f>S9-T9</f>
        <v>0</v>
      </c>
      <c r="V9" s="15"/>
      <c r="W9" s="30"/>
    </row>
    <row r="10" spans="1:23" x14ac:dyDescent="0.25">
      <c r="A10" s="14"/>
      <c r="B10" s="15" t="s">
        <v>2</v>
      </c>
      <c r="C10" s="16"/>
      <c r="D10" s="30">
        <v>-10202261</v>
      </c>
      <c r="E10" s="17">
        <v>0</v>
      </c>
      <c r="F10" s="17">
        <v>0</v>
      </c>
      <c r="G10" s="17">
        <v>0</v>
      </c>
      <c r="H10" s="17">
        <v>373</v>
      </c>
      <c r="I10" s="17">
        <v>0</v>
      </c>
      <c r="J10" s="17">
        <v>0</v>
      </c>
      <c r="K10" s="17">
        <v>0</v>
      </c>
      <c r="L10" s="17"/>
      <c r="M10" s="17">
        <v>0</v>
      </c>
      <c r="N10" s="17">
        <f>-10193810+10201888</f>
        <v>8078</v>
      </c>
      <c r="O10" s="17">
        <v>0</v>
      </c>
      <c r="P10" s="17">
        <v>0</v>
      </c>
      <c r="Q10" s="17">
        <f>-10505194+10193810</f>
        <v>-311384</v>
      </c>
      <c r="R10" s="30">
        <f t="shared" ref="R10:R55" si="0">SUM(E10:Q10)</f>
        <v>-302933</v>
      </c>
      <c r="S10" s="18">
        <f t="shared" ref="S10:S36" si="1">D10+R10</f>
        <v>-10505194</v>
      </c>
      <c r="T10" s="30">
        <v>-10505194</v>
      </c>
      <c r="U10" s="38">
        <f t="shared" ref="U10:U39" si="2">S10-T10</f>
        <v>0</v>
      </c>
      <c r="V10" s="15"/>
      <c r="W10" s="30"/>
    </row>
    <row r="11" spans="1:23" x14ac:dyDescent="0.25">
      <c r="A11" s="14" t="s">
        <v>3</v>
      </c>
      <c r="B11" s="15"/>
      <c r="C11" s="16"/>
      <c r="D11" s="30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30"/>
      <c r="S11" s="18"/>
      <c r="T11" s="30"/>
      <c r="U11" s="38"/>
      <c r="V11" s="15"/>
      <c r="W11" s="30"/>
    </row>
    <row r="12" spans="1:23" x14ac:dyDescent="0.25">
      <c r="A12" s="14"/>
      <c r="B12" s="15" t="s">
        <v>4</v>
      </c>
      <c r="C12" s="16"/>
      <c r="D12" s="30">
        <v>2303000</v>
      </c>
      <c r="E12" s="17">
        <v>0</v>
      </c>
      <c r="F12" s="17">
        <v>-30075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f>2235425-2272925</f>
        <v>-37500</v>
      </c>
      <c r="M12" s="17">
        <f>2250013-2235425</f>
        <v>14588</v>
      </c>
      <c r="N12" s="17">
        <v>0</v>
      </c>
      <c r="O12" s="17">
        <v>0</v>
      </c>
      <c r="P12" s="17">
        <v>0</v>
      </c>
      <c r="Q12" s="17">
        <v>0</v>
      </c>
      <c r="R12" s="30">
        <f t="shared" si="0"/>
        <v>-52987</v>
      </c>
      <c r="S12" s="18">
        <f t="shared" si="1"/>
        <v>2250013</v>
      </c>
      <c r="T12" s="30">
        <v>2250013</v>
      </c>
      <c r="U12" s="38">
        <f t="shared" si="2"/>
        <v>0</v>
      </c>
      <c r="V12" s="15"/>
      <c r="W12" s="30"/>
    </row>
    <row r="13" spans="1:23" x14ac:dyDescent="0.25">
      <c r="A13" s="14"/>
      <c r="B13" s="15" t="s">
        <v>5</v>
      </c>
      <c r="C13" s="16"/>
      <c r="D13" s="30">
        <v>14885329</v>
      </c>
      <c r="E13" s="17">
        <f>14918844-14885329</f>
        <v>33515</v>
      </c>
      <c r="F13" s="17">
        <v>0</v>
      </c>
      <c r="G13" s="17">
        <f>14872503-14918844</f>
        <v>-46341</v>
      </c>
      <c r="H13" s="17">
        <v>0</v>
      </c>
      <c r="I13" s="17">
        <f>15100013-14872503</f>
        <v>227510</v>
      </c>
      <c r="J13" s="17">
        <f>15259481-15100013</f>
        <v>159468</v>
      </c>
      <c r="K13" s="17">
        <v>0</v>
      </c>
      <c r="L13" s="17">
        <v>0</v>
      </c>
      <c r="M13" s="17">
        <v>0</v>
      </c>
      <c r="N13" s="17">
        <v>0</v>
      </c>
      <c r="O13" s="17">
        <f>15243606-15259481</f>
        <v>-15875</v>
      </c>
      <c r="P13" s="17">
        <v>0</v>
      </c>
      <c r="Q13" s="17">
        <v>0</v>
      </c>
      <c r="R13" s="30">
        <f t="shared" si="0"/>
        <v>358277</v>
      </c>
      <c r="S13" s="18">
        <f t="shared" si="1"/>
        <v>15243606</v>
      </c>
      <c r="T13" s="30">
        <v>15243606</v>
      </c>
      <c r="U13" s="38">
        <f t="shared" si="2"/>
        <v>0</v>
      </c>
      <c r="V13" s="15"/>
      <c r="W13" s="30"/>
    </row>
    <row r="14" spans="1:23" x14ac:dyDescent="0.25">
      <c r="A14" s="14"/>
      <c r="B14" s="15" t="s">
        <v>6</v>
      </c>
      <c r="C14" s="16"/>
      <c r="D14" s="32">
        <v>0.13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>
        <v>0</v>
      </c>
      <c r="R14" s="30"/>
      <c r="S14" s="20">
        <v>0.13</v>
      </c>
      <c r="T14" s="32">
        <v>0.13</v>
      </c>
      <c r="U14" s="38">
        <f>S14-T14</f>
        <v>0</v>
      </c>
      <c r="V14" s="15"/>
      <c r="W14" s="30"/>
    </row>
    <row r="15" spans="1:23" x14ac:dyDescent="0.25">
      <c r="A15" s="14"/>
      <c r="B15" s="15"/>
      <c r="C15" s="16"/>
      <c r="D15" s="31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0"/>
      <c r="S15" s="18"/>
      <c r="T15" s="31"/>
      <c r="U15" s="38"/>
      <c r="V15" s="15"/>
      <c r="W15" s="30"/>
    </row>
    <row r="16" spans="1:23" x14ac:dyDescent="0.25">
      <c r="A16" s="14" t="s">
        <v>7</v>
      </c>
      <c r="B16" s="15"/>
      <c r="C16" s="16"/>
      <c r="D16" s="31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0"/>
      <c r="S16" s="18"/>
      <c r="T16" s="31"/>
      <c r="U16" s="38"/>
      <c r="V16" s="15"/>
      <c r="W16" s="30"/>
    </row>
    <row r="17" spans="1:23" x14ac:dyDescent="0.25">
      <c r="A17" s="14" t="s">
        <v>8</v>
      </c>
      <c r="B17" s="15"/>
      <c r="C17" s="16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30"/>
      <c r="S17" s="18"/>
      <c r="T17" s="31"/>
      <c r="U17" s="38"/>
      <c r="V17" s="15"/>
      <c r="W17" s="30"/>
    </row>
    <row r="18" spans="1:23" x14ac:dyDescent="0.25">
      <c r="A18" s="14"/>
      <c r="B18" s="15" t="s">
        <v>9</v>
      </c>
      <c r="C18" s="16"/>
      <c r="D18" s="30">
        <v>2781405</v>
      </c>
      <c r="E18" s="17">
        <v>0</v>
      </c>
      <c r="F18" s="17">
        <v>0</v>
      </c>
      <c r="G18" s="21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f>2782327-2781405</f>
        <v>922</v>
      </c>
      <c r="P18" s="17">
        <v>0</v>
      </c>
      <c r="Q18" s="17">
        <v>0</v>
      </c>
      <c r="R18" s="30">
        <f t="shared" si="0"/>
        <v>922</v>
      </c>
      <c r="S18" s="18">
        <f t="shared" si="1"/>
        <v>2782327</v>
      </c>
      <c r="T18" s="30">
        <v>2782327</v>
      </c>
      <c r="U18" s="38">
        <f t="shared" si="2"/>
        <v>0</v>
      </c>
      <c r="V18" s="15"/>
      <c r="W18" s="30"/>
    </row>
    <row r="19" spans="1:23" x14ac:dyDescent="0.25">
      <c r="A19" s="14"/>
      <c r="B19" s="15" t="s">
        <v>10</v>
      </c>
      <c r="C19" s="16"/>
      <c r="D19" s="30">
        <v>3220371</v>
      </c>
      <c r="E19" s="17">
        <v>299</v>
      </c>
      <c r="F19" s="17">
        <v>-30343</v>
      </c>
      <c r="G19" s="22">
        <v>-413</v>
      </c>
      <c r="H19" s="17">
        <v>-1329</v>
      </c>
      <c r="I19" s="17">
        <f>3190611-3188585</f>
        <v>2026</v>
      </c>
      <c r="J19" s="17">
        <f>3192030-3190611</f>
        <v>1419</v>
      </c>
      <c r="K19" s="17">
        <f>3169156-3192030</f>
        <v>-22874</v>
      </c>
      <c r="L19" s="17">
        <f>3131331-3169156</f>
        <v>-37825</v>
      </c>
      <c r="M19" s="17">
        <f>3146045-3131331</f>
        <v>14714</v>
      </c>
      <c r="N19" s="17">
        <f>3146583-3146045</f>
        <v>538</v>
      </c>
      <c r="O19" s="17">
        <f>3146446-3146583</f>
        <v>-137</v>
      </c>
      <c r="P19" s="17">
        <f>3242978-3146446</f>
        <v>96532</v>
      </c>
      <c r="Q19" s="17">
        <f>3222469-3242978</f>
        <v>-20509</v>
      </c>
      <c r="R19" s="30">
        <f t="shared" si="0"/>
        <v>2098</v>
      </c>
      <c r="S19" s="18">
        <f t="shared" si="1"/>
        <v>3222469</v>
      </c>
      <c r="T19" s="30">
        <v>3222469</v>
      </c>
      <c r="U19" s="38">
        <f t="shared" si="2"/>
        <v>0</v>
      </c>
      <c r="V19" s="15"/>
      <c r="W19" s="30"/>
    </row>
    <row r="20" spans="1:23" x14ac:dyDescent="0.25">
      <c r="A20" s="14"/>
      <c r="B20" s="15" t="s">
        <v>11</v>
      </c>
      <c r="C20" s="16"/>
      <c r="D20" s="30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30"/>
      <c r="S20" s="18"/>
      <c r="T20" s="30"/>
      <c r="U20" s="38"/>
      <c r="V20" s="15"/>
      <c r="W20" s="30"/>
    </row>
    <row r="21" spans="1:23" x14ac:dyDescent="0.25">
      <c r="A21" s="14"/>
      <c r="B21" s="15"/>
      <c r="C21" s="16" t="s">
        <v>12</v>
      </c>
      <c r="D21" s="30">
        <v>126100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30">
        <f t="shared" si="0"/>
        <v>0</v>
      </c>
      <c r="S21" s="18">
        <f t="shared" si="1"/>
        <v>126100</v>
      </c>
      <c r="T21" s="30">
        <v>126100</v>
      </c>
      <c r="U21" s="38">
        <f t="shared" si="2"/>
        <v>0</v>
      </c>
      <c r="V21" s="15"/>
      <c r="W21" s="30"/>
    </row>
    <row r="22" spans="1:23" x14ac:dyDescent="0.25">
      <c r="A22" s="14"/>
      <c r="B22" s="15"/>
      <c r="C22" s="16" t="s">
        <v>13</v>
      </c>
      <c r="D22" s="30">
        <v>10800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30">
        <f t="shared" si="0"/>
        <v>0</v>
      </c>
      <c r="S22" s="18">
        <f t="shared" si="1"/>
        <v>10800</v>
      </c>
      <c r="T22" s="30">
        <v>10800</v>
      </c>
      <c r="U22" s="38">
        <f t="shared" si="2"/>
        <v>0</v>
      </c>
      <c r="V22" s="15"/>
      <c r="W22" s="30"/>
    </row>
    <row r="23" spans="1:23" x14ac:dyDescent="0.25">
      <c r="A23" s="14"/>
      <c r="B23" s="15"/>
      <c r="C23" s="16" t="s">
        <v>14</v>
      </c>
      <c r="D23" s="30">
        <v>74500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30">
        <f t="shared" si="0"/>
        <v>0</v>
      </c>
      <c r="S23" s="18">
        <f t="shared" si="1"/>
        <v>74500</v>
      </c>
      <c r="T23" s="30">
        <v>74500</v>
      </c>
      <c r="U23" s="38">
        <f t="shared" si="2"/>
        <v>0</v>
      </c>
      <c r="V23" s="15"/>
      <c r="W23" s="30"/>
    </row>
    <row r="24" spans="1:23" x14ac:dyDescent="0.25">
      <c r="A24" s="14"/>
      <c r="B24" s="15"/>
      <c r="C24" s="16" t="s">
        <v>15</v>
      </c>
      <c r="D24" s="30">
        <v>29538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30">
        <f t="shared" si="0"/>
        <v>0</v>
      </c>
      <c r="S24" s="18">
        <f t="shared" si="1"/>
        <v>29538</v>
      </c>
      <c r="T24" s="30">
        <v>29538</v>
      </c>
      <c r="U24" s="38">
        <f t="shared" si="2"/>
        <v>0</v>
      </c>
      <c r="V24" s="15"/>
      <c r="W24" s="30"/>
    </row>
    <row r="25" spans="1:23" x14ac:dyDescent="0.25">
      <c r="A25" s="14"/>
      <c r="B25" s="15"/>
      <c r="C25" s="16"/>
      <c r="D25" s="30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30"/>
      <c r="S25" s="18"/>
      <c r="T25" s="30"/>
      <c r="U25" s="38"/>
      <c r="V25" s="15"/>
      <c r="W25" s="30"/>
    </row>
    <row r="26" spans="1:23" x14ac:dyDescent="0.25">
      <c r="A26" s="14"/>
      <c r="B26" s="15" t="s">
        <v>16</v>
      </c>
      <c r="C26" s="16"/>
      <c r="D26" s="30">
        <f>SUM(D21:D25)</f>
        <v>240938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30">
        <f t="shared" si="0"/>
        <v>0</v>
      </c>
      <c r="S26" s="18">
        <f t="shared" si="1"/>
        <v>240938</v>
      </c>
      <c r="T26" s="30">
        <f>SUM(T21:T25)</f>
        <v>240938</v>
      </c>
      <c r="U26" s="38">
        <f t="shared" si="2"/>
        <v>0</v>
      </c>
      <c r="V26" s="15"/>
      <c r="W26" s="30"/>
    </row>
    <row r="27" spans="1:23" x14ac:dyDescent="0.25">
      <c r="A27" s="14"/>
      <c r="B27" s="15"/>
      <c r="C27" s="16"/>
      <c r="D27" s="30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30"/>
      <c r="S27" s="18"/>
      <c r="T27" s="30"/>
      <c r="U27" s="38"/>
      <c r="V27" s="15"/>
      <c r="W27" s="30"/>
    </row>
    <row r="28" spans="1:23" x14ac:dyDescent="0.25">
      <c r="A28" s="14" t="s">
        <v>17</v>
      </c>
      <c r="B28" s="15"/>
      <c r="C28" s="16"/>
      <c r="D28" s="30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30"/>
      <c r="S28" s="18"/>
      <c r="T28" s="30"/>
      <c r="U28" s="38"/>
      <c r="V28" s="15"/>
      <c r="W28" s="30"/>
    </row>
    <row r="29" spans="1:23" x14ac:dyDescent="0.25">
      <c r="A29" s="14"/>
      <c r="B29" s="15" t="s">
        <v>18</v>
      </c>
      <c r="C29" s="16"/>
      <c r="D29" s="30">
        <v>2266600</v>
      </c>
      <c r="E29" s="17">
        <v>0</v>
      </c>
      <c r="F29" s="17">
        <v>-30075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f>2199025-2236525</f>
        <v>-37500</v>
      </c>
      <c r="M29" s="17">
        <f>2213613-2199025</f>
        <v>14588</v>
      </c>
      <c r="N29" s="17">
        <v>0</v>
      </c>
      <c r="O29" s="17">
        <v>0</v>
      </c>
      <c r="P29" s="17">
        <v>0</v>
      </c>
      <c r="Q29" s="17">
        <v>0</v>
      </c>
      <c r="R29" s="30">
        <f t="shared" si="0"/>
        <v>-52987</v>
      </c>
      <c r="S29" s="18">
        <f t="shared" si="1"/>
        <v>2213613</v>
      </c>
      <c r="T29" s="30">
        <v>2213613</v>
      </c>
      <c r="U29" s="38">
        <f t="shared" si="2"/>
        <v>0</v>
      </c>
      <c r="V29" s="15"/>
      <c r="W29" s="30"/>
    </row>
    <row r="30" spans="1:23" x14ac:dyDescent="0.25">
      <c r="A30" s="14"/>
      <c r="B30" s="15" t="s">
        <v>19</v>
      </c>
      <c r="C30" s="16"/>
      <c r="D30" s="30">
        <v>431071</v>
      </c>
      <c r="E30" s="17">
        <v>0</v>
      </c>
      <c r="F30" s="17">
        <v>0</v>
      </c>
      <c r="G30" s="17">
        <v>0</v>
      </c>
      <c r="H30" s="17">
        <v>-373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>508560-430698</f>
        <v>77862</v>
      </c>
      <c r="Q30" s="17">
        <f>508619-508560</f>
        <v>59</v>
      </c>
      <c r="R30" s="30">
        <f t="shared" si="0"/>
        <v>77548</v>
      </c>
      <c r="S30" s="18">
        <f t="shared" si="1"/>
        <v>508619</v>
      </c>
      <c r="T30" s="30">
        <v>508619</v>
      </c>
      <c r="U30" s="38">
        <f t="shared" si="2"/>
        <v>0</v>
      </c>
      <c r="V30" s="15"/>
      <c r="W30" s="30"/>
    </row>
    <row r="31" spans="1:23" x14ac:dyDescent="0.25">
      <c r="A31" s="14"/>
      <c r="B31" s="15" t="s">
        <v>20</v>
      </c>
      <c r="C31" s="16"/>
      <c r="D31" s="30">
        <v>36400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30">
        <f t="shared" si="0"/>
        <v>0</v>
      </c>
      <c r="S31" s="18">
        <f t="shared" si="1"/>
        <v>36400</v>
      </c>
      <c r="T31" s="30">
        <v>36400</v>
      </c>
      <c r="U31" s="38">
        <f t="shared" si="2"/>
        <v>0</v>
      </c>
      <c r="V31" s="15"/>
      <c r="W31" s="30"/>
    </row>
    <row r="32" spans="1:23" x14ac:dyDescent="0.25">
      <c r="A32" s="14"/>
      <c r="B32" s="15" t="s">
        <v>21</v>
      </c>
      <c r="C32" s="16"/>
      <c r="D32" s="30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30"/>
      <c r="S32" s="18"/>
      <c r="T32" s="30"/>
      <c r="U32" s="38"/>
      <c r="V32" s="15"/>
      <c r="W32" s="30"/>
    </row>
    <row r="33" spans="1:23" x14ac:dyDescent="0.25">
      <c r="A33" s="14"/>
      <c r="B33" s="15"/>
      <c r="C33" s="16"/>
      <c r="D33" s="30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30"/>
      <c r="S33" s="18"/>
      <c r="T33" s="30"/>
      <c r="U33" s="38"/>
      <c r="V33" s="15"/>
      <c r="W33" s="30"/>
    </row>
    <row r="34" spans="1:23" x14ac:dyDescent="0.25">
      <c r="A34" s="14" t="s">
        <v>22</v>
      </c>
      <c r="B34" s="15"/>
      <c r="C34" s="16"/>
      <c r="D34" s="30"/>
      <c r="E34" s="17"/>
      <c r="F34" s="17"/>
      <c r="G34" s="17"/>
      <c r="H34" s="17"/>
      <c r="I34" s="23"/>
      <c r="J34" s="17"/>
      <c r="K34" s="17"/>
      <c r="L34" s="17"/>
      <c r="M34" s="17"/>
      <c r="N34" s="17"/>
      <c r="O34" s="17"/>
      <c r="P34" s="17"/>
      <c r="Q34" s="17"/>
      <c r="R34" s="30"/>
      <c r="S34" s="18"/>
      <c r="T34" s="30"/>
      <c r="U34" s="38"/>
      <c r="V34" s="15"/>
      <c r="W34" s="30"/>
    </row>
    <row r="35" spans="1:23" x14ac:dyDescent="0.25">
      <c r="A35" s="14"/>
      <c r="B35" s="15" t="s">
        <v>23</v>
      </c>
      <c r="C35" s="16"/>
      <c r="D35" s="30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30"/>
      <c r="S35" s="18"/>
      <c r="T35" s="30"/>
      <c r="U35" s="38"/>
      <c r="V35" s="15"/>
      <c r="W35" s="30"/>
    </row>
    <row r="36" spans="1:23" x14ac:dyDescent="0.25">
      <c r="A36" s="14"/>
      <c r="B36" s="15"/>
      <c r="C36" s="16" t="s">
        <v>24</v>
      </c>
      <c r="D36" s="30">
        <v>-327671</v>
      </c>
      <c r="E36" s="17">
        <v>0</v>
      </c>
      <c r="F36" s="17">
        <v>0</v>
      </c>
      <c r="G36" s="17">
        <v>0</v>
      </c>
      <c r="H36" s="17">
        <v>917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f>-326899+326754</f>
        <v>-145</v>
      </c>
      <c r="R36" s="30">
        <f t="shared" si="0"/>
        <v>772</v>
      </c>
      <c r="S36" s="18">
        <f t="shared" si="1"/>
        <v>-326899</v>
      </c>
      <c r="T36" s="30">
        <v>-326899</v>
      </c>
      <c r="U36" s="38">
        <f t="shared" si="2"/>
        <v>0</v>
      </c>
      <c r="V36" s="15"/>
      <c r="W36" s="30"/>
    </row>
    <row r="37" spans="1:23" x14ac:dyDescent="0.25">
      <c r="A37" s="14"/>
      <c r="B37" s="15" t="s">
        <v>25</v>
      </c>
      <c r="C37" s="16"/>
      <c r="D37" s="31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31"/>
      <c r="S37" s="18"/>
      <c r="T37" s="31"/>
      <c r="U37" s="38"/>
      <c r="V37" s="15"/>
      <c r="W37" s="30"/>
    </row>
    <row r="38" spans="1:23" x14ac:dyDescent="0.25">
      <c r="A38" s="14"/>
      <c r="B38" s="15"/>
      <c r="C38" s="16" t="s">
        <v>26</v>
      </c>
      <c r="D38" s="31">
        <v>4974</v>
      </c>
      <c r="E38" s="15">
        <f>4999-4974</f>
        <v>25</v>
      </c>
      <c r="F38" s="15">
        <v>-22</v>
      </c>
      <c r="G38" s="15">
        <v>-34</v>
      </c>
      <c r="H38" s="15">
        <v>49</v>
      </c>
      <c r="I38" s="24">
        <f>5159-4992</f>
        <v>167</v>
      </c>
      <c r="J38" s="15">
        <f>5277-5159</f>
        <v>118</v>
      </c>
      <c r="K38" s="15">
        <f>4234-5277</f>
        <v>-1043</v>
      </c>
      <c r="L38" s="15">
        <f>4207-4234</f>
        <v>-27</v>
      </c>
      <c r="M38" s="15">
        <f>4217-4207</f>
        <v>10</v>
      </c>
      <c r="N38" s="15">
        <f>4262-4217</f>
        <v>45</v>
      </c>
      <c r="O38" s="24">
        <f>4251-4262</f>
        <v>-11</v>
      </c>
      <c r="P38" s="15">
        <v>0</v>
      </c>
      <c r="Q38" s="15">
        <f>2509-4251</f>
        <v>-1742</v>
      </c>
      <c r="R38" s="30">
        <f t="shared" si="0"/>
        <v>-2465</v>
      </c>
      <c r="S38" s="18">
        <f>SUM(D38:Q38)</f>
        <v>2509</v>
      </c>
      <c r="T38" s="31">
        <v>2509</v>
      </c>
      <c r="U38" s="38">
        <f t="shared" si="2"/>
        <v>0</v>
      </c>
      <c r="V38" s="15"/>
      <c r="W38" s="30"/>
    </row>
    <row r="39" spans="1:23" x14ac:dyDescent="0.25">
      <c r="A39" s="14"/>
      <c r="B39" s="15"/>
      <c r="C39" s="16" t="s">
        <v>27</v>
      </c>
      <c r="D39" s="31">
        <v>5887</v>
      </c>
      <c r="E39" s="15">
        <f>5916-5887</f>
        <v>29</v>
      </c>
      <c r="F39" s="15">
        <v>-26</v>
      </c>
      <c r="G39" s="15">
        <v>-40</v>
      </c>
      <c r="H39" s="15">
        <v>58</v>
      </c>
      <c r="I39" s="15">
        <f>6106-5908</f>
        <v>198</v>
      </c>
      <c r="J39" s="15">
        <f>6244-6106</f>
        <v>138</v>
      </c>
      <c r="K39" s="15">
        <f>5010-6244</f>
        <v>-1234</v>
      </c>
      <c r="L39" s="15">
        <f>4978-5010</f>
        <v>-32</v>
      </c>
      <c r="M39" s="15">
        <f>4991-4978</f>
        <v>13</v>
      </c>
      <c r="N39" s="15">
        <f>5044-4991</f>
        <v>53</v>
      </c>
      <c r="O39" s="15">
        <f>5030-5044</f>
        <v>-14</v>
      </c>
      <c r="P39" s="15">
        <v>0</v>
      </c>
      <c r="Q39" s="15">
        <f>2969-5030</f>
        <v>-2061</v>
      </c>
      <c r="R39" s="30">
        <f t="shared" si="0"/>
        <v>-2918</v>
      </c>
      <c r="S39" s="18">
        <f>SUM(D39:Q39)</f>
        <v>2969</v>
      </c>
      <c r="T39" s="31">
        <v>2969</v>
      </c>
      <c r="U39" s="38">
        <f t="shared" si="2"/>
        <v>0</v>
      </c>
      <c r="V39" s="15"/>
      <c r="W39" s="30"/>
    </row>
    <row r="40" spans="1:23" x14ac:dyDescent="0.25">
      <c r="A40" s="14"/>
      <c r="B40" s="15"/>
      <c r="C40" s="16" t="s">
        <v>28</v>
      </c>
      <c r="D40" s="32">
        <v>0.11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33">
        <f>SUM(E40:Q40)</f>
        <v>0</v>
      </c>
      <c r="S40" s="15"/>
      <c r="T40" s="32">
        <v>0.11</v>
      </c>
      <c r="U40" s="39"/>
      <c r="V40" s="15"/>
      <c r="W40" s="30"/>
    </row>
    <row r="41" spans="1:23" x14ac:dyDescent="0.25">
      <c r="A41" s="14"/>
      <c r="B41" s="15"/>
      <c r="C41" s="16" t="s">
        <v>29</v>
      </c>
      <c r="D41" s="33">
        <v>4.4999999999999998E-2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33">
        <f>SUM(E41:Q41)</f>
        <v>0</v>
      </c>
      <c r="S41" s="15"/>
      <c r="T41" s="33">
        <v>4.4999999999999998E-2</v>
      </c>
      <c r="U41" s="40"/>
      <c r="V41" s="15"/>
      <c r="W41" s="30"/>
    </row>
    <row r="42" spans="1:23" x14ac:dyDescent="0.25">
      <c r="A42" s="14"/>
      <c r="B42" s="15" t="s">
        <v>30</v>
      </c>
      <c r="C42" s="16"/>
      <c r="D42" s="30">
        <v>-12000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/>
      <c r="K42" s="17"/>
      <c r="L42" s="17"/>
      <c r="M42" s="17"/>
      <c r="N42" s="17"/>
      <c r="O42" s="17"/>
      <c r="P42" s="17"/>
      <c r="Q42" s="17"/>
      <c r="R42" s="36"/>
      <c r="S42" s="17">
        <f>SUM(D42:Q42)</f>
        <v>-12000</v>
      </c>
      <c r="T42" s="30">
        <v>-12000</v>
      </c>
      <c r="U42" s="38">
        <f t="shared" ref="U42" si="3">S42-T42</f>
        <v>0</v>
      </c>
      <c r="V42" s="15"/>
      <c r="W42" s="30"/>
    </row>
    <row r="43" spans="1:23" x14ac:dyDescent="0.25">
      <c r="A43" s="14"/>
      <c r="B43" s="15"/>
      <c r="C43" s="16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36"/>
      <c r="S43" s="17"/>
      <c r="T43" s="30"/>
      <c r="U43" s="38"/>
      <c r="V43" s="15"/>
      <c r="W43" s="30"/>
    </row>
    <row r="44" spans="1:23" x14ac:dyDescent="0.25">
      <c r="A44" s="14" t="s">
        <v>31</v>
      </c>
      <c r="B44" s="15"/>
      <c r="C44" s="16"/>
      <c r="D44" s="31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33"/>
      <c r="S44" s="15"/>
      <c r="T44" s="31"/>
      <c r="U44" s="41"/>
      <c r="V44" s="15"/>
      <c r="W44" s="30"/>
    </row>
    <row r="45" spans="1:23" x14ac:dyDescent="0.25">
      <c r="A45" s="14"/>
      <c r="B45" s="15" t="s">
        <v>32</v>
      </c>
      <c r="C45" s="16"/>
      <c r="D45" s="3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3"/>
      <c r="S45" s="15"/>
      <c r="T45" s="31"/>
      <c r="U45" s="41"/>
      <c r="V45" s="15"/>
      <c r="W45" s="30"/>
    </row>
    <row r="46" spans="1:23" x14ac:dyDescent="0.25">
      <c r="A46" s="14"/>
      <c r="B46" s="15"/>
      <c r="C46" s="16" t="s">
        <v>33</v>
      </c>
      <c r="D46" s="33">
        <v>0.56000000000000005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33">
        <f t="shared" ref="R46:R55" si="4">SUM(E46:Q46)</f>
        <v>0</v>
      </c>
      <c r="S46" s="25">
        <f>D46</f>
        <v>0.56000000000000005</v>
      </c>
      <c r="T46" s="33">
        <v>0.56000000000000005</v>
      </c>
      <c r="U46" s="40">
        <f>S46-T46</f>
        <v>0</v>
      </c>
      <c r="V46" s="15"/>
      <c r="W46" s="30"/>
    </row>
    <row r="47" spans="1:23" x14ac:dyDescent="0.25">
      <c r="A47" s="14"/>
      <c r="B47" s="15"/>
      <c r="C47" s="16" t="s">
        <v>34</v>
      </c>
      <c r="D47" s="33">
        <v>0.04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33">
        <f t="shared" si="4"/>
        <v>0</v>
      </c>
      <c r="S47" s="25">
        <f t="shared" ref="S47:S48" si="5">D47</f>
        <v>0.04</v>
      </c>
      <c r="T47" s="33">
        <v>0.04</v>
      </c>
      <c r="U47" s="40">
        <f t="shared" ref="U47:U50" si="6">S47-T47</f>
        <v>0</v>
      </c>
      <c r="V47" s="15"/>
      <c r="W47" s="30"/>
    </row>
    <row r="48" spans="1:23" x14ac:dyDescent="0.25">
      <c r="A48" s="14"/>
      <c r="B48" s="15"/>
      <c r="C48" s="16" t="s">
        <v>35</v>
      </c>
      <c r="D48" s="33">
        <v>0.4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33">
        <f t="shared" si="4"/>
        <v>0</v>
      </c>
      <c r="S48" s="25">
        <f t="shared" si="5"/>
        <v>0.4</v>
      </c>
      <c r="T48" s="33">
        <v>0.4</v>
      </c>
      <c r="U48" s="40">
        <f t="shared" si="6"/>
        <v>0</v>
      </c>
      <c r="V48" s="15"/>
      <c r="W48" s="30"/>
    </row>
    <row r="49" spans="1:23" x14ac:dyDescent="0.25">
      <c r="A49" s="14"/>
      <c r="B49" s="15"/>
      <c r="C49" s="16" t="s">
        <v>36</v>
      </c>
      <c r="D49" s="3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33"/>
      <c r="S49" s="15"/>
      <c r="T49" s="31"/>
      <c r="U49" s="40"/>
      <c r="V49" s="15"/>
      <c r="W49" s="30"/>
    </row>
    <row r="50" spans="1:23" x14ac:dyDescent="0.25">
      <c r="A50" s="14"/>
      <c r="B50" s="15"/>
      <c r="C50" s="16"/>
      <c r="D50" s="33">
        <f>SUM(D46:D49)</f>
        <v>1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33">
        <f t="shared" si="4"/>
        <v>0</v>
      </c>
      <c r="S50" s="25">
        <f>D50</f>
        <v>1</v>
      </c>
      <c r="T50" s="33">
        <f>SUM(T46:T49)</f>
        <v>1</v>
      </c>
      <c r="U50" s="40">
        <f t="shared" si="6"/>
        <v>0</v>
      </c>
      <c r="V50" s="15"/>
      <c r="W50" s="30"/>
    </row>
    <row r="51" spans="1:23" x14ac:dyDescent="0.25">
      <c r="A51" s="14"/>
      <c r="B51" s="15"/>
      <c r="C51" s="16"/>
      <c r="D51" s="31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33"/>
      <c r="S51" s="15"/>
      <c r="T51" s="31"/>
      <c r="U51" s="41"/>
      <c r="V51" s="15"/>
      <c r="W51" s="30"/>
    </row>
    <row r="52" spans="1:23" x14ac:dyDescent="0.25">
      <c r="A52" s="14"/>
      <c r="B52" s="15" t="s">
        <v>37</v>
      </c>
      <c r="C52" s="16"/>
      <c r="D52" s="31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33"/>
      <c r="S52" s="15"/>
      <c r="T52" s="31"/>
      <c r="U52" s="41"/>
      <c r="V52" s="15"/>
      <c r="W52" s="30"/>
    </row>
    <row r="53" spans="1:23" x14ac:dyDescent="0.25">
      <c r="A53" s="14"/>
      <c r="B53" s="15"/>
      <c r="C53" s="16" t="s">
        <v>38</v>
      </c>
      <c r="D53" s="33">
        <v>4.3700000000000003E-2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-2.3E-3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33">
        <f t="shared" si="4"/>
        <v>-2.3E-3</v>
      </c>
      <c r="S53" s="26">
        <f>D53+K53</f>
        <v>4.1400000000000006E-2</v>
      </c>
      <c r="T53" s="33">
        <v>4.1399999999999999E-2</v>
      </c>
      <c r="U53" s="40">
        <f>S53-T53</f>
        <v>0</v>
      </c>
      <c r="V53" s="15"/>
      <c r="W53" s="30"/>
    </row>
    <row r="54" spans="1:23" x14ac:dyDescent="0.25">
      <c r="A54" s="14"/>
      <c r="B54" s="15"/>
      <c r="C54" s="16" t="s">
        <v>39</v>
      </c>
      <c r="D54" s="33">
        <v>2.0799999999999999E-2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-1E-4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33">
        <f t="shared" si="4"/>
        <v>-1E-4</v>
      </c>
      <c r="S54" s="26">
        <f t="shared" ref="S54:S55" si="7">D54+K54</f>
        <v>2.07E-2</v>
      </c>
      <c r="T54" s="33">
        <v>2.07E-2</v>
      </c>
      <c r="U54" s="40">
        <f t="shared" ref="U54:U55" si="8">S54-T54</f>
        <v>0</v>
      </c>
      <c r="V54" s="15"/>
      <c r="W54" s="30"/>
    </row>
    <row r="55" spans="1:23" x14ac:dyDescent="0.25">
      <c r="A55" s="14"/>
      <c r="B55" s="15"/>
      <c r="C55" s="16" t="s">
        <v>40</v>
      </c>
      <c r="D55" s="33">
        <v>9.1200000000000003E-2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-1.4E-3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33">
        <f t="shared" si="4"/>
        <v>-1.4E-3</v>
      </c>
      <c r="S55" s="26">
        <f t="shared" si="7"/>
        <v>8.9800000000000005E-2</v>
      </c>
      <c r="T55" s="33">
        <v>8.9800000000000005E-2</v>
      </c>
      <c r="U55" s="40">
        <f t="shared" si="8"/>
        <v>0</v>
      </c>
      <c r="V55" s="15"/>
      <c r="W55" s="30"/>
    </row>
    <row r="56" spans="1:23" x14ac:dyDescent="0.25">
      <c r="A56" s="14"/>
      <c r="B56" s="15"/>
      <c r="C56" s="16" t="s">
        <v>41</v>
      </c>
      <c r="D56" s="31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31"/>
      <c r="S56" s="15"/>
      <c r="T56" s="31"/>
      <c r="U56" s="41"/>
      <c r="V56" s="15"/>
      <c r="W56" s="30"/>
    </row>
    <row r="57" spans="1:23" x14ac:dyDescent="0.25">
      <c r="A57" s="14"/>
      <c r="B57" s="15"/>
      <c r="C57" s="16"/>
      <c r="D57" s="31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31"/>
      <c r="S57" s="15"/>
      <c r="T57" s="31"/>
      <c r="U57" s="41"/>
      <c r="V57" s="15"/>
      <c r="W57" s="30"/>
    </row>
    <row r="58" spans="1:23" ht="36" x14ac:dyDescent="0.25">
      <c r="A58" s="14"/>
      <c r="B58" s="15"/>
      <c r="C58" s="16" t="s">
        <v>42</v>
      </c>
      <c r="D58" s="30">
        <v>-19247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576</v>
      </c>
      <c r="L58" s="17">
        <v>0</v>
      </c>
      <c r="M58" s="17">
        <v>0</v>
      </c>
      <c r="N58" s="17">
        <v>0</v>
      </c>
      <c r="O58" s="17">
        <v>0</v>
      </c>
      <c r="P58" s="17">
        <f>0+18671</f>
        <v>18671</v>
      </c>
      <c r="Q58" s="17">
        <v>0</v>
      </c>
      <c r="R58" s="30">
        <f t="shared" ref="R58" si="9">SUM(E58:Q58)</f>
        <v>19247</v>
      </c>
      <c r="S58" s="18">
        <f>SUM(D58:Q58)</f>
        <v>0</v>
      </c>
      <c r="T58" s="30">
        <v>0</v>
      </c>
      <c r="U58" s="38">
        <f t="shared" ref="U58" si="10">S58-T58</f>
        <v>0</v>
      </c>
      <c r="V58" s="15"/>
      <c r="W58" s="30"/>
    </row>
    <row r="59" spans="1:23" x14ac:dyDescent="0.25">
      <c r="A59" s="14"/>
      <c r="B59" s="15"/>
      <c r="C59" s="16"/>
      <c r="D59" s="3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31"/>
      <c r="S59" s="15"/>
      <c r="T59" s="31"/>
      <c r="U59" s="41"/>
      <c r="V59" s="15"/>
      <c r="W59" s="30"/>
    </row>
    <row r="60" spans="1:23" x14ac:dyDescent="0.25">
      <c r="A60" s="14" t="s">
        <v>57</v>
      </c>
      <c r="B60" s="15"/>
      <c r="C60" s="16"/>
      <c r="D60" s="30">
        <v>-438967</v>
      </c>
      <c r="E60" s="17">
        <v>-439265</v>
      </c>
      <c r="F60" s="17">
        <v>-408922</v>
      </c>
      <c r="G60" s="17">
        <v>-408510</v>
      </c>
      <c r="H60" s="17">
        <v>-407180</v>
      </c>
      <c r="I60" s="17">
        <v>-409206</v>
      </c>
      <c r="J60" s="17">
        <v>-410626</v>
      </c>
      <c r="K60" s="17">
        <v>-387751</v>
      </c>
      <c r="L60" s="17">
        <v>-349927</v>
      </c>
      <c r="M60" s="17">
        <v>-364641</v>
      </c>
      <c r="N60" s="17">
        <v>-365178</v>
      </c>
      <c r="O60" s="17">
        <v>-364119</v>
      </c>
      <c r="P60" s="17">
        <v>-460651</v>
      </c>
      <c r="Q60" s="17">
        <v>-440142</v>
      </c>
      <c r="R60" s="31"/>
      <c r="S60" s="17">
        <v>-440142</v>
      </c>
      <c r="T60" s="31">
        <v>-440142</v>
      </c>
      <c r="U60" s="42"/>
      <c r="V60" s="15"/>
      <c r="W60" s="30"/>
    </row>
    <row r="61" spans="1:23" x14ac:dyDescent="0.25">
      <c r="A61" s="27"/>
      <c r="B61" s="28"/>
      <c r="C61" s="29"/>
      <c r="D61" s="3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34"/>
      <c r="S61" s="28"/>
      <c r="T61" s="34"/>
      <c r="U61" s="43"/>
      <c r="V61" s="28"/>
      <c r="W61" s="37"/>
    </row>
  </sheetData>
  <mergeCells count="1">
    <mergeCell ref="E6:Q6"/>
  </mergeCells>
  <pageMargins left="0.51181102362204722" right="0.51181102362204722" top="0.70866141732283472" bottom="0.35433070866141736" header="0.31496062992125984" footer="0.11811023622047245"/>
  <pageSetup scale="55" orientation="landscape" r:id="rId1"/>
  <headerFooter>
    <oddHeader>&amp;A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CWH adjustments to RRWF via IRs</vt:lpstr>
      <vt:lpstr>Sheet2</vt:lpstr>
      <vt:lpstr>Sheet3</vt:lpstr>
      <vt:lpstr>'CWH adjustments to RRWF via IRs'!Print_Area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cp:lastPrinted>2013-03-26T19:27:34Z</cp:lastPrinted>
  <dcterms:created xsi:type="dcterms:W3CDTF">2013-03-25T17:37:15Z</dcterms:created>
  <dcterms:modified xsi:type="dcterms:W3CDTF">2013-03-26T19:40:18Z</dcterms:modified>
</cp:coreProperties>
</file>