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075"/>
  </bookViews>
  <sheets>
    <sheet name="1.BillingDeterminants" sheetId="2" r:id="rId1"/>
    <sheet name="2. Tax Savings" sheetId="3" r:id="rId2"/>
    <sheet name="3. Rate Rider Calculation" sheetId="4" r:id="rId3"/>
  </sheets>
  <definedNames>
    <definedName name="_xlnm.Print_Area" localSheetId="0">'1.BillingDeterminants'!$A$1:$M$46</definedName>
    <definedName name="_xlnm.Print_Area" localSheetId="1">'2. Tax Savings'!$A$1:$E$31</definedName>
    <definedName name="_xlnm.Print_Area" localSheetId="2">'3. Rate Rider Calculation'!$A$1:$H$33</definedName>
  </definedNames>
  <calcPr calcId="145621"/>
</workbook>
</file>

<file path=xl/calcChain.xml><?xml version="1.0" encoding="utf-8"?>
<calcChain xmlns="http://schemas.openxmlformats.org/spreadsheetml/2006/main">
  <c r="I14" i="2" l="1"/>
  <c r="J14" i="2"/>
  <c r="L14" i="2" s="1"/>
  <c r="K14" i="2"/>
  <c r="D19" i="3"/>
  <c r="D17" i="3"/>
  <c r="B24" i="4"/>
  <c r="B25" i="4"/>
  <c r="B26" i="4"/>
  <c r="B27" i="4"/>
  <c r="B28" i="4"/>
  <c r="B29" i="4"/>
  <c r="B30" i="4"/>
  <c r="B31" i="4"/>
  <c r="B32" i="4"/>
  <c r="B23" i="4"/>
  <c r="B12" i="4"/>
  <c r="B13" i="4"/>
  <c r="B14" i="4"/>
  <c r="B15" i="4"/>
  <c r="B16" i="4"/>
  <c r="B17" i="4"/>
  <c r="B18" i="4"/>
  <c r="B19" i="4"/>
  <c r="B20" i="4"/>
  <c r="B11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F23" i="4"/>
  <c r="E23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F11" i="4"/>
  <c r="E11" i="4"/>
  <c r="E24" i="3"/>
  <c r="E19" i="3"/>
  <c r="E17" i="3"/>
  <c r="C20" i="3"/>
  <c r="C21" i="3" s="1"/>
  <c r="B20" i="3"/>
  <c r="C11" i="3"/>
  <c r="C14" i="3" s="1"/>
  <c r="B13" i="3"/>
  <c r="B11" i="3"/>
  <c r="I38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D45" i="2" s="1"/>
  <c r="C36" i="2"/>
  <c r="C37" i="2"/>
  <c r="C38" i="2"/>
  <c r="C39" i="2"/>
  <c r="C40" i="2"/>
  <c r="C41" i="2"/>
  <c r="C42" i="2"/>
  <c r="C43" i="2"/>
  <c r="C44" i="2"/>
  <c r="C35" i="2"/>
  <c r="I23" i="2"/>
  <c r="J23" i="2"/>
  <c r="J32" i="2" s="1"/>
  <c r="K23" i="2"/>
  <c r="I24" i="2"/>
  <c r="J24" i="2"/>
  <c r="K24" i="2"/>
  <c r="K37" i="2" s="1"/>
  <c r="I25" i="2"/>
  <c r="J25" i="2"/>
  <c r="K25" i="2"/>
  <c r="I26" i="2"/>
  <c r="J26" i="2"/>
  <c r="K26" i="2"/>
  <c r="I27" i="2"/>
  <c r="L27" i="2" s="1"/>
  <c r="I40" i="2"/>
  <c r="J27" i="2"/>
  <c r="K27" i="2"/>
  <c r="K40" i="2"/>
  <c r="I28" i="2"/>
  <c r="J28" i="2"/>
  <c r="K28" i="2"/>
  <c r="K41" i="2" s="1"/>
  <c r="I29" i="2"/>
  <c r="I42" i="2" s="1"/>
  <c r="J29" i="2"/>
  <c r="K29" i="2"/>
  <c r="I30" i="2"/>
  <c r="I43" i="2"/>
  <c r="J30" i="2"/>
  <c r="K30" i="2"/>
  <c r="I31" i="2"/>
  <c r="J31" i="2"/>
  <c r="L31" i="2" s="1"/>
  <c r="K31" i="2"/>
  <c r="K22" i="2"/>
  <c r="K32" i="2" s="1"/>
  <c r="J22" i="2"/>
  <c r="I22" i="2"/>
  <c r="I35" i="2" s="1"/>
  <c r="E32" i="2"/>
  <c r="D32" i="2"/>
  <c r="C32" i="2"/>
  <c r="E19" i="2"/>
  <c r="D19" i="2"/>
  <c r="C19" i="2"/>
  <c r="I10" i="2"/>
  <c r="I19" i="2" s="1"/>
  <c r="I36" i="2"/>
  <c r="I11" i="2"/>
  <c r="I12" i="2"/>
  <c r="I13" i="2"/>
  <c r="I39" i="2" s="1"/>
  <c r="I15" i="2"/>
  <c r="I16" i="2"/>
  <c r="I17" i="2"/>
  <c r="I18" i="2"/>
  <c r="L18" i="2" s="1"/>
  <c r="I9" i="2"/>
  <c r="J10" i="2"/>
  <c r="K10" i="2"/>
  <c r="K36" i="2"/>
  <c r="J11" i="2"/>
  <c r="J37" i="2"/>
  <c r="K11" i="2"/>
  <c r="J12" i="2"/>
  <c r="L12" i="2" s="1"/>
  <c r="K12" i="2"/>
  <c r="J13" i="2"/>
  <c r="K13" i="2"/>
  <c r="J15" i="2"/>
  <c r="J41" i="2" s="1"/>
  <c r="K15" i="2"/>
  <c r="J16" i="2"/>
  <c r="J42" i="2" s="1"/>
  <c r="K16" i="2"/>
  <c r="K19" i="2" s="1"/>
  <c r="J17" i="2"/>
  <c r="J43" i="2"/>
  <c r="K17" i="2"/>
  <c r="K43" i="2" s="1"/>
  <c r="J18" i="2"/>
  <c r="J44" i="2" s="1"/>
  <c r="K18" i="2"/>
  <c r="K9" i="2"/>
  <c r="J9" i="2"/>
  <c r="B21" i="3"/>
  <c r="B25" i="3" s="1"/>
  <c r="B26" i="3" s="1"/>
  <c r="B14" i="3"/>
  <c r="E20" i="3"/>
  <c r="E21" i="3" s="1"/>
  <c r="E25" i="3" s="1"/>
  <c r="E26" i="3" s="1"/>
  <c r="I37" i="2"/>
  <c r="K39" i="2"/>
  <c r="J39" i="2"/>
  <c r="K44" i="2"/>
  <c r="L25" i="2"/>
  <c r="J36" i="2"/>
  <c r="J19" i="2"/>
  <c r="K38" i="2"/>
  <c r="L28" i="2"/>
  <c r="L17" i="2"/>
  <c r="L30" i="2"/>
  <c r="I41" i="2"/>
  <c r="K35" i="2"/>
  <c r="I32" i="2"/>
  <c r="J35" i="2"/>
  <c r="C45" i="2"/>
  <c r="E45" i="2"/>
  <c r="B24" i="3"/>
  <c r="L26" i="2"/>
  <c r="L11" i="2"/>
  <c r="L13" i="2"/>
  <c r="L39" i="2" s="1"/>
  <c r="L9" i="2"/>
  <c r="L15" i="2"/>
  <c r="L41" i="2" s="1"/>
  <c r="L43" i="2"/>
  <c r="L38" i="2" l="1"/>
  <c r="L44" i="2"/>
  <c r="K45" i="2"/>
  <c r="L40" i="2"/>
  <c r="I45" i="2"/>
  <c r="C24" i="3"/>
  <c r="D14" i="3"/>
  <c r="D24" i="3" s="1"/>
  <c r="D26" i="3" s="1"/>
  <c r="E28" i="3" s="1"/>
  <c r="E29" i="3" s="1"/>
  <c r="D5" i="4" s="1"/>
  <c r="D21" i="3"/>
  <c r="D25" i="3" s="1"/>
  <c r="C25" i="3"/>
  <c r="L24" i="2"/>
  <c r="L10" i="2"/>
  <c r="L29" i="2"/>
  <c r="I44" i="2"/>
  <c r="L22" i="2"/>
  <c r="L23" i="2"/>
  <c r="D20" i="3"/>
  <c r="D18" i="3" s="1"/>
  <c r="L37" i="2"/>
  <c r="L16" i="2"/>
  <c r="J38" i="2"/>
  <c r="J45" i="2" s="1"/>
  <c r="K42" i="2"/>
  <c r="J40" i="2"/>
  <c r="L32" i="2" l="1"/>
  <c r="M29" i="2" s="1"/>
  <c r="C30" i="4" s="1"/>
  <c r="L35" i="2"/>
  <c r="M22" i="2"/>
  <c r="L42" i="2"/>
  <c r="M23" i="2"/>
  <c r="C24" i="4" s="1"/>
  <c r="L36" i="2"/>
  <c r="L19" i="2"/>
  <c r="M24" i="2"/>
  <c r="C25" i="4" s="1"/>
  <c r="C26" i="3"/>
  <c r="C23" i="4" l="1"/>
  <c r="M35" i="2"/>
  <c r="L45" i="2"/>
  <c r="L20" i="2"/>
  <c r="M13" i="2"/>
  <c r="C15" i="4" s="1"/>
  <c r="M11" i="2"/>
  <c r="C13" i="4" s="1"/>
  <c r="M15" i="2"/>
  <c r="C17" i="4" s="1"/>
  <c r="M12" i="2"/>
  <c r="C14" i="4" s="1"/>
  <c r="M14" i="2"/>
  <c r="C16" i="4" s="1"/>
  <c r="M9" i="2"/>
  <c r="M18" i="2"/>
  <c r="C20" i="4" s="1"/>
  <c r="M17" i="2"/>
  <c r="C19" i="4" s="1"/>
  <c r="M42" i="2"/>
  <c r="L33" i="2"/>
  <c r="C7" i="4" s="1"/>
  <c r="D7" i="4" s="1"/>
  <c r="M26" i="2"/>
  <c r="C27" i="4" s="1"/>
  <c r="M30" i="2"/>
  <c r="C31" i="4" s="1"/>
  <c r="M31" i="2"/>
  <c r="C32" i="4" s="1"/>
  <c r="M25" i="2"/>
  <c r="C26" i="4" s="1"/>
  <c r="M28" i="2"/>
  <c r="C29" i="4" s="1"/>
  <c r="M27" i="2"/>
  <c r="C28" i="4" s="1"/>
  <c r="M10" i="2"/>
  <c r="C12" i="4" s="1"/>
  <c r="M16" i="2"/>
  <c r="C18" i="4" s="1"/>
  <c r="D29" i="4" l="1"/>
  <c r="D32" i="4"/>
  <c r="D26" i="4"/>
  <c r="D23" i="4"/>
  <c r="D24" i="4"/>
  <c r="D25" i="4"/>
  <c r="D30" i="4"/>
  <c r="D28" i="4"/>
  <c r="D27" i="4"/>
  <c r="D31" i="4"/>
  <c r="M19" i="2"/>
  <c r="C11" i="4"/>
  <c r="C21" i="4" s="1"/>
  <c r="M39" i="2"/>
  <c r="M41" i="2"/>
  <c r="M43" i="2"/>
  <c r="M40" i="2"/>
  <c r="M44" i="2"/>
  <c r="M38" i="2"/>
  <c r="M37" i="2"/>
  <c r="C6" i="4"/>
  <c r="D6" i="4" s="1"/>
  <c r="L46" i="2"/>
  <c r="C33" i="4"/>
  <c r="M36" i="2"/>
  <c r="M45" i="2" s="1"/>
  <c r="M32" i="2"/>
  <c r="G30" i="4" l="1"/>
  <c r="H30" i="4"/>
  <c r="H26" i="4"/>
  <c r="G26" i="4"/>
  <c r="H31" i="4"/>
  <c r="G31" i="4"/>
  <c r="G25" i="4"/>
  <c r="H25" i="4"/>
  <c r="H32" i="4"/>
  <c r="G32" i="4"/>
  <c r="D11" i="4"/>
  <c r="D15" i="4"/>
  <c r="D16" i="4"/>
  <c r="D13" i="4"/>
  <c r="D12" i="4"/>
  <c r="D18" i="4"/>
  <c r="D14" i="4"/>
  <c r="D17" i="4"/>
  <c r="D20" i="4"/>
  <c r="D19" i="4"/>
  <c r="G27" i="4"/>
  <c r="H27" i="4"/>
  <c r="H24" i="4"/>
  <c r="G24" i="4"/>
  <c r="G29" i="4"/>
  <c r="H29" i="4"/>
  <c r="H28" i="4"/>
  <c r="G28" i="4"/>
  <c r="D33" i="4"/>
  <c r="H23" i="4"/>
  <c r="G23" i="4"/>
  <c r="H18" i="4" l="1"/>
  <c r="G18" i="4"/>
  <c r="H15" i="4"/>
  <c r="G15" i="4"/>
  <c r="G20" i="4"/>
  <c r="H20" i="4"/>
  <c r="G12" i="4"/>
  <c r="H12" i="4"/>
  <c r="G11" i="4"/>
  <c r="H11" i="4"/>
  <c r="D21" i="4"/>
  <c r="H17" i="4"/>
  <c r="G17" i="4"/>
  <c r="G13" i="4"/>
  <c r="H13" i="4"/>
  <c r="G19" i="4"/>
  <c r="H19" i="4"/>
  <c r="H14" i="4"/>
  <c r="G14" i="4"/>
  <c r="H16" i="4"/>
  <c r="G16" i="4"/>
</calcChain>
</file>

<file path=xl/sharedStrings.xml><?xml version="1.0" encoding="utf-8"?>
<sst xmlns="http://schemas.openxmlformats.org/spreadsheetml/2006/main" count="168" uniqueCount="80">
  <si>
    <t>Taxable Capital</t>
  </si>
  <si>
    <t xml:space="preserve">Net Taxable Capital </t>
  </si>
  <si>
    <t>Rate</t>
  </si>
  <si>
    <t>Regulatory Taxable Income</t>
  </si>
  <si>
    <t>Corporate Tax Rate</t>
  </si>
  <si>
    <t xml:space="preserve">Tax Impact </t>
  </si>
  <si>
    <t>Grossed-up Tax Amount</t>
  </si>
  <si>
    <t>Incremental Tax Savings</t>
  </si>
  <si>
    <t>Sharing of Tax Savings (50%)</t>
  </si>
  <si>
    <t>SMP</t>
  </si>
  <si>
    <t>Chatham-Kent</t>
  </si>
  <si>
    <t>Rates</t>
  </si>
  <si>
    <t>Total</t>
  </si>
  <si>
    <t>Description</t>
  </si>
  <si>
    <t>Entegrus Powerlines Inc.</t>
  </si>
  <si>
    <t>Shared Tax Savings</t>
  </si>
  <si>
    <t>1. Customer Classes &amp; Billing Determinants</t>
  </si>
  <si>
    <t>Rate Class</t>
  </si>
  <si>
    <t>Billing Determinant</t>
  </si>
  <si>
    <t>No. Customers</t>
  </si>
  <si>
    <t>kWh</t>
  </si>
  <si>
    <t>kW</t>
  </si>
  <si>
    <t>Service Charge</t>
  </si>
  <si>
    <t>2011 RRR Statistics</t>
  </si>
  <si>
    <t>2012 Approved Rates</t>
  </si>
  <si>
    <t>Revenue</t>
  </si>
  <si>
    <t>Distribution kWh</t>
  </si>
  <si>
    <t>Distribution kW</t>
  </si>
  <si>
    <t>Residential</t>
  </si>
  <si>
    <t>Intermediate With Self Generation</t>
  </si>
  <si>
    <t>Unmetered Scattered Load</t>
  </si>
  <si>
    <t>Standby Power</t>
  </si>
  <si>
    <t>Sentinel Lighting</t>
  </si>
  <si>
    <t>Street Lighting</t>
  </si>
  <si>
    <t>Strathroy, Mt. Byrdges &amp; Parkhill</t>
  </si>
  <si>
    <t>Large User</t>
  </si>
  <si>
    <t>General Service &lt;50 kW</t>
  </si>
  <si>
    <t>General Service &gt;50 kW</t>
  </si>
  <si>
    <t>General Service Intermediate</t>
  </si>
  <si>
    <t>2. Calculation of Tax Savings</t>
  </si>
  <si>
    <t>1. Ontario Capital Tax</t>
  </si>
  <si>
    <t>2. Income Tax</t>
  </si>
  <si>
    <t>Tax Credits</t>
  </si>
  <si>
    <t>3. Summary</t>
  </si>
  <si>
    <t>Total OCT</t>
  </si>
  <si>
    <t>Total Income</t>
  </si>
  <si>
    <t>Grand Total</t>
  </si>
  <si>
    <t>Deduction from taxable capital</t>
  </si>
  <si>
    <t>CK
(2010 COS)</t>
  </si>
  <si>
    <t xml:space="preserve">Total </t>
  </si>
  <si>
    <t>Proration (Ended Jun 30/10)</t>
  </si>
  <si>
    <t>Percent of Combined Revenue</t>
  </si>
  <si>
    <t>Shared Tax Savings Calculation</t>
  </si>
  <si>
    <t>3. Rate Rider Calculation</t>
  </si>
  <si>
    <t>Total Amount</t>
  </si>
  <si>
    <t>% of Revenue by Rate Class</t>
  </si>
  <si>
    <t>Allocated Tax Change</t>
  </si>
  <si>
    <t>Billed kWh</t>
  </si>
  <si>
    <t>kWh Rate Rider</t>
  </si>
  <si>
    <t>kW Rate Rider</t>
  </si>
  <si>
    <t>Chatham-Kent Allocation</t>
  </si>
  <si>
    <t>SMP Allocation</t>
  </si>
  <si>
    <t>Billed kW</t>
  </si>
  <si>
    <t>(A)</t>
  </si>
  <si>
    <t>(B)</t>
  </si>
  <si>
    <t>(C)</t>
  </si>
  <si>
    <t>(D)</t>
  </si>
  <si>
    <t>(E)</t>
  </si>
  <si>
    <t>(F)</t>
  </si>
  <si>
    <t>(G)</t>
  </si>
  <si>
    <t>(H)</t>
  </si>
  <si>
    <t>(I) = (C)*(F)*12</t>
  </si>
  <si>
    <t>(J) = (D)*(G)</t>
  </si>
  <si>
    <t>(K) = (E)*(H)</t>
  </si>
  <si>
    <t>(L) = (I) + (J) + (K)</t>
  </si>
  <si>
    <t>(M) = (L)/Total</t>
  </si>
  <si>
    <t>% of Revenue Total</t>
  </si>
  <si>
    <r>
      <t>SMP
(2012 IRM)</t>
    </r>
    <r>
      <rPr>
        <b/>
        <vertAlign val="superscript"/>
        <sz val="11"/>
        <color indexed="8"/>
        <rFont val="Calibri"/>
        <family val="2"/>
      </rPr>
      <t>1</t>
    </r>
  </si>
  <si>
    <t>2013 
Estimate</t>
  </si>
  <si>
    <t>(1) EB-2011-0148, Application Manger's Summary, Page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</si>
</sst>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&quot;$&quot;#,##0.00"/>
    <numFmt numFmtId="173" formatCode="&quot;$&quot;#,##0"/>
    <numFmt numFmtId="174" formatCode="0.0%"/>
    <numFmt numFmtId="175" formatCode="_(* #,##0_);_(* \(#,##0\);_(* &quot;-&quot;??_);_(@_)"/>
    <numFmt numFmtId="176" formatCode="&quot;$&quot;#,##0.0000"/>
  </numFmts>
  <fonts count="8" x14ac:knownFonts="1">
    <font>
      <sz val="11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3">
    <xf numFmtId="0" fontId="0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72" fontId="0" fillId="0" borderId="0" xfId="0" applyNumberFormat="1"/>
    <xf numFmtId="173" fontId="0" fillId="0" borderId="0" xfId="0" applyNumberFormat="1"/>
    <xf numFmtId="10" fontId="2" fillId="0" borderId="0" xfId="2" applyNumberFormat="1" applyFont="1"/>
    <xf numFmtId="0" fontId="0" fillId="0" borderId="0" xfId="0" applyBorder="1"/>
    <xf numFmtId="0" fontId="0" fillId="0" borderId="2" xfId="0" applyBorder="1"/>
    <xf numFmtId="10" fontId="2" fillId="0" borderId="2" xfId="2" applyNumberFormat="1" applyFont="1" applyBorder="1"/>
    <xf numFmtId="0" fontId="3" fillId="0" borderId="0" xfId="0" applyFont="1" applyBorder="1"/>
    <xf numFmtId="175" fontId="2" fillId="0" borderId="0" xfId="1" applyNumberFormat="1" applyFont="1"/>
    <xf numFmtId="176" fontId="0" fillId="0" borderId="0" xfId="0" applyNumberForma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172" fontId="0" fillId="0" borderId="2" xfId="0" applyNumberFormat="1" applyBorder="1"/>
    <xf numFmtId="175" fontId="2" fillId="0" borderId="2" xfId="1" applyNumberFormat="1" applyFont="1" applyBorder="1"/>
    <xf numFmtId="176" fontId="0" fillId="0" borderId="2" xfId="0" applyNumberFormat="1" applyBorder="1"/>
    <xf numFmtId="10" fontId="0" fillId="0" borderId="2" xfId="0" applyNumberFormat="1" applyBorder="1"/>
    <xf numFmtId="0" fontId="0" fillId="2" borderId="2" xfId="0" applyFill="1" applyBorder="1"/>
    <xf numFmtId="172" fontId="0" fillId="2" borderId="2" xfId="0" applyNumberFormat="1" applyFill="1" applyBorder="1"/>
    <xf numFmtId="175" fontId="2" fillId="2" borderId="2" xfId="1" applyNumberFormat="1" applyFont="1" applyFill="1" applyBorder="1"/>
    <xf numFmtId="0" fontId="4" fillId="2" borderId="2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3" xfId="0" applyBorder="1"/>
    <xf numFmtId="172" fontId="0" fillId="0" borderId="3" xfId="0" applyNumberFormat="1" applyBorder="1"/>
    <xf numFmtId="0" fontId="0" fillId="0" borderId="4" xfId="0" applyBorder="1"/>
    <xf numFmtId="175" fontId="2" fillId="0" borderId="4" xfId="1" applyNumberFormat="1" applyFont="1" applyBorder="1"/>
    <xf numFmtId="172" fontId="0" fillId="0" borderId="4" xfId="0" applyNumberFormat="1" applyBorder="1"/>
    <xf numFmtId="176" fontId="0" fillId="0" borderId="4" xfId="0" applyNumberFormat="1" applyBorder="1"/>
    <xf numFmtId="10" fontId="2" fillId="0" borderId="4" xfId="2" applyNumberFormat="1" applyFont="1" applyBorder="1"/>
    <xf numFmtId="0" fontId="0" fillId="0" borderId="5" xfId="0" applyBorder="1"/>
    <xf numFmtId="175" fontId="2" fillId="0" borderId="5" xfId="1" applyNumberFormat="1" applyFont="1" applyBorder="1"/>
    <xf numFmtId="172" fontId="0" fillId="0" borderId="5" xfId="0" applyNumberFormat="1" applyBorder="1"/>
    <xf numFmtId="176" fontId="0" fillId="0" borderId="5" xfId="0" applyNumberFormat="1" applyBorder="1"/>
    <xf numFmtId="175" fontId="2" fillId="0" borderId="3" xfId="1" applyNumberFormat="1" applyFont="1" applyBorder="1"/>
    <xf numFmtId="176" fontId="0" fillId="0" borderId="3" xfId="0" applyNumberFormat="1" applyBorder="1"/>
    <xf numFmtId="0" fontId="4" fillId="2" borderId="6" xfId="0" applyFont="1" applyFill="1" applyBorder="1"/>
    <xf numFmtId="0" fontId="4" fillId="2" borderId="7" xfId="0" applyFont="1" applyFill="1" applyBorder="1"/>
    <xf numFmtId="0" fontId="0" fillId="0" borderId="6" xfId="0" applyBorder="1"/>
    <xf numFmtId="174" fontId="0" fillId="0" borderId="7" xfId="0" applyNumberFormat="1" applyBorder="1"/>
    <xf numFmtId="0" fontId="0" fillId="0" borderId="8" xfId="0" applyBorder="1"/>
    <xf numFmtId="174" fontId="0" fillId="0" borderId="9" xfId="0" applyNumberFormat="1" applyBorder="1"/>
    <xf numFmtId="0" fontId="0" fillId="0" borderId="10" xfId="0" applyBorder="1"/>
    <xf numFmtId="174" fontId="0" fillId="0" borderId="11" xfId="0" applyNumberFormat="1" applyBorder="1"/>
    <xf numFmtId="0" fontId="0" fillId="0" borderId="12" xfId="0" applyBorder="1"/>
    <xf numFmtId="174" fontId="0" fillId="0" borderId="13" xfId="0" applyNumberFormat="1" applyBorder="1"/>
    <xf numFmtId="0" fontId="0" fillId="0" borderId="14" xfId="0" applyBorder="1"/>
    <xf numFmtId="0" fontId="0" fillId="0" borderId="15" xfId="0" applyBorder="1"/>
    <xf numFmtId="175" fontId="2" fillId="0" borderId="15" xfId="1" applyNumberFormat="1" applyFont="1" applyBorder="1"/>
    <xf numFmtId="172" fontId="0" fillId="0" borderId="15" xfId="0" applyNumberFormat="1" applyBorder="1"/>
    <xf numFmtId="176" fontId="0" fillId="0" borderId="15" xfId="0" applyNumberFormat="1" applyBorder="1"/>
    <xf numFmtId="10" fontId="2" fillId="0" borderId="15" xfId="2" applyNumberFormat="1" applyFont="1" applyBorder="1"/>
    <xf numFmtId="174" fontId="0" fillId="0" borderId="16" xfId="0" applyNumberFormat="1" applyBorder="1"/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1" xfId="0" applyFont="1" applyBorder="1"/>
    <xf numFmtId="173" fontId="0" fillId="0" borderId="2" xfId="0" applyNumberFormat="1" applyBorder="1"/>
    <xf numFmtId="173" fontId="0" fillId="4" borderId="2" xfId="0" applyNumberFormat="1" applyFill="1" applyBorder="1"/>
    <xf numFmtId="10" fontId="2" fillId="4" borderId="2" xfId="2" applyNumberFormat="1" applyFont="1" applyFill="1" applyBorder="1"/>
    <xf numFmtId="173" fontId="0" fillId="4" borderId="3" xfId="0" applyNumberFormat="1" applyFill="1" applyBorder="1"/>
    <xf numFmtId="173" fontId="0" fillId="0" borderId="3" xfId="0" applyNumberFormat="1" applyBorder="1"/>
    <xf numFmtId="173" fontId="0" fillId="0" borderId="18" xfId="0" applyNumberFormat="1" applyBorder="1"/>
    <xf numFmtId="10" fontId="2" fillId="0" borderId="3" xfId="2" applyNumberFormat="1" applyFont="1" applyBorder="1"/>
    <xf numFmtId="173" fontId="0" fillId="0" borderId="4" xfId="0" applyNumberFormat="1" applyBorder="1"/>
    <xf numFmtId="173" fontId="0" fillId="0" borderId="5" xfId="0" applyNumberFormat="1" applyBorder="1"/>
    <xf numFmtId="173" fontId="0" fillId="0" borderId="19" xfId="0" applyNumberFormat="1" applyBorder="1"/>
    <xf numFmtId="0" fontId="0" fillId="0" borderId="20" xfId="0" applyBorder="1"/>
    <xf numFmtId="173" fontId="0" fillId="0" borderId="21" xfId="0" applyNumberFormat="1" applyBorder="1"/>
    <xf numFmtId="173" fontId="0" fillId="0" borderId="22" xfId="0" applyNumberFormat="1" applyBorder="1"/>
    <xf numFmtId="0" fontId="0" fillId="0" borderId="23" xfId="0" applyBorder="1"/>
    <xf numFmtId="173" fontId="0" fillId="0" borderId="24" xfId="0" applyNumberFormat="1" applyBorder="1"/>
    <xf numFmtId="173" fontId="4" fillId="0" borderId="25" xfId="0" applyNumberFormat="1" applyFont="1" applyBorder="1"/>
    <xf numFmtId="173" fontId="0" fillId="0" borderId="7" xfId="0" applyNumberFormat="1" applyBorder="1"/>
    <xf numFmtId="173" fontId="0" fillId="0" borderId="9" xfId="0" applyNumberFormat="1" applyBorder="1"/>
    <xf numFmtId="0" fontId="0" fillId="0" borderId="26" xfId="0" applyBorder="1"/>
    <xf numFmtId="173" fontId="0" fillId="0" borderId="27" xfId="0" applyNumberFormat="1" applyBorder="1"/>
    <xf numFmtId="173" fontId="0" fillId="0" borderId="11" xfId="0" applyNumberFormat="1" applyBorder="1"/>
    <xf numFmtId="173" fontId="0" fillId="0" borderId="13" xfId="0" applyNumberFormat="1" applyBorder="1"/>
    <xf numFmtId="10" fontId="2" fillId="4" borderId="7" xfId="2" applyNumberFormat="1" applyFont="1" applyFill="1" applyBorder="1"/>
    <xf numFmtId="0" fontId="0" fillId="0" borderId="28" xfId="0" applyBorder="1"/>
    <xf numFmtId="173" fontId="0" fillId="0" borderId="29" xfId="0" applyNumberFormat="1" applyBorder="1"/>
    <xf numFmtId="0" fontId="4" fillId="3" borderId="17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6" xfId="0" applyFont="1" applyBorder="1"/>
    <xf numFmtId="176" fontId="0" fillId="0" borderId="7" xfId="0" applyNumberFormat="1" applyBorder="1"/>
    <xf numFmtId="0" fontId="0" fillId="2" borderId="7" xfId="0" applyFill="1" applyBorder="1"/>
    <xf numFmtId="0" fontId="0" fillId="2" borderId="4" xfId="0" applyFill="1" applyBorder="1" applyAlignment="1">
      <alignment horizontal="center" vertical="center" wrapText="1"/>
    </xf>
    <xf numFmtId="172" fontId="0" fillId="2" borderId="4" xfId="0" applyNumberFormat="1" applyFill="1" applyBorder="1" applyAlignment="1">
      <alignment horizontal="center" vertical="center" wrapText="1"/>
    </xf>
    <xf numFmtId="175" fontId="2" fillId="2" borderId="4" xfId="1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172" fontId="4" fillId="3" borderId="31" xfId="0" applyNumberFormat="1" applyFont="1" applyFill="1" applyBorder="1" applyAlignment="1">
      <alignment horizontal="center" vertical="center" wrapText="1"/>
    </xf>
    <xf numFmtId="175" fontId="4" fillId="3" borderId="31" xfId="1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76" fontId="0" fillId="0" borderId="9" xfId="0" applyNumberFormat="1" applyBorder="1"/>
    <xf numFmtId="10" fontId="0" fillId="0" borderId="5" xfId="0" applyNumberFormat="1" applyBorder="1"/>
    <xf numFmtId="0" fontId="0" fillId="0" borderId="11" xfId="0" applyBorder="1"/>
    <xf numFmtId="0" fontId="0" fillId="0" borderId="21" xfId="0" applyBorder="1"/>
    <xf numFmtId="10" fontId="2" fillId="0" borderId="21" xfId="2" applyNumberFormat="1" applyFont="1" applyBorder="1"/>
    <xf numFmtId="172" fontId="0" fillId="0" borderId="22" xfId="0" applyNumberFormat="1" applyBorder="1"/>
    <xf numFmtId="0" fontId="0" fillId="0" borderId="33" xfId="0" applyBorder="1"/>
    <xf numFmtId="172" fontId="0" fillId="0" borderId="34" xfId="0" applyNumberFormat="1" applyBorder="1"/>
    <xf numFmtId="0" fontId="0" fillId="0" borderId="24" xfId="0" applyBorder="1"/>
    <xf numFmtId="10" fontId="2" fillId="0" borderId="24" xfId="2" applyNumberFormat="1" applyFont="1" applyBorder="1"/>
    <xf numFmtId="172" fontId="0" fillId="0" borderId="25" xfId="0" applyNumberFormat="1" applyBorder="1"/>
    <xf numFmtId="172" fontId="0" fillId="0" borderId="0" xfId="0" applyNumberFormat="1" applyBorder="1"/>
    <xf numFmtId="175" fontId="2" fillId="0" borderId="0" xfId="1" applyNumberFormat="1" applyFont="1" applyBorder="1"/>
    <xf numFmtId="172" fontId="0" fillId="0" borderId="1" xfId="0" applyNumberFormat="1" applyBorder="1"/>
    <xf numFmtId="175" fontId="2" fillId="0" borderId="1" xfId="1" applyNumberFormat="1" applyFont="1" applyBorder="1"/>
    <xf numFmtId="0" fontId="4" fillId="2" borderId="12" xfId="0" applyFont="1" applyFill="1" applyBorder="1" applyAlignment="1">
      <alignment horizontal="left" vertical="center" wrapText="1"/>
    </xf>
    <xf numFmtId="0" fontId="0" fillId="4" borderId="2" xfId="0" applyFill="1" applyBorder="1"/>
    <xf numFmtId="175" fontId="2" fillId="4" borderId="2" xfId="1" applyNumberFormat="1" applyFont="1" applyFill="1" applyBorder="1"/>
    <xf numFmtId="172" fontId="0" fillId="4" borderId="2" xfId="0" applyNumberFormat="1" applyFill="1" applyBorder="1"/>
    <xf numFmtId="176" fontId="0" fillId="4" borderId="2" xfId="0" applyNumberFormat="1" applyFill="1" applyBorder="1"/>
    <xf numFmtId="0" fontId="0" fillId="4" borderId="3" xfId="0" applyFill="1" applyBorder="1"/>
    <xf numFmtId="175" fontId="2" fillId="4" borderId="3" xfId="1" applyNumberFormat="1" applyFont="1" applyFill="1" applyBorder="1"/>
    <xf numFmtId="172" fontId="0" fillId="4" borderId="3" xfId="0" applyNumberFormat="1" applyFill="1" applyBorder="1"/>
    <xf numFmtId="176" fontId="0" fillId="4" borderId="3" xfId="0" applyNumberFormat="1" applyFill="1" applyBorder="1"/>
    <xf numFmtId="0" fontId="7" fillId="0" borderId="0" xfId="0" quotePrefix="1" applyFont="1"/>
    <xf numFmtId="0" fontId="7" fillId="0" borderId="0" xfId="0" applyFont="1"/>
    <xf numFmtId="0" fontId="4" fillId="3" borderId="27" xfId="0" applyFont="1" applyFill="1" applyBorder="1" applyAlignment="1">
      <alignment horizontal="center" wrapText="1"/>
    </xf>
    <xf numFmtId="0" fontId="4" fillId="3" borderId="3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90" zoomScaleNormal="90" workbookViewId="0"/>
  </sheetViews>
  <sheetFormatPr defaultRowHeight="15" x14ac:dyDescent="0.25"/>
  <cols>
    <col min="1" max="1" width="45.28515625" customWidth="1"/>
    <col min="2" max="2" width="12.42578125" customWidth="1"/>
    <col min="3" max="13" width="14.7109375" customWidth="1"/>
  </cols>
  <sheetData>
    <row r="1" spans="1:13" ht="18.75" x14ac:dyDescent="0.3">
      <c r="A1" s="7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8.75" x14ac:dyDescent="0.3">
      <c r="A2" s="7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9.5" thickBot="1" x14ac:dyDescent="0.35">
      <c r="A3" s="55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3" x14ac:dyDescent="0.25">
      <c r="A5" s="126" t="s">
        <v>17</v>
      </c>
      <c r="B5" s="128" t="s">
        <v>18</v>
      </c>
      <c r="C5" s="130" t="s">
        <v>23</v>
      </c>
      <c r="D5" s="130"/>
      <c r="E5" s="130"/>
      <c r="F5" s="130" t="s">
        <v>24</v>
      </c>
      <c r="G5" s="130"/>
      <c r="H5" s="130"/>
      <c r="I5" s="130" t="s">
        <v>25</v>
      </c>
      <c r="J5" s="130"/>
      <c r="K5" s="130"/>
      <c r="L5" s="130"/>
      <c r="M5" s="124" t="s">
        <v>76</v>
      </c>
    </row>
    <row r="6" spans="1:13" s="10" customFormat="1" ht="30" x14ac:dyDescent="0.25">
      <c r="A6" s="127"/>
      <c r="B6" s="129"/>
      <c r="C6" s="54" t="s">
        <v>19</v>
      </c>
      <c r="D6" s="54" t="s">
        <v>20</v>
      </c>
      <c r="E6" s="54" t="s">
        <v>21</v>
      </c>
      <c r="F6" s="54" t="s">
        <v>22</v>
      </c>
      <c r="G6" s="54" t="s">
        <v>26</v>
      </c>
      <c r="H6" s="54" t="s">
        <v>27</v>
      </c>
      <c r="I6" s="54" t="s">
        <v>22</v>
      </c>
      <c r="J6" s="54" t="s">
        <v>26</v>
      </c>
      <c r="K6" s="54" t="s">
        <v>27</v>
      </c>
      <c r="L6" s="54" t="s">
        <v>12</v>
      </c>
      <c r="M6" s="125"/>
    </row>
    <row r="7" spans="1:13" s="20" customFormat="1" ht="12.75" x14ac:dyDescent="0.25">
      <c r="A7" s="51" t="s">
        <v>63</v>
      </c>
      <c r="B7" s="52" t="s">
        <v>64</v>
      </c>
      <c r="C7" s="52" t="s">
        <v>65</v>
      </c>
      <c r="D7" s="52" t="s">
        <v>66</v>
      </c>
      <c r="E7" s="52" t="s">
        <v>67</v>
      </c>
      <c r="F7" s="52" t="s">
        <v>68</v>
      </c>
      <c r="G7" s="52" t="s">
        <v>69</v>
      </c>
      <c r="H7" s="52" t="s">
        <v>70</v>
      </c>
      <c r="I7" s="52" t="s">
        <v>71</v>
      </c>
      <c r="J7" s="52" t="s">
        <v>72</v>
      </c>
      <c r="K7" s="52" t="s">
        <v>73</v>
      </c>
      <c r="L7" s="52" t="s">
        <v>74</v>
      </c>
      <c r="M7" s="53" t="s">
        <v>75</v>
      </c>
    </row>
    <row r="8" spans="1:13" x14ac:dyDescent="0.25">
      <c r="A8" s="34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35"/>
    </row>
    <row r="9" spans="1:13" x14ac:dyDescent="0.25">
      <c r="A9" s="36" t="s">
        <v>28</v>
      </c>
      <c r="B9" s="114" t="s">
        <v>20</v>
      </c>
      <c r="C9" s="115">
        <v>28644</v>
      </c>
      <c r="D9" s="115">
        <v>207045763</v>
      </c>
      <c r="E9" s="115">
        <v>0</v>
      </c>
      <c r="F9" s="116">
        <v>18.3</v>
      </c>
      <c r="G9" s="117">
        <v>8.5000000000000006E-3</v>
      </c>
      <c r="H9" s="117">
        <v>0</v>
      </c>
      <c r="I9" s="12">
        <f>C9*F9*12</f>
        <v>6290222.4000000004</v>
      </c>
      <c r="J9" s="12">
        <f>D9*G9</f>
        <v>1759888.9855000002</v>
      </c>
      <c r="K9" s="12">
        <f>E9*H9</f>
        <v>0</v>
      </c>
      <c r="L9" s="12">
        <f>SUM(I9:K9)</f>
        <v>8050111.3855000008</v>
      </c>
      <c r="M9" s="37">
        <f>IF(ISERROR(L9/L$19),0,L9/L$19)</f>
        <v>0.53900594949608926</v>
      </c>
    </row>
    <row r="10" spans="1:13" x14ac:dyDescent="0.25">
      <c r="A10" s="36" t="s">
        <v>36</v>
      </c>
      <c r="B10" s="114" t="s">
        <v>20</v>
      </c>
      <c r="C10" s="115">
        <v>3038</v>
      </c>
      <c r="D10" s="115">
        <v>90210202</v>
      </c>
      <c r="E10" s="115">
        <v>0</v>
      </c>
      <c r="F10" s="116">
        <v>33.590000000000003</v>
      </c>
      <c r="G10" s="117">
        <v>1.1299999999999999E-2</v>
      </c>
      <c r="H10" s="117">
        <v>0</v>
      </c>
      <c r="I10" s="12">
        <f t="shared" ref="I10:I18" si="0">C10*F10*12</f>
        <v>1224557.04</v>
      </c>
      <c r="J10" s="12">
        <f t="shared" ref="J10:J18" si="1">D10*G10</f>
        <v>1019375.2825999999</v>
      </c>
      <c r="K10" s="12">
        <f t="shared" ref="K10:K18" si="2">E10*H10</f>
        <v>0</v>
      </c>
      <c r="L10" s="12">
        <f t="shared" ref="L10:L18" si="3">SUM(I10:K10)</f>
        <v>2243932.3226000001</v>
      </c>
      <c r="M10" s="37">
        <f t="shared" ref="M10:M18" si="4">IF(ISERROR(L10/L$19),0,L10/L$19)</f>
        <v>0.15024548285462699</v>
      </c>
    </row>
    <row r="11" spans="1:13" x14ac:dyDescent="0.25">
      <c r="A11" s="36" t="s">
        <v>37</v>
      </c>
      <c r="B11" s="114" t="s">
        <v>21</v>
      </c>
      <c r="C11" s="115">
        <v>421</v>
      </c>
      <c r="D11" s="115">
        <v>189939582</v>
      </c>
      <c r="E11" s="115">
        <v>494092</v>
      </c>
      <c r="F11" s="116">
        <v>118.44</v>
      </c>
      <c r="G11" s="117">
        <v>0</v>
      </c>
      <c r="H11" s="117">
        <v>3.3576999999999999</v>
      </c>
      <c r="I11" s="12">
        <f t="shared" si="0"/>
        <v>598358.88</v>
      </c>
      <c r="J11" s="12">
        <f t="shared" si="1"/>
        <v>0</v>
      </c>
      <c r="K11" s="12">
        <f t="shared" si="2"/>
        <v>1659012.7083999999</v>
      </c>
      <c r="L11" s="12">
        <f t="shared" si="3"/>
        <v>2257371.5883999998</v>
      </c>
      <c r="M11" s="37">
        <f t="shared" si="4"/>
        <v>0.15114532682897336</v>
      </c>
    </row>
    <row r="12" spans="1:13" x14ac:dyDescent="0.25">
      <c r="A12" s="36" t="s">
        <v>38</v>
      </c>
      <c r="B12" s="114" t="s">
        <v>21</v>
      </c>
      <c r="C12" s="115">
        <v>28</v>
      </c>
      <c r="D12" s="115">
        <v>139888648</v>
      </c>
      <c r="E12" s="115">
        <v>382377</v>
      </c>
      <c r="F12" s="116">
        <v>96.16</v>
      </c>
      <c r="G12" s="117">
        <v>0</v>
      </c>
      <c r="H12" s="117">
        <v>4.5599999999999996</v>
      </c>
      <c r="I12" s="12">
        <f t="shared" si="0"/>
        <v>32309.760000000002</v>
      </c>
      <c r="J12" s="12">
        <f t="shared" si="1"/>
        <v>0</v>
      </c>
      <c r="K12" s="12">
        <f t="shared" si="2"/>
        <v>1743639.1199999999</v>
      </c>
      <c r="L12" s="12">
        <f t="shared" si="3"/>
        <v>1775948.88</v>
      </c>
      <c r="M12" s="37">
        <f t="shared" si="4"/>
        <v>0.11891102700083456</v>
      </c>
    </row>
    <row r="13" spans="1:13" x14ac:dyDescent="0.25">
      <c r="A13" s="36" t="s">
        <v>29</v>
      </c>
      <c r="B13" s="114" t="s">
        <v>21</v>
      </c>
      <c r="C13" s="115">
        <v>1</v>
      </c>
      <c r="D13" s="115">
        <v>32205190</v>
      </c>
      <c r="E13" s="115">
        <v>87305</v>
      </c>
      <c r="F13" s="116">
        <v>1335.67</v>
      </c>
      <c r="G13" s="117">
        <v>0</v>
      </c>
      <c r="H13" s="117">
        <v>3.3698999999999999</v>
      </c>
      <c r="I13" s="12">
        <f t="shared" si="0"/>
        <v>16028.04</v>
      </c>
      <c r="J13" s="12">
        <f t="shared" si="1"/>
        <v>0</v>
      </c>
      <c r="K13" s="12">
        <f t="shared" si="2"/>
        <v>294209.11949999997</v>
      </c>
      <c r="L13" s="12">
        <f t="shared" si="3"/>
        <v>310237.15949999995</v>
      </c>
      <c r="M13" s="37">
        <f t="shared" si="4"/>
        <v>2.077234297980847E-2</v>
      </c>
    </row>
    <row r="14" spans="1:13" x14ac:dyDescent="0.25">
      <c r="A14" s="36" t="s">
        <v>35</v>
      </c>
      <c r="B14" s="114" t="s">
        <v>21</v>
      </c>
      <c r="C14" s="115"/>
      <c r="D14" s="115"/>
      <c r="E14" s="115"/>
      <c r="F14" s="116"/>
      <c r="G14" s="117"/>
      <c r="H14" s="117"/>
      <c r="I14" s="12">
        <f>C14*F14*12</f>
        <v>0</v>
      </c>
      <c r="J14" s="12">
        <f>D14*G14</f>
        <v>0</v>
      </c>
      <c r="K14" s="12">
        <f>E14*H14</f>
        <v>0</v>
      </c>
      <c r="L14" s="12">
        <f>SUM(I14:K14)</f>
        <v>0</v>
      </c>
      <c r="M14" s="37">
        <f t="shared" si="4"/>
        <v>0</v>
      </c>
    </row>
    <row r="15" spans="1:13" x14ac:dyDescent="0.25">
      <c r="A15" s="36" t="s">
        <v>30</v>
      </c>
      <c r="B15" s="114" t="s">
        <v>20</v>
      </c>
      <c r="C15" s="115">
        <v>194</v>
      </c>
      <c r="D15" s="115">
        <v>1081178</v>
      </c>
      <c r="E15" s="115">
        <v>0</v>
      </c>
      <c r="F15" s="116">
        <v>10.66</v>
      </c>
      <c r="G15" s="117">
        <v>8.0000000000000004E-4</v>
      </c>
      <c r="H15" s="117">
        <v>0</v>
      </c>
      <c r="I15" s="12">
        <f t="shared" si="0"/>
        <v>24816.48</v>
      </c>
      <c r="J15" s="12">
        <f t="shared" si="1"/>
        <v>864.94240000000002</v>
      </c>
      <c r="K15" s="12">
        <f t="shared" si="2"/>
        <v>0</v>
      </c>
      <c r="L15" s="12">
        <f t="shared" si="3"/>
        <v>25681.422399999999</v>
      </c>
      <c r="M15" s="37">
        <f t="shared" si="4"/>
        <v>1.7195339048420343E-3</v>
      </c>
    </row>
    <row r="16" spans="1:13" x14ac:dyDescent="0.25">
      <c r="A16" s="36" t="s">
        <v>31</v>
      </c>
      <c r="B16" s="114" t="s">
        <v>21</v>
      </c>
      <c r="C16" s="115">
        <v>0</v>
      </c>
      <c r="D16" s="115">
        <v>0</v>
      </c>
      <c r="E16" s="115">
        <v>0</v>
      </c>
      <c r="F16" s="116">
        <v>1.6906000000000001</v>
      </c>
      <c r="G16" s="117">
        <v>0</v>
      </c>
      <c r="H16" s="117">
        <v>0</v>
      </c>
      <c r="I16" s="12">
        <f t="shared" si="0"/>
        <v>0</v>
      </c>
      <c r="J16" s="12">
        <f t="shared" si="1"/>
        <v>0</v>
      </c>
      <c r="K16" s="12">
        <f t="shared" si="2"/>
        <v>0</v>
      </c>
      <c r="L16" s="12">
        <f t="shared" si="3"/>
        <v>0</v>
      </c>
      <c r="M16" s="37">
        <f t="shared" si="4"/>
        <v>0</v>
      </c>
    </row>
    <row r="17" spans="1:13" x14ac:dyDescent="0.25">
      <c r="A17" s="36" t="s">
        <v>32</v>
      </c>
      <c r="B17" s="114" t="s">
        <v>21</v>
      </c>
      <c r="C17" s="115">
        <v>327</v>
      </c>
      <c r="D17" s="115">
        <v>347118</v>
      </c>
      <c r="E17" s="115">
        <v>1079</v>
      </c>
      <c r="F17" s="116">
        <v>8.4</v>
      </c>
      <c r="G17" s="117">
        <v>0</v>
      </c>
      <c r="H17" s="117">
        <v>0.59630000000000005</v>
      </c>
      <c r="I17" s="12">
        <f t="shared" si="0"/>
        <v>32961.600000000006</v>
      </c>
      <c r="J17" s="12">
        <f t="shared" si="1"/>
        <v>0</v>
      </c>
      <c r="K17" s="12">
        <f t="shared" si="2"/>
        <v>643.40770000000009</v>
      </c>
      <c r="L17" s="12">
        <f t="shared" si="3"/>
        <v>33605.007700000009</v>
      </c>
      <c r="M17" s="37">
        <f t="shared" si="4"/>
        <v>2.2500681314531726E-3</v>
      </c>
    </row>
    <row r="18" spans="1:13" x14ac:dyDescent="0.25">
      <c r="A18" s="38" t="s">
        <v>33</v>
      </c>
      <c r="B18" s="118" t="s">
        <v>21</v>
      </c>
      <c r="C18" s="119">
        <v>10751</v>
      </c>
      <c r="D18" s="119">
        <v>5757195</v>
      </c>
      <c r="E18" s="119">
        <v>18365</v>
      </c>
      <c r="F18" s="120">
        <v>1.67</v>
      </c>
      <c r="G18" s="121">
        <v>0</v>
      </c>
      <c r="H18" s="121">
        <v>1.2398</v>
      </c>
      <c r="I18" s="22">
        <f t="shared" si="0"/>
        <v>215450.03999999998</v>
      </c>
      <c r="J18" s="22">
        <f t="shared" si="1"/>
        <v>0</v>
      </c>
      <c r="K18" s="22">
        <f t="shared" si="2"/>
        <v>22768.927</v>
      </c>
      <c r="L18" s="22">
        <f t="shared" si="3"/>
        <v>238218.96699999998</v>
      </c>
      <c r="M18" s="39">
        <f t="shared" si="4"/>
        <v>1.5950268803372265E-2</v>
      </c>
    </row>
    <row r="19" spans="1:13" ht="15.75" thickBot="1" x14ac:dyDescent="0.3">
      <c r="A19" s="40" t="s">
        <v>12</v>
      </c>
      <c r="B19" s="28"/>
      <c r="C19" s="29">
        <f>SUM(C9:C18)</f>
        <v>43404</v>
      </c>
      <c r="D19" s="29">
        <f>SUM(D9:D18)</f>
        <v>666474876</v>
      </c>
      <c r="E19" s="29">
        <f>SUM(E9:E18)</f>
        <v>983218</v>
      </c>
      <c r="F19" s="30"/>
      <c r="G19" s="31"/>
      <c r="H19" s="31"/>
      <c r="I19" s="30">
        <f>SUM(I9:I18)</f>
        <v>8434704.2400000002</v>
      </c>
      <c r="J19" s="30">
        <f>SUM(J9:J18)</f>
        <v>2780129.2105</v>
      </c>
      <c r="K19" s="30">
        <f>SUM(K9:K18)</f>
        <v>3720273.2826</v>
      </c>
      <c r="L19" s="30">
        <f>SUM(L9:L18)</f>
        <v>14935106.733099999</v>
      </c>
      <c r="M19" s="41">
        <f>SUM(M9:M18)</f>
        <v>1.0000000000000002</v>
      </c>
    </row>
    <row r="20" spans="1:13" ht="15.75" thickTop="1" x14ac:dyDescent="0.25">
      <c r="A20" s="42" t="s">
        <v>51</v>
      </c>
      <c r="B20" s="23"/>
      <c r="C20" s="24"/>
      <c r="D20" s="24"/>
      <c r="E20" s="24"/>
      <c r="F20" s="25"/>
      <c r="G20" s="26"/>
      <c r="H20" s="26"/>
      <c r="I20" s="25"/>
      <c r="J20" s="25"/>
      <c r="K20" s="25"/>
      <c r="L20" s="27">
        <f>L19/L45</f>
        <v>0.85329949679305961</v>
      </c>
      <c r="M20" s="43"/>
    </row>
    <row r="21" spans="1:13" x14ac:dyDescent="0.25">
      <c r="A21" s="34" t="s">
        <v>34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5"/>
    </row>
    <row r="22" spans="1:13" x14ac:dyDescent="0.25">
      <c r="A22" s="36" t="s">
        <v>28</v>
      </c>
      <c r="B22" s="114" t="s">
        <v>20</v>
      </c>
      <c r="C22" s="115">
        <v>6299</v>
      </c>
      <c r="D22" s="115">
        <v>58904267</v>
      </c>
      <c r="E22" s="115">
        <v>0</v>
      </c>
      <c r="F22" s="116">
        <v>13.91</v>
      </c>
      <c r="G22" s="117">
        <v>1.41E-2</v>
      </c>
      <c r="H22" s="117">
        <v>0</v>
      </c>
      <c r="I22" s="12">
        <f>C22*F22*12</f>
        <v>1051429.08</v>
      </c>
      <c r="J22" s="12">
        <f>D22*G22</f>
        <v>830550.16469999996</v>
      </c>
      <c r="K22" s="12">
        <f>E22*H22</f>
        <v>0</v>
      </c>
      <c r="L22" s="12">
        <f t="shared" ref="L22:L31" si="5">SUM(I22:K22)</f>
        <v>1881979.2447000002</v>
      </c>
      <c r="M22" s="37">
        <f>IF(ISERROR(L22/L$32),0,L22/L$32)</f>
        <v>0.73295343562367388</v>
      </c>
    </row>
    <row r="23" spans="1:13" x14ac:dyDescent="0.25">
      <c r="A23" s="36" t="s">
        <v>36</v>
      </c>
      <c r="B23" s="114" t="s">
        <v>20</v>
      </c>
      <c r="C23" s="115">
        <v>662</v>
      </c>
      <c r="D23" s="115">
        <v>17998806</v>
      </c>
      <c r="E23" s="115">
        <v>0</v>
      </c>
      <c r="F23" s="116">
        <v>18.38</v>
      </c>
      <c r="G23" s="117">
        <v>4.8999999999999998E-3</v>
      </c>
      <c r="H23" s="117">
        <v>0</v>
      </c>
      <c r="I23" s="12">
        <f t="shared" ref="I23:I31" si="6">C23*F23*12</f>
        <v>146010.72</v>
      </c>
      <c r="J23" s="12">
        <f t="shared" ref="J23:J31" si="7">D23*G23</f>
        <v>88194.149399999995</v>
      </c>
      <c r="K23" s="12">
        <f t="shared" ref="K23:K31" si="8">E23*H23</f>
        <v>0</v>
      </c>
      <c r="L23" s="12">
        <f t="shared" si="5"/>
        <v>234204.8694</v>
      </c>
      <c r="M23" s="37">
        <f t="shared" ref="M23:M31" si="9">IF(ISERROR(L23/L$32),0,L23/L$32)</f>
        <v>9.1213154528645077E-2</v>
      </c>
    </row>
    <row r="24" spans="1:13" x14ac:dyDescent="0.25">
      <c r="A24" s="36" t="s">
        <v>37</v>
      </c>
      <c r="B24" s="114" t="s">
        <v>21</v>
      </c>
      <c r="C24" s="115">
        <v>91</v>
      </c>
      <c r="D24" s="115">
        <v>91846588</v>
      </c>
      <c r="E24" s="115">
        <v>235476</v>
      </c>
      <c r="F24" s="116">
        <v>43.91</v>
      </c>
      <c r="G24" s="117">
        <v>0</v>
      </c>
      <c r="H24" s="117">
        <v>1.4552</v>
      </c>
      <c r="I24" s="12">
        <f t="shared" si="6"/>
        <v>47949.719999999994</v>
      </c>
      <c r="J24" s="12">
        <f t="shared" si="7"/>
        <v>0</v>
      </c>
      <c r="K24" s="12">
        <f t="shared" si="8"/>
        <v>342664.6752</v>
      </c>
      <c r="L24" s="12">
        <f t="shared" si="5"/>
        <v>390614.39519999997</v>
      </c>
      <c r="M24" s="37">
        <f t="shared" si="9"/>
        <v>0.1521282255222437</v>
      </c>
    </row>
    <row r="25" spans="1:13" x14ac:dyDescent="0.25">
      <c r="A25" s="36" t="s">
        <v>38</v>
      </c>
      <c r="B25" s="114" t="s">
        <v>21</v>
      </c>
      <c r="C25" s="115"/>
      <c r="D25" s="115"/>
      <c r="E25" s="115"/>
      <c r="F25" s="116"/>
      <c r="G25" s="117"/>
      <c r="H25" s="117"/>
      <c r="I25" s="12">
        <f t="shared" si="6"/>
        <v>0</v>
      </c>
      <c r="J25" s="12">
        <f t="shared" si="7"/>
        <v>0</v>
      </c>
      <c r="K25" s="12">
        <f t="shared" si="8"/>
        <v>0</v>
      </c>
      <c r="L25" s="12">
        <f t="shared" si="5"/>
        <v>0</v>
      </c>
      <c r="M25" s="37">
        <f t="shared" si="9"/>
        <v>0</v>
      </c>
    </row>
    <row r="26" spans="1:13" x14ac:dyDescent="0.25">
      <c r="A26" s="36" t="s">
        <v>29</v>
      </c>
      <c r="B26" s="114" t="s">
        <v>21</v>
      </c>
      <c r="C26" s="115"/>
      <c r="D26" s="115"/>
      <c r="E26" s="115"/>
      <c r="F26" s="116"/>
      <c r="G26" s="117"/>
      <c r="H26" s="117"/>
      <c r="I26" s="12">
        <f t="shared" si="6"/>
        <v>0</v>
      </c>
      <c r="J26" s="12">
        <f t="shared" si="7"/>
        <v>0</v>
      </c>
      <c r="K26" s="12">
        <f t="shared" si="8"/>
        <v>0</v>
      </c>
      <c r="L26" s="12">
        <f t="shared" si="5"/>
        <v>0</v>
      </c>
      <c r="M26" s="37">
        <f t="shared" si="9"/>
        <v>0</v>
      </c>
    </row>
    <row r="27" spans="1:13" x14ac:dyDescent="0.25">
      <c r="A27" s="36" t="s">
        <v>35</v>
      </c>
      <c r="B27" s="114" t="s">
        <v>21</v>
      </c>
      <c r="C27" s="115">
        <v>1</v>
      </c>
      <c r="D27" s="115">
        <v>29034336</v>
      </c>
      <c r="E27" s="115">
        <v>56098</v>
      </c>
      <c r="F27" s="116">
        <v>3707.4</v>
      </c>
      <c r="G27" s="117">
        <v>0</v>
      </c>
      <c r="H27" s="117">
        <v>5.4600000000000003E-2</v>
      </c>
      <c r="I27" s="12">
        <f t="shared" si="6"/>
        <v>44488.800000000003</v>
      </c>
      <c r="J27" s="12">
        <f t="shared" si="7"/>
        <v>0</v>
      </c>
      <c r="K27" s="12">
        <f t="shared" si="8"/>
        <v>3062.9508000000001</v>
      </c>
      <c r="L27" s="12">
        <f t="shared" si="5"/>
        <v>47551.750800000002</v>
      </c>
      <c r="M27" s="37">
        <f t="shared" si="9"/>
        <v>1.8519449253722571E-2</v>
      </c>
    </row>
    <row r="28" spans="1:13" x14ac:dyDescent="0.25">
      <c r="A28" s="36" t="s">
        <v>30</v>
      </c>
      <c r="B28" s="114" t="s">
        <v>20</v>
      </c>
      <c r="C28" s="115">
        <v>51</v>
      </c>
      <c r="D28" s="115">
        <v>311683</v>
      </c>
      <c r="E28" s="115">
        <v>0</v>
      </c>
      <c r="F28" s="116">
        <v>9.1999999999999993</v>
      </c>
      <c r="G28" s="117">
        <v>5.3E-3</v>
      </c>
      <c r="H28" s="117">
        <v>0</v>
      </c>
      <c r="I28" s="12">
        <f t="shared" si="6"/>
        <v>5630.4</v>
      </c>
      <c r="J28" s="12">
        <f t="shared" si="7"/>
        <v>1651.9199000000001</v>
      </c>
      <c r="K28" s="12">
        <f t="shared" si="8"/>
        <v>0</v>
      </c>
      <c r="L28" s="12">
        <f t="shared" si="5"/>
        <v>7282.3198999999995</v>
      </c>
      <c r="M28" s="37">
        <f t="shared" si="9"/>
        <v>2.8361637914165721E-3</v>
      </c>
    </row>
    <row r="29" spans="1:13" x14ac:dyDescent="0.25">
      <c r="A29" s="36" t="s">
        <v>31</v>
      </c>
      <c r="B29" s="114" t="s">
        <v>21</v>
      </c>
      <c r="C29" s="115"/>
      <c r="D29" s="115"/>
      <c r="E29" s="115"/>
      <c r="F29" s="116"/>
      <c r="G29" s="117"/>
      <c r="H29" s="117"/>
      <c r="I29" s="12">
        <f t="shared" si="6"/>
        <v>0</v>
      </c>
      <c r="J29" s="12">
        <f t="shared" si="7"/>
        <v>0</v>
      </c>
      <c r="K29" s="12">
        <f t="shared" si="8"/>
        <v>0</v>
      </c>
      <c r="L29" s="12">
        <f t="shared" si="5"/>
        <v>0</v>
      </c>
      <c r="M29" s="37">
        <f t="shared" si="9"/>
        <v>0</v>
      </c>
    </row>
    <row r="30" spans="1:13" x14ac:dyDescent="0.25">
      <c r="A30" s="36" t="s">
        <v>32</v>
      </c>
      <c r="B30" s="114" t="s">
        <v>21</v>
      </c>
      <c r="C30" s="115">
        <v>46</v>
      </c>
      <c r="D30" s="115">
        <v>42724</v>
      </c>
      <c r="E30" s="115">
        <v>119</v>
      </c>
      <c r="F30" s="116">
        <v>0.18</v>
      </c>
      <c r="G30" s="117">
        <v>0</v>
      </c>
      <c r="H30" s="117">
        <v>0.99850000000000005</v>
      </c>
      <c r="I30" s="12">
        <f t="shared" si="6"/>
        <v>99.359999999999985</v>
      </c>
      <c r="J30" s="12">
        <f t="shared" si="7"/>
        <v>0</v>
      </c>
      <c r="K30" s="12">
        <f t="shared" si="8"/>
        <v>118.8215</v>
      </c>
      <c r="L30" s="12">
        <f t="shared" si="5"/>
        <v>218.18149999999997</v>
      </c>
      <c r="M30" s="37">
        <f t="shared" si="9"/>
        <v>8.4972711821813094E-5</v>
      </c>
    </row>
    <row r="31" spans="1:13" x14ac:dyDescent="0.25">
      <c r="A31" s="38" t="s">
        <v>33</v>
      </c>
      <c r="B31" s="118" t="s">
        <v>21</v>
      </c>
      <c r="C31" s="119">
        <v>1958</v>
      </c>
      <c r="D31" s="119">
        <v>1458103</v>
      </c>
      <c r="E31" s="119">
        <v>4316</v>
      </c>
      <c r="F31" s="120">
        <v>0.14000000000000001</v>
      </c>
      <c r="G31" s="121">
        <v>0</v>
      </c>
      <c r="H31" s="121">
        <v>0.58509999999999995</v>
      </c>
      <c r="I31" s="22">
        <f t="shared" si="6"/>
        <v>3289.44</v>
      </c>
      <c r="J31" s="22">
        <f t="shared" si="7"/>
        <v>0</v>
      </c>
      <c r="K31" s="22">
        <f t="shared" si="8"/>
        <v>2525.2916</v>
      </c>
      <c r="L31" s="22">
        <f t="shared" si="5"/>
        <v>5814.7316000000001</v>
      </c>
      <c r="M31" s="39">
        <f t="shared" si="9"/>
        <v>2.2645985684762011E-3</v>
      </c>
    </row>
    <row r="32" spans="1:13" ht="15.75" thickBot="1" x14ac:dyDescent="0.3">
      <c r="A32" s="40" t="s">
        <v>12</v>
      </c>
      <c r="B32" s="28"/>
      <c r="C32" s="29">
        <f>SUM(C22:C31)</f>
        <v>9108</v>
      </c>
      <c r="D32" s="29">
        <f>SUM(D22:D31)</f>
        <v>199596507</v>
      </c>
      <c r="E32" s="29">
        <f>SUM(E22:E31)</f>
        <v>296009</v>
      </c>
      <c r="F32" s="30"/>
      <c r="G32" s="31"/>
      <c r="H32" s="31"/>
      <c r="I32" s="30">
        <f>SUM(I22:I31)</f>
        <v>1298897.52</v>
      </c>
      <c r="J32" s="30">
        <f>SUM(J22:J31)</f>
        <v>920396.23399999994</v>
      </c>
      <c r="K32" s="30">
        <f>SUM(K22:K31)</f>
        <v>348371.73910000001</v>
      </c>
      <c r="L32" s="30">
        <f>SUM(L22:L31)</f>
        <v>2567665.4931000005</v>
      </c>
      <c r="M32" s="41">
        <f>SUM(M22:M31)</f>
        <v>0.99999999999999989</v>
      </c>
    </row>
    <row r="33" spans="1:13" ht="15.75" thickTop="1" x14ac:dyDescent="0.25">
      <c r="A33" s="42" t="s">
        <v>51</v>
      </c>
      <c r="B33" s="23"/>
      <c r="C33" s="24"/>
      <c r="D33" s="24"/>
      <c r="E33" s="24"/>
      <c r="F33" s="25"/>
      <c r="G33" s="26"/>
      <c r="H33" s="26"/>
      <c r="I33" s="25"/>
      <c r="J33" s="25"/>
      <c r="K33" s="25"/>
      <c r="L33" s="27">
        <f>L32/L45</f>
        <v>0.14670050320694042</v>
      </c>
      <c r="M33" s="43"/>
    </row>
    <row r="34" spans="1:13" x14ac:dyDescent="0.25">
      <c r="A34" s="34" t="s">
        <v>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35"/>
    </row>
    <row r="35" spans="1:13" x14ac:dyDescent="0.25">
      <c r="A35" s="36" t="s">
        <v>28</v>
      </c>
      <c r="B35" s="5" t="s">
        <v>20</v>
      </c>
      <c r="C35" s="13">
        <f t="shared" ref="C35:E44" si="10">C9+C22</f>
        <v>34943</v>
      </c>
      <c r="D35" s="13">
        <f t="shared" si="10"/>
        <v>265950030</v>
      </c>
      <c r="E35" s="13">
        <f t="shared" si="10"/>
        <v>0</v>
      </c>
      <c r="F35" s="12"/>
      <c r="G35" s="14"/>
      <c r="H35" s="14"/>
      <c r="I35" s="12">
        <f t="shared" ref="I35:L44" si="11">I9+I22</f>
        <v>7341651.4800000004</v>
      </c>
      <c r="J35" s="12">
        <f t="shared" si="11"/>
        <v>2590439.1502</v>
      </c>
      <c r="K35" s="12">
        <f t="shared" si="11"/>
        <v>0</v>
      </c>
      <c r="L35" s="12">
        <f t="shared" si="11"/>
        <v>9932090.6302000005</v>
      </c>
      <c r="M35" s="37">
        <f>IF(ISERROR(L35/L$45),0,L35/L$45)</f>
        <v>0.56745814330672695</v>
      </c>
    </row>
    <row r="36" spans="1:13" x14ac:dyDescent="0.25">
      <c r="A36" s="36" t="s">
        <v>36</v>
      </c>
      <c r="B36" s="5" t="s">
        <v>20</v>
      </c>
      <c r="C36" s="13">
        <f t="shared" si="10"/>
        <v>3700</v>
      </c>
      <c r="D36" s="13">
        <f t="shared" si="10"/>
        <v>108209008</v>
      </c>
      <c r="E36" s="13">
        <f t="shared" si="10"/>
        <v>0</v>
      </c>
      <c r="F36" s="12"/>
      <c r="G36" s="14"/>
      <c r="H36" s="14"/>
      <c r="I36" s="12">
        <f t="shared" si="11"/>
        <v>1370567.76</v>
      </c>
      <c r="J36" s="12">
        <f t="shared" si="11"/>
        <v>1107569.432</v>
      </c>
      <c r="K36" s="12">
        <f t="shared" si="11"/>
        <v>0</v>
      </c>
      <c r="L36" s="12">
        <f t="shared" si="11"/>
        <v>2478137.1920000003</v>
      </c>
      <c r="M36" s="37">
        <f t="shared" ref="M36:M44" si="12">IF(ISERROR(L36/L$45),0,L36/L$45)</f>
        <v>0.14158541058372814</v>
      </c>
    </row>
    <row r="37" spans="1:13" x14ac:dyDescent="0.25">
      <c r="A37" s="36" t="s">
        <v>37</v>
      </c>
      <c r="B37" s="5" t="s">
        <v>21</v>
      </c>
      <c r="C37" s="13">
        <f t="shared" si="10"/>
        <v>512</v>
      </c>
      <c r="D37" s="13">
        <f t="shared" si="10"/>
        <v>281786170</v>
      </c>
      <c r="E37" s="13">
        <f t="shared" si="10"/>
        <v>729568</v>
      </c>
      <c r="F37" s="12"/>
      <c r="G37" s="14"/>
      <c r="H37" s="14"/>
      <c r="I37" s="12">
        <f t="shared" si="11"/>
        <v>646308.6</v>
      </c>
      <c r="J37" s="12">
        <f t="shared" si="11"/>
        <v>0</v>
      </c>
      <c r="K37" s="12">
        <f t="shared" si="11"/>
        <v>2001677.3835999998</v>
      </c>
      <c r="L37" s="12">
        <f t="shared" si="11"/>
        <v>2647985.9835999999</v>
      </c>
      <c r="M37" s="37">
        <f t="shared" si="12"/>
        <v>0.15128951856187756</v>
      </c>
    </row>
    <row r="38" spans="1:13" x14ac:dyDescent="0.25">
      <c r="A38" s="36" t="s">
        <v>38</v>
      </c>
      <c r="B38" s="5" t="s">
        <v>21</v>
      </c>
      <c r="C38" s="13">
        <f t="shared" si="10"/>
        <v>28</v>
      </c>
      <c r="D38" s="13">
        <f t="shared" si="10"/>
        <v>139888648</v>
      </c>
      <c r="E38" s="13">
        <f t="shared" si="10"/>
        <v>382377</v>
      </c>
      <c r="F38" s="12"/>
      <c r="G38" s="14"/>
      <c r="H38" s="14"/>
      <c r="I38" s="12">
        <f t="shared" si="11"/>
        <v>32309.760000000002</v>
      </c>
      <c r="J38" s="12">
        <f t="shared" si="11"/>
        <v>0</v>
      </c>
      <c r="K38" s="12">
        <f t="shared" si="11"/>
        <v>1743639.1199999999</v>
      </c>
      <c r="L38" s="12">
        <f t="shared" si="11"/>
        <v>1775948.88</v>
      </c>
      <c r="M38" s="37">
        <f t="shared" si="12"/>
        <v>0.10146671950295805</v>
      </c>
    </row>
    <row r="39" spans="1:13" x14ac:dyDescent="0.25">
      <c r="A39" s="36" t="s">
        <v>29</v>
      </c>
      <c r="B39" s="5" t="s">
        <v>21</v>
      </c>
      <c r="C39" s="13">
        <f t="shared" si="10"/>
        <v>1</v>
      </c>
      <c r="D39" s="13">
        <f t="shared" si="10"/>
        <v>32205190</v>
      </c>
      <c r="E39" s="13">
        <f t="shared" si="10"/>
        <v>87305</v>
      </c>
      <c r="F39" s="12"/>
      <c r="G39" s="14"/>
      <c r="H39" s="14"/>
      <c r="I39" s="12">
        <f t="shared" si="11"/>
        <v>16028.04</v>
      </c>
      <c r="J39" s="12">
        <f t="shared" si="11"/>
        <v>0</v>
      </c>
      <c r="K39" s="12">
        <f t="shared" si="11"/>
        <v>294209.11949999997</v>
      </c>
      <c r="L39" s="12">
        <f t="shared" si="11"/>
        <v>310237.15949999995</v>
      </c>
      <c r="M39" s="37">
        <f t="shared" si="12"/>
        <v>1.7725029811883411E-2</v>
      </c>
    </row>
    <row r="40" spans="1:13" x14ac:dyDescent="0.25">
      <c r="A40" s="36" t="s">
        <v>35</v>
      </c>
      <c r="B40" s="5" t="s">
        <v>21</v>
      </c>
      <c r="C40" s="13">
        <f t="shared" si="10"/>
        <v>1</v>
      </c>
      <c r="D40" s="13">
        <f t="shared" si="10"/>
        <v>29034336</v>
      </c>
      <c r="E40" s="13">
        <f t="shared" si="10"/>
        <v>56098</v>
      </c>
      <c r="F40" s="12"/>
      <c r="G40" s="14"/>
      <c r="H40" s="14"/>
      <c r="I40" s="12">
        <f t="shared" si="11"/>
        <v>44488.800000000003</v>
      </c>
      <c r="J40" s="12">
        <f t="shared" si="11"/>
        <v>0</v>
      </c>
      <c r="K40" s="12">
        <f t="shared" si="11"/>
        <v>3062.9508000000001</v>
      </c>
      <c r="L40" s="12">
        <f t="shared" si="11"/>
        <v>47551.750800000002</v>
      </c>
      <c r="M40" s="37">
        <f t="shared" si="12"/>
        <v>2.7168125246364982E-3</v>
      </c>
    </row>
    <row r="41" spans="1:13" x14ac:dyDescent="0.25">
      <c r="A41" s="36" t="s">
        <v>30</v>
      </c>
      <c r="B41" s="5" t="s">
        <v>20</v>
      </c>
      <c r="C41" s="13">
        <f t="shared" si="10"/>
        <v>245</v>
      </c>
      <c r="D41" s="13">
        <f t="shared" si="10"/>
        <v>1392861</v>
      </c>
      <c r="E41" s="13">
        <f t="shared" si="10"/>
        <v>0</v>
      </c>
      <c r="F41" s="12"/>
      <c r="G41" s="14"/>
      <c r="H41" s="14"/>
      <c r="I41" s="12">
        <f t="shared" si="11"/>
        <v>30446.879999999997</v>
      </c>
      <c r="J41" s="12">
        <f t="shared" si="11"/>
        <v>2516.8623000000002</v>
      </c>
      <c r="K41" s="12">
        <f t="shared" si="11"/>
        <v>0</v>
      </c>
      <c r="L41" s="12">
        <f t="shared" si="11"/>
        <v>32963.742299999998</v>
      </c>
      <c r="M41" s="37">
        <f t="shared" si="12"/>
        <v>1.8833440710984278E-3</v>
      </c>
    </row>
    <row r="42" spans="1:13" x14ac:dyDescent="0.25">
      <c r="A42" s="36" t="s">
        <v>31</v>
      </c>
      <c r="B42" s="5" t="s">
        <v>21</v>
      </c>
      <c r="C42" s="13">
        <f t="shared" si="10"/>
        <v>0</v>
      </c>
      <c r="D42" s="13">
        <f t="shared" si="10"/>
        <v>0</v>
      </c>
      <c r="E42" s="13">
        <f t="shared" si="10"/>
        <v>0</v>
      </c>
      <c r="F42" s="12"/>
      <c r="G42" s="14"/>
      <c r="H42" s="14"/>
      <c r="I42" s="12">
        <f t="shared" si="11"/>
        <v>0</v>
      </c>
      <c r="J42" s="12">
        <f t="shared" si="11"/>
        <v>0</v>
      </c>
      <c r="K42" s="12">
        <f t="shared" si="11"/>
        <v>0</v>
      </c>
      <c r="L42" s="12">
        <f t="shared" si="11"/>
        <v>0</v>
      </c>
      <c r="M42" s="37">
        <f t="shared" si="12"/>
        <v>0</v>
      </c>
    </row>
    <row r="43" spans="1:13" x14ac:dyDescent="0.25">
      <c r="A43" s="36" t="s">
        <v>32</v>
      </c>
      <c r="B43" s="5" t="s">
        <v>21</v>
      </c>
      <c r="C43" s="13">
        <f t="shared" si="10"/>
        <v>373</v>
      </c>
      <c r="D43" s="13">
        <f t="shared" si="10"/>
        <v>389842</v>
      </c>
      <c r="E43" s="13">
        <f t="shared" si="10"/>
        <v>1198</v>
      </c>
      <c r="F43" s="12"/>
      <c r="G43" s="14"/>
      <c r="H43" s="14"/>
      <c r="I43" s="12">
        <f t="shared" si="11"/>
        <v>33060.960000000006</v>
      </c>
      <c r="J43" s="12">
        <f t="shared" si="11"/>
        <v>0</v>
      </c>
      <c r="K43" s="12">
        <f t="shared" si="11"/>
        <v>762.22920000000011</v>
      </c>
      <c r="L43" s="12">
        <f t="shared" si="11"/>
        <v>33823.189200000008</v>
      </c>
      <c r="M43" s="37">
        <f t="shared" si="12"/>
        <v>1.9324475439022101E-3</v>
      </c>
    </row>
    <row r="44" spans="1:13" x14ac:dyDescent="0.25">
      <c r="A44" s="38" t="s">
        <v>33</v>
      </c>
      <c r="B44" s="21" t="s">
        <v>21</v>
      </c>
      <c r="C44" s="32">
        <f t="shared" si="10"/>
        <v>12709</v>
      </c>
      <c r="D44" s="32">
        <f t="shared" si="10"/>
        <v>7215298</v>
      </c>
      <c r="E44" s="32">
        <f t="shared" si="10"/>
        <v>22681</v>
      </c>
      <c r="F44" s="22"/>
      <c r="G44" s="33"/>
      <c r="H44" s="33"/>
      <c r="I44" s="22">
        <f t="shared" si="11"/>
        <v>218739.47999999998</v>
      </c>
      <c r="J44" s="22">
        <f t="shared" si="11"/>
        <v>0</v>
      </c>
      <c r="K44" s="22">
        <f t="shared" si="11"/>
        <v>25294.2186</v>
      </c>
      <c r="L44" s="22">
        <f t="shared" si="11"/>
        <v>244033.69859999997</v>
      </c>
      <c r="M44" s="39">
        <f t="shared" si="12"/>
        <v>1.3942574093188767E-2</v>
      </c>
    </row>
    <row r="45" spans="1:13" ht="15.75" thickBot="1" x14ac:dyDescent="0.3">
      <c r="A45" s="40" t="s">
        <v>12</v>
      </c>
      <c r="B45" s="28"/>
      <c r="C45" s="29">
        <f>SUM(C35:C44)</f>
        <v>52512</v>
      </c>
      <c r="D45" s="29">
        <f>SUM(D35:D44)</f>
        <v>866071383</v>
      </c>
      <c r="E45" s="29">
        <f>SUM(E35:E44)</f>
        <v>1279227</v>
      </c>
      <c r="F45" s="30"/>
      <c r="G45" s="31"/>
      <c r="H45" s="31"/>
      <c r="I45" s="30">
        <f>SUM(I35:I44)</f>
        <v>9733601.7600000016</v>
      </c>
      <c r="J45" s="30">
        <f>SUM(J35:J44)</f>
        <v>3700525.4445000002</v>
      </c>
      <c r="K45" s="30">
        <f>SUM(K35:K44)</f>
        <v>4068645.0216999995</v>
      </c>
      <c r="L45" s="30">
        <f>SUM(L35:L44)</f>
        <v>17502772.226199999</v>
      </c>
      <c r="M45" s="41">
        <f>SUM(M35:M44)</f>
        <v>1</v>
      </c>
    </row>
    <row r="46" spans="1:13" ht="15.75" thickTop="1" x14ac:dyDescent="0.25">
      <c r="A46" s="44" t="s">
        <v>51</v>
      </c>
      <c r="B46" s="45"/>
      <c r="C46" s="46"/>
      <c r="D46" s="46"/>
      <c r="E46" s="46"/>
      <c r="F46" s="47"/>
      <c r="G46" s="48"/>
      <c r="H46" s="48"/>
      <c r="I46" s="47"/>
      <c r="J46" s="47"/>
      <c r="K46" s="47"/>
      <c r="L46" s="49">
        <f>L20+L33</f>
        <v>1</v>
      </c>
      <c r="M46" s="50"/>
    </row>
  </sheetData>
  <mergeCells count="6">
    <mergeCell ref="M5:M6"/>
    <mergeCell ref="A5:A6"/>
    <mergeCell ref="B5:B6"/>
    <mergeCell ref="C5:E5"/>
    <mergeCell ref="F5:H5"/>
    <mergeCell ref="I5:L5"/>
  </mergeCells>
  <pageMargins left="1" right="1" top="1" bottom="1" header="0.3" footer="0.3"/>
  <pageSetup scale="52" orientation="landscape" r:id="rId1"/>
  <headerFooter>
    <oddFooter>&amp;L&amp;F
Tab: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F22" sqref="F22"/>
    </sheetView>
  </sheetViews>
  <sheetFormatPr defaultRowHeight="15" x14ac:dyDescent="0.25"/>
  <cols>
    <col min="1" max="1" width="31.28515625" customWidth="1"/>
    <col min="2" max="6" width="12.7109375" customWidth="1"/>
  </cols>
  <sheetData>
    <row r="1" spans="1:5" ht="18.75" x14ac:dyDescent="0.3">
      <c r="A1" s="7" t="s">
        <v>14</v>
      </c>
      <c r="B1" s="57"/>
      <c r="C1" s="57"/>
      <c r="D1" s="57"/>
      <c r="E1" s="57"/>
    </row>
    <row r="2" spans="1:5" ht="18.75" x14ac:dyDescent="0.3">
      <c r="A2" s="7" t="s">
        <v>15</v>
      </c>
      <c r="B2" s="57"/>
      <c r="C2" s="57"/>
      <c r="D2" s="57"/>
      <c r="E2" s="57"/>
    </row>
    <row r="3" spans="1:5" ht="19.5" thickBot="1" x14ac:dyDescent="0.35">
      <c r="A3" s="55" t="s">
        <v>39</v>
      </c>
      <c r="B3" s="58"/>
      <c r="C3" s="58"/>
      <c r="D3" s="58"/>
      <c r="E3" s="58"/>
    </row>
    <row r="6" spans="1:5" x14ac:dyDescent="0.25">
      <c r="A6" s="131" t="s">
        <v>13</v>
      </c>
      <c r="B6" s="133" t="s">
        <v>11</v>
      </c>
      <c r="C6" s="133"/>
      <c r="D6" s="133"/>
      <c r="E6" s="134" t="s">
        <v>78</v>
      </c>
    </row>
    <row r="7" spans="1:5" ht="32.25" x14ac:dyDescent="0.25">
      <c r="A7" s="132"/>
      <c r="B7" s="54" t="s">
        <v>48</v>
      </c>
      <c r="C7" s="54" t="s">
        <v>77</v>
      </c>
      <c r="D7" s="84" t="s">
        <v>49</v>
      </c>
      <c r="E7" s="135"/>
    </row>
    <row r="8" spans="1:5" x14ac:dyDescent="0.25">
      <c r="A8" s="85" t="s">
        <v>40</v>
      </c>
      <c r="B8" s="23"/>
      <c r="C8" s="66"/>
      <c r="D8" s="66"/>
      <c r="E8" s="80"/>
    </row>
    <row r="9" spans="1:5" x14ac:dyDescent="0.25">
      <c r="A9" s="36" t="s">
        <v>0</v>
      </c>
      <c r="B9" s="60">
        <v>56630166</v>
      </c>
      <c r="C9" s="60">
        <v>0</v>
      </c>
      <c r="D9" s="59"/>
      <c r="E9" s="75"/>
    </row>
    <row r="10" spans="1:5" x14ac:dyDescent="0.25">
      <c r="A10" s="38" t="s">
        <v>47</v>
      </c>
      <c r="B10" s="62">
        <v>-15000000</v>
      </c>
      <c r="C10" s="62">
        <v>0</v>
      </c>
      <c r="D10" s="63"/>
      <c r="E10" s="76"/>
    </row>
    <row r="11" spans="1:5" x14ac:dyDescent="0.25">
      <c r="A11" s="77" t="s">
        <v>1</v>
      </c>
      <c r="B11" s="64">
        <f>SUM(B9:B10)</f>
        <v>41630166</v>
      </c>
      <c r="C11" s="64">
        <f>SUM(C9:C10)</f>
        <v>0</v>
      </c>
      <c r="D11" s="64"/>
      <c r="E11" s="78"/>
    </row>
    <row r="12" spans="1:5" x14ac:dyDescent="0.25">
      <c r="A12" s="36" t="s">
        <v>2</v>
      </c>
      <c r="B12" s="6">
        <v>1.5E-3</v>
      </c>
      <c r="C12" s="6"/>
      <c r="D12" s="59"/>
      <c r="E12" s="75"/>
    </row>
    <row r="13" spans="1:5" x14ac:dyDescent="0.25">
      <c r="A13" s="38" t="s">
        <v>50</v>
      </c>
      <c r="B13" s="65">
        <f>181/365</f>
        <v>0.49589041095890413</v>
      </c>
      <c r="C13" s="65"/>
      <c r="D13" s="63"/>
      <c r="E13" s="76"/>
    </row>
    <row r="14" spans="1:5" ht="15.75" thickBot="1" x14ac:dyDescent="0.3">
      <c r="A14" s="40" t="s">
        <v>12</v>
      </c>
      <c r="B14" s="67">
        <f>B11*B12*B13</f>
        <v>30966.0001890411</v>
      </c>
      <c r="C14" s="67">
        <f>C11*C12*C13</f>
        <v>0</v>
      </c>
      <c r="D14" s="67">
        <f>SUM(B14:C14)</f>
        <v>30966.0001890411</v>
      </c>
      <c r="E14" s="79">
        <v>0</v>
      </c>
    </row>
    <row r="15" spans="1:5" ht="15.75" thickTop="1" x14ac:dyDescent="0.25">
      <c r="A15" s="42"/>
      <c r="B15" s="66"/>
      <c r="C15" s="66"/>
      <c r="D15" s="66"/>
      <c r="E15" s="80"/>
    </row>
    <row r="16" spans="1:5" x14ac:dyDescent="0.25">
      <c r="A16" s="86" t="s">
        <v>41</v>
      </c>
      <c r="B16" s="59"/>
      <c r="C16" s="59"/>
      <c r="D16" s="59"/>
      <c r="E16" s="75"/>
    </row>
    <row r="17" spans="1:5" x14ac:dyDescent="0.25">
      <c r="A17" s="36" t="s">
        <v>3</v>
      </c>
      <c r="B17" s="60">
        <v>2459987</v>
      </c>
      <c r="C17" s="60">
        <v>450137</v>
      </c>
      <c r="D17" s="59">
        <f>SUM(B17:C17)</f>
        <v>2910124</v>
      </c>
      <c r="E17" s="75">
        <f>B17+C17</f>
        <v>2910124</v>
      </c>
    </row>
    <row r="18" spans="1:5" x14ac:dyDescent="0.25">
      <c r="A18" s="36" t="s">
        <v>4</v>
      </c>
      <c r="B18" s="61">
        <v>0.31</v>
      </c>
      <c r="C18" s="61">
        <v>0.21</v>
      </c>
      <c r="D18" s="15">
        <f>(D20+D19)/D17</f>
        <v>0.26329625129375928</v>
      </c>
      <c r="E18" s="81">
        <v>0.26500000000000001</v>
      </c>
    </row>
    <row r="19" spans="1:5" x14ac:dyDescent="0.25">
      <c r="A19" s="38" t="s">
        <v>42</v>
      </c>
      <c r="B19" s="62">
        <v>-45450</v>
      </c>
      <c r="C19" s="62">
        <v>0</v>
      </c>
      <c r="D19" s="63">
        <f>SUM(B19:C19)</f>
        <v>-45450</v>
      </c>
      <c r="E19" s="76">
        <f>B19</f>
        <v>-45450</v>
      </c>
    </row>
    <row r="20" spans="1:5" x14ac:dyDescent="0.25">
      <c r="A20" s="82" t="s">
        <v>5</v>
      </c>
      <c r="B20" s="68">
        <f>B17*B18+B19</f>
        <v>717145.97</v>
      </c>
      <c r="C20" s="68">
        <f>C17*C18+C19</f>
        <v>94528.76999999999</v>
      </c>
      <c r="D20" s="68">
        <f>SUM(B20:C20)</f>
        <v>811674.74</v>
      </c>
      <c r="E20" s="83">
        <f>E17*E18+E19</f>
        <v>725732.86</v>
      </c>
    </row>
    <row r="21" spans="1:5" ht="15.75" thickBot="1" x14ac:dyDescent="0.3">
      <c r="A21" s="40" t="s">
        <v>6</v>
      </c>
      <c r="B21" s="67">
        <f>B20/(1-B18)</f>
        <v>1039341.9855072465</v>
      </c>
      <c r="C21" s="67">
        <f>C20/(1-C18)</f>
        <v>119656.67088607592</v>
      </c>
      <c r="D21" s="67">
        <f>SUM(B21:C21)</f>
        <v>1158998.6563933224</v>
      </c>
      <c r="E21" s="79">
        <f>E20/(1-E18)</f>
        <v>987391.64625850343</v>
      </c>
    </row>
    <row r="22" spans="1:5" ht="15.75" thickTop="1" x14ac:dyDescent="0.25">
      <c r="A22" s="42"/>
      <c r="B22" s="66"/>
      <c r="C22" s="66"/>
      <c r="D22" s="66"/>
      <c r="E22" s="80"/>
    </row>
    <row r="23" spans="1:5" x14ac:dyDescent="0.25">
      <c r="A23" s="86" t="s">
        <v>43</v>
      </c>
      <c r="B23" s="59"/>
      <c r="C23" s="59"/>
      <c r="D23" s="59"/>
      <c r="E23" s="75"/>
    </row>
    <row r="24" spans="1:5" x14ac:dyDescent="0.25">
      <c r="A24" s="36" t="s">
        <v>44</v>
      </c>
      <c r="B24" s="59">
        <f>B14</f>
        <v>30966.0001890411</v>
      </c>
      <c r="C24" s="59">
        <f>C14</f>
        <v>0</v>
      </c>
      <c r="D24" s="59">
        <f>D14</f>
        <v>30966.0001890411</v>
      </c>
      <c r="E24" s="75">
        <f>E14</f>
        <v>0</v>
      </c>
    </row>
    <row r="25" spans="1:5" x14ac:dyDescent="0.25">
      <c r="A25" s="38" t="s">
        <v>45</v>
      </c>
      <c r="B25" s="63">
        <f>B21</f>
        <v>1039341.9855072465</v>
      </c>
      <c r="C25" s="63">
        <f>C21</f>
        <v>119656.67088607592</v>
      </c>
      <c r="D25" s="63">
        <f>D21</f>
        <v>1158998.6563933224</v>
      </c>
      <c r="E25" s="76">
        <f>E21</f>
        <v>987391.64625850343</v>
      </c>
    </row>
    <row r="26" spans="1:5" ht="15.75" thickBot="1" x14ac:dyDescent="0.3">
      <c r="A26" s="40" t="s">
        <v>46</v>
      </c>
      <c r="B26" s="67">
        <f>SUM(B24:B25)</f>
        <v>1070307.9856962876</v>
      </c>
      <c r="C26" s="67">
        <f>SUM(C24:C25)</f>
        <v>119656.67088607592</v>
      </c>
      <c r="D26" s="67">
        <f>SUM(D24:D25)</f>
        <v>1189964.6565823634</v>
      </c>
      <c r="E26" s="79">
        <f>SUM(E24:E25)</f>
        <v>987391.64625850343</v>
      </c>
    </row>
    <row r="27" spans="1:5" ht="16.5" thickTop="1" thickBot="1" x14ac:dyDescent="0.3"/>
    <row r="28" spans="1:5" x14ac:dyDescent="0.25">
      <c r="A28" s="69" t="s">
        <v>7</v>
      </c>
      <c r="B28" s="70"/>
      <c r="C28" s="70"/>
      <c r="D28" s="70"/>
      <c r="E28" s="71">
        <f>E26-D26</f>
        <v>-202573.01032385998</v>
      </c>
    </row>
    <row r="29" spans="1:5" ht="15.75" thickBot="1" x14ac:dyDescent="0.3">
      <c r="A29" s="72" t="s">
        <v>8</v>
      </c>
      <c r="B29" s="73"/>
      <c r="C29" s="73"/>
      <c r="D29" s="73"/>
      <c r="E29" s="74">
        <f>E28*0.5</f>
        <v>-101286.50516192999</v>
      </c>
    </row>
    <row r="30" spans="1:5" x14ac:dyDescent="0.25">
      <c r="B30" s="2"/>
      <c r="C30" s="2"/>
      <c r="D30" s="2"/>
      <c r="E30" s="2"/>
    </row>
    <row r="31" spans="1:5" s="123" customFormat="1" ht="11.25" x14ac:dyDescent="0.2">
      <c r="A31" s="122" t="s">
        <v>79</v>
      </c>
    </row>
    <row r="32" spans="1:5" s="123" customFormat="1" ht="11.25" x14ac:dyDescent="0.2">
      <c r="A32" s="122"/>
    </row>
  </sheetData>
  <mergeCells count="3">
    <mergeCell ref="A6:A7"/>
    <mergeCell ref="B6:D6"/>
    <mergeCell ref="E6:E7"/>
  </mergeCells>
  <pageMargins left="1" right="1" top="1" bottom="1" header="0.3" footer="0.3"/>
  <pageSetup scale="97" orientation="landscape" r:id="rId1"/>
  <headerFooter>
    <oddFooter>&amp;L&amp;F
Tab: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M24" sqref="M24"/>
    </sheetView>
  </sheetViews>
  <sheetFormatPr defaultRowHeight="15" x14ac:dyDescent="0.25"/>
  <cols>
    <col min="1" max="1" width="32.42578125" bestFit="1" customWidth="1"/>
    <col min="2" max="2" width="12.5703125" customWidth="1"/>
    <col min="3" max="3" width="12.7109375" customWidth="1"/>
    <col min="4" max="4" width="12.7109375" style="1" customWidth="1"/>
    <col min="5" max="6" width="12.7109375" style="8" customWidth="1"/>
    <col min="7" max="9" width="12.7109375" customWidth="1"/>
  </cols>
  <sheetData>
    <row r="1" spans="1:8" ht="18.75" x14ac:dyDescent="0.3">
      <c r="A1" s="7" t="s">
        <v>14</v>
      </c>
      <c r="B1" s="4"/>
      <c r="C1" s="4"/>
      <c r="D1" s="109"/>
      <c r="E1" s="110"/>
      <c r="F1" s="110"/>
      <c r="G1" s="4"/>
      <c r="H1" s="4"/>
    </row>
    <row r="2" spans="1:8" ht="18.75" x14ac:dyDescent="0.3">
      <c r="A2" s="7" t="s">
        <v>52</v>
      </c>
      <c r="B2" s="4"/>
      <c r="C2" s="4"/>
      <c r="D2" s="109"/>
      <c r="E2" s="110"/>
      <c r="F2" s="110"/>
      <c r="G2" s="4"/>
      <c r="H2" s="4"/>
    </row>
    <row r="3" spans="1:8" ht="19.5" thickBot="1" x14ac:dyDescent="0.35">
      <c r="A3" s="55" t="s">
        <v>53</v>
      </c>
      <c r="B3" s="56"/>
      <c r="C3" s="56"/>
      <c r="D3" s="111"/>
      <c r="E3" s="112"/>
      <c r="F3" s="112"/>
      <c r="G3" s="56"/>
      <c r="H3" s="56"/>
    </row>
    <row r="4" spans="1:8" ht="15.75" thickBot="1" x14ac:dyDescent="0.3"/>
    <row r="5" spans="1:8" x14ac:dyDescent="0.25">
      <c r="A5" s="69" t="s">
        <v>54</v>
      </c>
      <c r="B5" s="101"/>
      <c r="C5" s="102"/>
      <c r="D5" s="103">
        <f>'2. Tax Savings'!E29</f>
        <v>-101286.50516192999</v>
      </c>
    </row>
    <row r="6" spans="1:8" x14ac:dyDescent="0.25">
      <c r="A6" s="104" t="s">
        <v>60</v>
      </c>
      <c r="B6" s="5"/>
      <c r="C6" s="6">
        <f>'1.BillingDeterminants'!L20</f>
        <v>0.85329949679305961</v>
      </c>
      <c r="D6" s="105">
        <f>D5*C6</f>
        <v>-86427.7238866025</v>
      </c>
    </row>
    <row r="7" spans="1:8" ht="15.75" thickBot="1" x14ac:dyDescent="0.3">
      <c r="A7" s="72" t="s">
        <v>61</v>
      </c>
      <c r="B7" s="106"/>
      <c r="C7" s="107">
        <f>'1.BillingDeterminants'!L33</f>
        <v>0.14670050320694042</v>
      </c>
      <c r="D7" s="108">
        <f>D5*C7</f>
        <v>-14858.781275327497</v>
      </c>
    </row>
    <row r="9" spans="1:8" s="10" customFormat="1" ht="45" x14ac:dyDescent="0.25">
      <c r="A9" s="93" t="s">
        <v>17</v>
      </c>
      <c r="B9" s="94" t="s">
        <v>18</v>
      </c>
      <c r="C9" s="94" t="s">
        <v>55</v>
      </c>
      <c r="D9" s="95" t="s">
        <v>56</v>
      </c>
      <c r="E9" s="96" t="s">
        <v>57</v>
      </c>
      <c r="F9" s="96" t="s">
        <v>62</v>
      </c>
      <c r="G9" s="94" t="s">
        <v>58</v>
      </c>
      <c r="H9" s="97" t="s">
        <v>59</v>
      </c>
    </row>
    <row r="10" spans="1:8" s="10" customFormat="1" x14ac:dyDescent="0.25">
      <c r="A10" s="113" t="s">
        <v>10</v>
      </c>
      <c r="B10" s="89"/>
      <c r="C10" s="89"/>
      <c r="D10" s="90"/>
      <c r="E10" s="91"/>
      <c r="F10" s="91"/>
      <c r="G10" s="89"/>
      <c r="H10" s="92"/>
    </row>
    <row r="11" spans="1:8" x14ac:dyDescent="0.25">
      <c r="A11" s="36" t="s">
        <v>28</v>
      </c>
      <c r="B11" s="5" t="str">
        <f>'1.BillingDeterminants'!B9</f>
        <v>kWh</v>
      </c>
      <c r="C11" s="6">
        <f>'1.BillingDeterminants'!M9</f>
        <v>0.53900594949608926</v>
      </c>
      <c r="D11" s="12">
        <f>$D$6*C11</f>
        <v>-46585.057376284014</v>
      </c>
      <c r="E11" s="13">
        <f>'1.BillingDeterminants'!D9</f>
        <v>207045763</v>
      </c>
      <c r="F11" s="13">
        <f>'1.BillingDeterminants'!E9</f>
        <v>0</v>
      </c>
      <c r="G11" s="14">
        <f>IF(D11=0," ",IF(B11="kWh",ROUND(D11/E11,4)," "))</f>
        <v>-2.0000000000000001E-4</v>
      </c>
      <c r="H11" s="87" t="str">
        <f>IF(D11=0," ",IF(B11="kW",ROUND(D11/F11,4)," "))</f>
        <v xml:space="preserve"> </v>
      </c>
    </row>
    <row r="12" spans="1:8" x14ac:dyDescent="0.25">
      <c r="A12" s="36" t="s">
        <v>36</v>
      </c>
      <c r="B12" s="5" t="str">
        <f>'1.BillingDeterminants'!B10</f>
        <v>kWh</v>
      </c>
      <c r="C12" s="6">
        <f>'1.BillingDeterminants'!M10</f>
        <v>0.15024548285462699</v>
      </c>
      <c r="D12" s="12">
        <f t="shared" ref="D12:D20" si="0">$D$6*C12</f>
        <v>-12985.375107368971</v>
      </c>
      <c r="E12" s="13">
        <f>'1.BillingDeterminants'!D10</f>
        <v>90210202</v>
      </c>
      <c r="F12" s="13">
        <f>'1.BillingDeterminants'!E10</f>
        <v>0</v>
      </c>
      <c r="G12" s="14">
        <f t="shared" ref="G12:G20" si="1">IF(D12=0," ",IF(B12="kWh",ROUND(D12/E12,4)," "))</f>
        <v>-1E-4</v>
      </c>
      <c r="H12" s="87" t="str">
        <f t="shared" ref="H12:H20" si="2">IF(D12=0," ",IF(B12="kW",ROUND(D12/F12,4)," "))</f>
        <v xml:space="preserve"> </v>
      </c>
    </row>
    <row r="13" spans="1:8" x14ac:dyDescent="0.25">
      <c r="A13" s="36" t="s">
        <v>37</v>
      </c>
      <c r="B13" s="5" t="str">
        <f>'1.BillingDeterminants'!B11</f>
        <v>kW</v>
      </c>
      <c r="C13" s="6">
        <f>'1.BillingDeterminants'!M11</f>
        <v>0.15114532682897336</v>
      </c>
      <c r="D13" s="12">
        <f t="shared" si="0"/>
        <v>-13063.146573924803</v>
      </c>
      <c r="E13" s="13">
        <f>'1.BillingDeterminants'!D11</f>
        <v>189939582</v>
      </c>
      <c r="F13" s="13">
        <f>'1.BillingDeterminants'!E11</f>
        <v>494092</v>
      </c>
      <c r="G13" s="14" t="str">
        <f t="shared" si="1"/>
        <v xml:space="preserve"> </v>
      </c>
      <c r="H13" s="87">
        <f t="shared" si="2"/>
        <v>-2.64E-2</v>
      </c>
    </row>
    <row r="14" spans="1:8" x14ac:dyDescent="0.25">
      <c r="A14" s="36" t="s">
        <v>38</v>
      </c>
      <c r="B14" s="5" t="str">
        <f>'1.BillingDeterminants'!B12</f>
        <v>kW</v>
      </c>
      <c r="C14" s="6">
        <f>'1.BillingDeterminants'!M12</f>
        <v>0.11891102700083456</v>
      </c>
      <c r="D14" s="12">
        <f t="shared" si="0"/>
        <v>-10277.209408700464</v>
      </c>
      <c r="E14" s="13">
        <f>'1.BillingDeterminants'!D12</f>
        <v>139888648</v>
      </c>
      <c r="F14" s="13">
        <f>'1.BillingDeterminants'!E12</f>
        <v>382377</v>
      </c>
      <c r="G14" s="14" t="str">
        <f t="shared" si="1"/>
        <v xml:space="preserve"> </v>
      </c>
      <c r="H14" s="87">
        <f t="shared" si="2"/>
        <v>-2.69E-2</v>
      </c>
    </row>
    <row r="15" spans="1:8" x14ac:dyDescent="0.25">
      <c r="A15" s="36" t="s">
        <v>29</v>
      </c>
      <c r="B15" s="5" t="str">
        <f>'1.BillingDeterminants'!B13</f>
        <v>kW</v>
      </c>
      <c r="C15" s="6">
        <f>'1.BillingDeterminants'!M13</f>
        <v>2.077234297980847E-2</v>
      </c>
      <c r="D15" s="12">
        <f t="shared" si="0"/>
        <v>-1795.3063235366922</v>
      </c>
      <c r="E15" s="13">
        <f>'1.BillingDeterminants'!D13</f>
        <v>32205190</v>
      </c>
      <c r="F15" s="13">
        <f>'1.BillingDeterminants'!E13</f>
        <v>87305</v>
      </c>
      <c r="G15" s="14" t="str">
        <f t="shared" si="1"/>
        <v xml:space="preserve"> </v>
      </c>
      <c r="H15" s="87">
        <f t="shared" si="2"/>
        <v>-2.06E-2</v>
      </c>
    </row>
    <row r="16" spans="1:8" x14ac:dyDescent="0.25">
      <c r="A16" s="36" t="s">
        <v>35</v>
      </c>
      <c r="B16" s="5" t="str">
        <f>'1.BillingDeterminants'!B14</f>
        <v>kW</v>
      </c>
      <c r="C16" s="6">
        <f>'1.BillingDeterminants'!M14</f>
        <v>0</v>
      </c>
      <c r="D16" s="12">
        <f t="shared" si="0"/>
        <v>0</v>
      </c>
      <c r="E16" s="13">
        <f>'1.BillingDeterminants'!D14</f>
        <v>0</v>
      </c>
      <c r="F16" s="13">
        <f>'1.BillingDeterminants'!E14</f>
        <v>0</v>
      </c>
      <c r="G16" s="14" t="str">
        <f t="shared" si="1"/>
        <v xml:space="preserve"> </v>
      </c>
      <c r="H16" s="87" t="str">
        <f t="shared" si="2"/>
        <v xml:space="preserve"> </v>
      </c>
    </row>
    <row r="17" spans="1:9" x14ac:dyDescent="0.25">
      <c r="A17" s="36" t="s">
        <v>30</v>
      </c>
      <c r="B17" s="5" t="str">
        <f>'1.BillingDeterminants'!B15</f>
        <v>kWh</v>
      </c>
      <c r="C17" s="6">
        <f>'1.BillingDeterminants'!M15</f>
        <v>1.7195339048420343E-3</v>
      </c>
      <c r="D17" s="12">
        <f t="shared" si="0"/>
        <v>-148.61540154133877</v>
      </c>
      <c r="E17" s="13">
        <f>'1.BillingDeterminants'!D15</f>
        <v>1081178</v>
      </c>
      <c r="F17" s="13">
        <f>'1.BillingDeterminants'!E15</f>
        <v>0</v>
      </c>
      <c r="G17" s="14">
        <f t="shared" si="1"/>
        <v>-1E-4</v>
      </c>
      <c r="H17" s="87" t="str">
        <f t="shared" si="2"/>
        <v xml:space="preserve"> </v>
      </c>
    </row>
    <row r="18" spans="1:9" x14ac:dyDescent="0.25">
      <c r="A18" s="36" t="s">
        <v>31</v>
      </c>
      <c r="B18" s="5" t="str">
        <f>'1.BillingDeterminants'!B16</f>
        <v>kW</v>
      </c>
      <c r="C18" s="6">
        <f>'1.BillingDeterminants'!M16</f>
        <v>0</v>
      </c>
      <c r="D18" s="12">
        <f t="shared" si="0"/>
        <v>0</v>
      </c>
      <c r="E18" s="13">
        <f>'1.BillingDeterminants'!D16</f>
        <v>0</v>
      </c>
      <c r="F18" s="13">
        <f>'1.BillingDeterminants'!E16</f>
        <v>0</v>
      </c>
      <c r="G18" s="14" t="str">
        <f t="shared" si="1"/>
        <v xml:space="preserve"> </v>
      </c>
      <c r="H18" s="87" t="str">
        <f t="shared" si="2"/>
        <v xml:space="preserve"> </v>
      </c>
    </row>
    <row r="19" spans="1:9" x14ac:dyDescent="0.25">
      <c r="A19" s="36" t="s">
        <v>32</v>
      </c>
      <c r="B19" s="5" t="str">
        <f>'1.BillingDeterminants'!B17</f>
        <v>kW</v>
      </c>
      <c r="C19" s="6">
        <f>'1.BillingDeterminants'!M17</f>
        <v>2.2500681314531726E-3</v>
      </c>
      <c r="D19" s="12">
        <f t="shared" si="0"/>
        <v>-194.46826719127841</v>
      </c>
      <c r="E19" s="13">
        <f>'1.BillingDeterminants'!D17</f>
        <v>347118</v>
      </c>
      <c r="F19" s="13">
        <f>'1.BillingDeterminants'!E17</f>
        <v>1079</v>
      </c>
      <c r="G19" s="14" t="str">
        <f t="shared" si="1"/>
        <v xml:space="preserve"> </v>
      </c>
      <c r="H19" s="87">
        <f t="shared" si="2"/>
        <v>-0.1802</v>
      </c>
    </row>
    <row r="20" spans="1:9" x14ac:dyDescent="0.25">
      <c r="A20" s="38" t="s">
        <v>33</v>
      </c>
      <c r="B20" s="21" t="str">
        <f>'1.BillingDeterminants'!B18</f>
        <v>kW</v>
      </c>
      <c r="C20" s="65">
        <f>'1.BillingDeterminants'!M18</f>
        <v>1.5950268803372265E-2</v>
      </c>
      <c r="D20" s="22">
        <f t="shared" si="0"/>
        <v>-1378.5454280549477</v>
      </c>
      <c r="E20" s="32">
        <f>'1.BillingDeterminants'!D18</f>
        <v>5757195</v>
      </c>
      <c r="F20" s="32">
        <f>'1.BillingDeterminants'!E18</f>
        <v>18365</v>
      </c>
      <c r="G20" s="33" t="str">
        <f t="shared" si="1"/>
        <v xml:space="preserve"> </v>
      </c>
      <c r="H20" s="98">
        <f t="shared" si="2"/>
        <v>-7.51E-2</v>
      </c>
    </row>
    <row r="21" spans="1:9" ht="15.75" thickBot="1" x14ac:dyDescent="0.3">
      <c r="A21" s="40" t="s">
        <v>12</v>
      </c>
      <c r="B21" s="28"/>
      <c r="C21" s="99">
        <f>SUM(C11:C20)</f>
        <v>1.0000000000000002</v>
      </c>
      <c r="D21" s="30">
        <f>SUM(D11:D20)</f>
        <v>-86427.7238866025</v>
      </c>
      <c r="E21" s="29"/>
      <c r="F21" s="29"/>
      <c r="G21" s="28"/>
      <c r="H21" s="100"/>
    </row>
    <row r="22" spans="1:9" ht="15.75" thickTop="1" x14ac:dyDescent="0.25">
      <c r="A22" s="34" t="s">
        <v>9</v>
      </c>
      <c r="B22" s="16"/>
      <c r="C22" s="16"/>
      <c r="D22" s="17"/>
      <c r="E22" s="18"/>
      <c r="F22" s="18"/>
      <c r="G22" s="16"/>
      <c r="H22" s="88"/>
    </row>
    <row r="23" spans="1:9" x14ac:dyDescent="0.25">
      <c r="A23" s="36" t="s">
        <v>28</v>
      </c>
      <c r="B23" s="5" t="str">
        <f>'1.BillingDeterminants'!B22</f>
        <v>kWh</v>
      </c>
      <c r="C23" s="6">
        <f>'1.BillingDeterminants'!M22</f>
        <v>0.73295343562367388</v>
      </c>
      <c r="D23" s="12">
        <f>$D$7*C23</f>
        <v>-10890.794784932004</v>
      </c>
      <c r="E23" s="13">
        <f>'1.BillingDeterminants'!D22</f>
        <v>58904267</v>
      </c>
      <c r="F23" s="13">
        <f>'1.BillingDeterminants'!E22</f>
        <v>0</v>
      </c>
      <c r="G23" s="14">
        <f>IF(D23=0," ",IF(B23="kWh",ROUND(D23/E23,4)," "))</f>
        <v>-2.0000000000000001E-4</v>
      </c>
      <c r="H23" s="87" t="str">
        <f>IF(D23=0," ",IF(B23="kW",ROUND(D23/F23,4)," "))</f>
        <v xml:space="preserve"> </v>
      </c>
      <c r="I23" s="9"/>
    </row>
    <row r="24" spans="1:9" x14ac:dyDescent="0.25">
      <c r="A24" s="36" t="s">
        <v>36</v>
      </c>
      <c r="B24" s="5" t="str">
        <f>'1.BillingDeterminants'!B23</f>
        <v>kWh</v>
      </c>
      <c r="C24" s="6">
        <f>'1.BillingDeterminants'!M23</f>
        <v>9.1213154528645077E-2</v>
      </c>
      <c r="D24" s="12">
        <f t="shared" ref="D24:D32" si="3">$D$7*C24</f>
        <v>-1355.3163125737849</v>
      </c>
      <c r="E24" s="13">
        <f>'1.BillingDeterminants'!D23</f>
        <v>17998806</v>
      </c>
      <c r="F24" s="13">
        <f>'1.BillingDeterminants'!E23</f>
        <v>0</v>
      </c>
      <c r="G24" s="14">
        <f t="shared" ref="G24:G32" si="4">IF(D24=0," ",IF(B24="kWh",ROUND(D24/E24,4)," "))</f>
        <v>-1E-4</v>
      </c>
      <c r="H24" s="87" t="str">
        <f t="shared" ref="H24:H32" si="5">IF(D24=0," ",IF(B24="kW",ROUND(D24/F24,4)," "))</f>
        <v xml:space="preserve"> </v>
      </c>
      <c r="I24" s="9"/>
    </row>
    <row r="25" spans="1:9" x14ac:dyDescent="0.25">
      <c r="A25" s="36" t="s">
        <v>37</v>
      </c>
      <c r="B25" s="5" t="str">
        <f>'1.BillingDeterminants'!B24</f>
        <v>kW</v>
      </c>
      <c r="C25" s="6">
        <f>'1.BillingDeterminants'!M24</f>
        <v>0.1521282255222437</v>
      </c>
      <c r="D25" s="12">
        <f t="shared" si="3"/>
        <v>-2260.4400288387133</v>
      </c>
      <c r="E25" s="13">
        <f>'1.BillingDeterminants'!D24</f>
        <v>91846588</v>
      </c>
      <c r="F25" s="13">
        <f>'1.BillingDeterminants'!E24</f>
        <v>235476</v>
      </c>
      <c r="G25" s="14" t="str">
        <f t="shared" si="4"/>
        <v xml:space="preserve"> </v>
      </c>
      <c r="H25" s="87">
        <f t="shared" si="5"/>
        <v>-9.5999999999999992E-3</v>
      </c>
      <c r="I25" s="9"/>
    </row>
    <row r="26" spans="1:9" x14ac:dyDescent="0.25">
      <c r="A26" s="36" t="s">
        <v>38</v>
      </c>
      <c r="B26" s="5" t="str">
        <f>'1.BillingDeterminants'!B25</f>
        <v>kW</v>
      </c>
      <c r="C26" s="6">
        <f>'1.BillingDeterminants'!M25</f>
        <v>0</v>
      </c>
      <c r="D26" s="12">
        <f t="shared" si="3"/>
        <v>0</v>
      </c>
      <c r="E26" s="13">
        <f>'1.BillingDeterminants'!D25</f>
        <v>0</v>
      </c>
      <c r="F26" s="13">
        <f>'1.BillingDeterminants'!E25</f>
        <v>0</v>
      </c>
      <c r="G26" s="14" t="str">
        <f t="shared" si="4"/>
        <v xml:space="preserve"> </v>
      </c>
      <c r="H26" s="87" t="str">
        <f t="shared" si="5"/>
        <v xml:space="preserve"> </v>
      </c>
    </row>
    <row r="27" spans="1:9" x14ac:dyDescent="0.25">
      <c r="A27" s="36" t="s">
        <v>29</v>
      </c>
      <c r="B27" s="5" t="str">
        <f>'1.BillingDeterminants'!B26</f>
        <v>kW</v>
      </c>
      <c r="C27" s="6">
        <f>'1.BillingDeterminants'!M26</f>
        <v>0</v>
      </c>
      <c r="D27" s="12">
        <f t="shared" si="3"/>
        <v>0</v>
      </c>
      <c r="E27" s="13">
        <f>'1.BillingDeterminants'!D26</f>
        <v>0</v>
      </c>
      <c r="F27" s="13">
        <f>'1.BillingDeterminants'!E26</f>
        <v>0</v>
      </c>
      <c r="G27" s="14" t="str">
        <f t="shared" si="4"/>
        <v xml:space="preserve"> </v>
      </c>
      <c r="H27" s="87" t="str">
        <f t="shared" si="5"/>
        <v xml:space="preserve"> </v>
      </c>
    </row>
    <row r="28" spans="1:9" x14ac:dyDescent="0.25">
      <c r="A28" s="36" t="s">
        <v>35</v>
      </c>
      <c r="B28" s="5" t="str">
        <f>'1.BillingDeterminants'!B27</f>
        <v>kW</v>
      </c>
      <c r="C28" s="6">
        <f>'1.BillingDeterminants'!M27</f>
        <v>1.8519449253722571E-2</v>
      </c>
      <c r="D28" s="12">
        <f t="shared" si="3"/>
        <v>-275.17644580059073</v>
      </c>
      <c r="E28" s="13">
        <f>'1.BillingDeterminants'!D27</f>
        <v>29034336</v>
      </c>
      <c r="F28" s="13">
        <f>'1.BillingDeterminants'!E27</f>
        <v>56098</v>
      </c>
      <c r="G28" s="14" t="str">
        <f t="shared" si="4"/>
        <v xml:space="preserve"> </v>
      </c>
      <c r="H28" s="87">
        <f t="shared" si="5"/>
        <v>-4.8999999999999998E-3</v>
      </c>
      <c r="I28" s="9"/>
    </row>
    <row r="29" spans="1:9" x14ac:dyDescent="0.25">
      <c r="A29" s="36" t="s">
        <v>30</v>
      </c>
      <c r="B29" s="5" t="str">
        <f>'1.BillingDeterminants'!B28</f>
        <v>kWh</v>
      </c>
      <c r="C29" s="6">
        <f>'1.BillingDeterminants'!M28</f>
        <v>2.8361637914165721E-3</v>
      </c>
      <c r="D29" s="12">
        <f t="shared" si="3"/>
        <v>-42.141937437662406</v>
      </c>
      <c r="E29" s="13">
        <f>'1.BillingDeterminants'!D28</f>
        <v>311683</v>
      </c>
      <c r="F29" s="13">
        <f>'1.BillingDeterminants'!E28</f>
        <v>0</v>
      </c>
      <c r="G29" s="14">
        <f t="shared" si="4"/>
        <v>-1E-4</v>
      </c>
      <c r="H29" s="87" t="str">
        <f t="shared" si="5"/>
        <v xml:space="preserve"> </v>
      </c>
      <c r="I29" s="9"/>
    </row>
    <row r="30" spans="1:9" x14ac:dyDescent="0.25">
      <c r="A30" s="36" t="s">
        <v>31</v>
      </c>
      <c r="B30" s="5" t="str">
        <f>'1.BillingDeterminants'!B29</f>
        <v>kW</v>
      </c>
      <c r="C30" s="6">
        <f>'1.BillingDeterminants'!M29</f>
        <v>0</v>
      </c>
      <c r="D30" s="12">
        <f t="shared" si="3"/>
        <v>0</v>
      </c>
      <c r="E30" s="13">
        <f>'1.BillingDeterminants'!D29</f>
        <v>0</v>
      </c>
      <c r="F30" s="13">
        <f>'1.BillingDeterminants'!E29</f>
        <v>0</v>
      </c>
      <c r="G30" s="14" t="str">
        <f t="shared" si="4"/>
        <v xml:space="preserve"> </v>
      </c>
      <c r="H30" s="87" t="str">
        <f t="shared" si="5"/>
        <v xml:space="preserve"> </v>
      </c>
    </row>
    <row r="31" spans="1:9" x14ac:dyDescent="0.25">
      <c r="A31" s="36" t="s">
        <v>32</v>
      </c>
      <c r="B31" s="5" t="str">
        <f>'1.BillingDeterminants'!B30</f>
        <v>kW</v>
      </c>
      <c r="C31" s="6">
        <f>'1.BillingDeterminants'!M30</f>
        <v>8.4972711821813094E-5</v>
      </c>
      <c r="D31" s="12">
        <f t="shared" si="3"/>
        <v>-1.2625909393317558</v>
      </c>
      <c r="E31" s="13">
        <f>'1.BillingDeterminants'!D30</f>
        <v>42724</v>
      </c>
      <c r="F31" s="13">
        <f>'1.BillingDeterminants'!E30</f>
        <v>119</v>
      </c>
      <c r="G31" s="14" t="str">
        <f t="shared" si="4"/>
        <v xml:space="preserve"> </v>
      </c>
      <c r="H31" s="87">
        <f t="shared" si="5"/>
        <v>-1.06E-2</v>
      </c>
      <c r="I31" s="9"/>
    </row>
    <row r="32" spans="1:9" x14ac:dyDescent="0.25">
      <c r="A32" s="38" t="s">
        <v>33</v>
      </c>
      <c r="B32" s="21" t="str">
        <f>'1.BillingDeterminants'!B31</f>
        <v>kW</v>
      </c>
      <c r="C32" s="65">
        <f>'1.BillingDeterminants'!M31</f>
        <v>2.2645985684762011E-3</v>
      </c>
      <c r="D32" s="22">
        <f t="shared" si="3"/>
        <v>-33.649174805407633</v>
      </c>
      <c r="E32" s="32">
        <f>'1.BillingDeterminants'!D31</f>
        <v>1458103</v>
      </c>
      <c r="F32" s="32">
        <f>'1.BillingDeterminants'!E31</f>
        <v>4316</v>
      </c>
      <c r="G32" s="33" t="str">
        <f t="shared" si="4"/>
        <v xml:space="preserve"> </v>
      </c>
      <c r="H32" s="98">
        <f t="shared" si="5"/>
        <v>-7.7999999999999996E-3</v>
      </c>
      <c r="I32" s="9"/>
    </row>
    <row r="33" spans="1:8" ht="15.75" thickBot="1" x14ac:dyDescent="0.3">
      <c r="A33" s="40" t="s">
        <v>12</v>
      </c>
      <c r="B33" s="28"/>
      <c r="C33" s="99">
        <f>SUM(C23:C32)</f>
        <v>0.99999999999999989</v>
      </c>
      <c r="D33" s="30">
        <f>SUM(D23:D32)</f>
        <v>-14858.781275327494</v>
      </c>
      <c r="E33" s="29"/>
      <c r="F33" s="29"/>
      <c r="G33" s="28"/>
      <c r="H33" s="100"/>
    </row>
    <row r="34" spans="1:8" ht="15.75" thickTop="1" x14ac:dyDescent="0.25"/>
    <row r="35" spans="1:8" x14ac:dyDescent="0.25">
      <c r="A35" s="10"/>
      <c r="B35" s="10"/>
    </row>
    <row r="36" spans="1:8" x14ac:dyDescent="0.25">
      <c r="C36" s="3"/>
      <c r="G36" s="9"/>
      <c r="H36" s="9"/>
    </row>
    <row r="37" spans="1:8" x14ac:dyDescent="0.25">
      <c r="C37" s="3"/>
      <c r="G37" s="9"/>
      <c r="H37" s="9"/>
    </row>
    <row r="38" spans="1:8" x14ac:dyDescent="0.25">
      <c r="C38" s="3"/>
      <c r="G38" s="9"/>
      <c r="H38" s="9"/>
    </row>
    <row r="39" spans="1:8" x14ac:dyDescent="0.25">
      <c r="C39" s="3"/>
      <c r="G39" s="9"/>
      <c r="H39" s="9"/>
    </row>
    <row r="40" spans="1:8" x14ac:dyDescent="0.25">
      <c r="C40" s="3"/>
      <c r="G40" s="9"/>
      <c r="H40" s="9"/>
    </row>
    <row r="41" spans="1:8" x14ac:dyDescent="0.25">
      <c r="C41" s="3"/>
      <c r="G41" s="9"/>
      <c r="H41" s="9"/>
    </row>
    <row r="42" spans="1:8" x14ac:dyDescent="0.25">
      <c r="C42" s="3"/>
      <c r="G42" s="9"/>
      <c r="H42" s="9"/>
    </row>
    <row r="43" spans="1:8" x14ac:dyDescent="0.25">
      <c r="C43" s="3"/>
      <c r="G43" s="9"/>
      <c r="H43" s="9"/>
    </row>
    <row r="44" spans="1:8" x14ac:dyDescent="0.25">
      <c r="C44" s="3"/>
      <c r="G44" s="9"/>
      <c r="H44" s="9"/>
    </row>
    <row r="45" spans="1:8" x14ac:dyDescent="0.25">
      <c r="C45" s="3"/>
      <c r="G45" s="9"/>
      <c r="H45" s="9"/>
    </row>
    <row r="46" spans="1:8" x14ac:dyDescent="0.25">
      <c r="C46" s="11"/>
    </row>
  </sheetData>
  <pageMargins left="1" right="1" top="1" bottom="1" header="0.3" footer="0.3"/>
  <pageSetup scale="89" orientation="landscape" r:id="rId1"/>
  <headerFooter>
    <oddFooter>&amp;L&amp;F
Tab: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1.BillingDeterminants</vt:lpstr>
      <vt:lpstr>2. Tax Savings</vt:lpstr>
      <vt:lpstr>3. Rate Rider Calculation</vt:lpstr>
      <vt:lpstr>'1.BillingDeterminants'!Print_Area</vt:lpstr>
      <vt:lpstr>'2. Tax Savings'!Print_Area</vt:lpstr>
      <vt:lpstr>'3. Rate Rider Calculation'!Print_Area</vt:lpstr>
    </vt:vector>
  </TitlesOfParts>
  <Company>Municipality of Chatham-Kent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Susi Vogt</cp:lastModifiedBy>
  <cp:lastPrinted>2012-09-14T14:45:32Z</cp:lastPrinted>
  <dcterms:created xsi:type="dcterms:W3CDTF">2012-07-31T12:39:24Z</dcterms:created>
  <dcterms:modified xsi:type="dcterms:W3CDTF">2013-04-02T13:29:56Z</dcterms:modified>
</cp:coreProperties>
</file>