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5" windowWidth="19035" windowHeight="11640" tabRatio="937" firstSheet="1" activeTab="9"/>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Info'!$A$1:$J$39</definedName>
    <definedName name="_xlnm.Print_Area" localSheetId="9">'10. Adj Conn. to Current WS'!$B$1:$R$50</definedName>
    <definedName name="_xlnm.Print_Area" localSheetId="10">'11. Adj Network to Forecast WS'!$B$1:$R$50</definedName>
    <definedName name="_xlnm.Print_Area" localSheetId="11">'12. Adj Conn. to Forecast WS'!$B$1:$R$50</definedName>
    <definedName name="_xlnm.Print_Area" localSheetId="12">'13. Final 2013 RTS Rates'!$B$1:$N$53</definedName>
    <definedName name="_xlnm.Print_Area" localSheetId="1">'2. Table of Contents'!$A$1:$O$41</definedName>
    <definedName name="_xlnm.Print_Area" localSheetId="2">'3. Rate Classes'!$B$1:$V$54</definedName>
    <definedName name="_xlnm.Print_Area" localSheetId="3">'4. RRR Data'!$A$1:$M$51</definedName>
    <definedName name="_xlnm.Print_Area" localSheetId="4">'5. UTRs and Sub-Transmission'!$A$1:$J$59</definedName>
    <definedName name="_xlnm.Print_Area" localSheetId="5">'6. Historical Wholesale'!$B$1:$P$76</definedName>
    <definedName name="_xlnm.Print_Area" localSheetId="6">'7. Current Wholesale'!$B$1:$P$76</definedName>
    <definedName name="_xlnm.Print_Area" localSheetId="7">'8. Forecast Wholesale'!$B$1:$P$76</definedName>
    <definedName name="_xlnm.Print_Area" localSheetId="8">'9. Adj Network to Current WS'!$B$1:$R$50</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B29" i="4"/>
  <c r="D29" i="4" s="1"/>
  <c r="J29" i="4" s="1"/>
  <c r="Q27" i="3"/>
  <c r="B28" i="14"/>
  <c r="B30" i="4"/>
  <c r="L30" i="4"/>
  <c r="Q28" i="3"/>
  <c r="B29" i="14"/>
  <c r="B31" i="4"/>
  <c r="L31" i="4"/>
  <c r="L32" i="4"/>
  <c r="D30" i="4"/>
  <c r="J30" i="4" s="1"/>
  <c r="D31" i="4"/>
  <c r="L33" i="4"/>
  <c r="L34" i="4"/>
  <c r="L35" i="4"/>
  <c r="L36" i="4"/>
  <c r="L37" i="4"/>
  <c r="L38" i="4"/>
  <c r="L39" i="4"/>
  <c r="L40" i="4"/>
  <c r="L41" i="4"/>
  <c r="L42" i="4"/>
  <c r="L43" i="4"/>
  <c r="L44" i="4"/>
  <c r="L45" i="4"/>
  <c r="L46" i="4"/>
  <c r="L47" i="4"/>
  <c r="L48" i="4"/>
  <c r="Q29" i="3"/>
  <c r="B30" i="14" s="1"/>
  <c r="Q30" i="3"/>
  <c r="B31" i="14" s="1"/>
  <c r="D31" i="14" s="1"/>
  <c r="Q31" i="3"/>
  <c r="B32" i="14" s="1"/>
  <c r="Q32" i="3"/>
  <c r="B33" i="14" s="1"/>
  <c r="F33" i="14" s="1"/>
  <c r="L33" i="14" s="1"/>
  <c r="A1" i="5"/>
  <c r="A2" i="5"/>
  <c r="A3" i="5"/>
  <c r="A4" i="5"/>
  <c r="A5" i="5"/>
  <c r="A7" i="5"/>
  <c r="F27" i="14"/>
  <c r="D27" i="14"/>
  <c r="F28" i="14"/>
  <c r="D28" i="14"/>
  <c r="F29" i="14"/>
  <c r="D29" i="14"/>
  <c r="F31" i="14"/>
  <c r="D33" i="14"/>
  <c r="R33" i="14" s="1"/>
  <c r="D24" i="8"/>
  <c r="E24" i="8"/>
  <c r="D43" i="8"/>
  <c r="E43" i="8"/>
  <c r="E44" i="8" s="1"/>
  <c r="D25" i="8"/>
  <c r="D44" i="8"/>
  <c r="D26" i="8"/>
  <c r="D45" i="8"/>
  <c r="D27" i="8"/>
  <c r="D46" i="8"/>
  <c r="D28" i="8"/>
  <c r="D47" i="8"/>
  <c r="D29" i="8"/>
  <c r="D48" i="8"/>
  <c r="D30" i="8"/>
  <c r="D49" i="8"/>
  <c r="D31" i="8"/>
  <c r="D50" i="8"/>
  <c r="D32" i="8"/>
  <c r="D51" i="8"/>
  <c r="D33" i="8"/>
  <c r="D52" i="8"/>
  <c r="D34" i="8"/>
  <c r="D53" i="8"/>
  <c r="D35" i="8"/>
  <c r="D54" i="8"/>
  <c r="B26" i="16"/>
  <c r="D26" i="16" s="1"/>
  <c r="B27" i="16"/>
  <c r="D27" i="16" s="1"/>
  <c r="B28" i="16"/>
  <c r="D28" i="16" s="1"/>
  <c r="B29" i="16"/>
  <c r="D29" i="16" s="1"/>
  <c r="B30" i="16"/>
  <c r="D30" i="16" s="1"/>
  <c r="B31" i="16"/>
  <c r="D31" i="16" s="1"/>
  <c r="B32" i="16"/>
  <c r="D32" i="16" s="1"/>
  <c r="B33" i="16"/>
  <c r="D33" i="16" s="1"/>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5" i="17"/>
  <c r="D25" i="17" s="1"/>
  <c r="B25" i="15"/>
  <c r="F25" i="15" s="1"/>
  <c r="B26" i="15"/>
  <c r="F26" i="15" s="1"/>
  <c r="B27" i="15"/>
  <c r="F27" i="15" s="1"/>
  <c r="B28" i="15"/>
  <c r="F28" i="15" s="1"/>
  <c r="B29" i="15"/>
  <c r="F29" i="15" s="1"/>
  <c r="B30" i="15"/>
  <c r="F30" i="15" s="1"/>
  <c r="B31" i="15"/>
  <c r="F31" i="15" s="1"/>
  <c r="B32" i="15"/>
  <c r="F32" i="15" s="1"/>
  <c r="B33" i="15"/>
  <c r="F33" i="15" s="1"/>
  <c r="L33" i="15" s="1"/>
  <c r="H24" i="8"/>
  <c r="I24" i="8"/>
  <c r="H43" i="8"/>
  <c r="I43" i="8"/>
  <c r="L24" i="8"/>
  <c r="M24" i="8"/>
  <c r="L43" i="8"/>
  <c r="M43" i="8"/>
  <c r="H25" i="8"/>
  <c r="H44" i="8"/>
  <c r="L25" i="8"/>
  <c r="L44" i="8"/>
  <c r="H26" i="8"/>
  <c r="H45" i="8"/>
  <c r="L26" i="8"/>
  <c r="L45" i="8"/>
  <c r="H27" i="8"/>
  <c r="H46" i="8"/>
  <c r="L27" i="8"/>
  <c r="L46" i="8"/>
  <c r="H28" i="8"/>
  <c r="H47" i="8"/>
  <c r="L28" i="8"/>
  <c r="L47" i="8"/>
  <c r="H29" i="8"/>
  <c r="H48" i="8"/>
  <c r="L29" i="8"/>
  <c r="L48" i="8"/>
  <c r="H30" i="8"/>
  <c r="H49" i="8"/>
  <c r="L30" i="8"/>
  <c r="L49" i="8"/>
  <c r="H31" i="8"/>
  <c r="H50" i="8"/>
  <c r="L31" i="8"/>
  <c r="L50" i="8"/>
  <c r="H32" i="8"/>
  <c r="H51" i="8"/>
  <c r="L32" i="8"/>
  <c r="L51" i="8"/>
  <c r="H33" i="8"/>
  <c r="H52" i="8"/>
  <c r="L33" i="8"/>
  <c r="L52" i="8"/>
  <c r="H34" i="8"/>
  <c r="H53" i="8"/>
  <c r="L34" i="8"/>
  <c r="L53" i="8"/>
  <c r="H35" i="8"/>
  <c r="H54" i="8"/>
  <c r="L35" i="8"/>
  <c r="L54" i="8"/>
  <c r="B26" i="17"/>
  <c r="D26" i="17" s="1"/>
  <c r="B27" i="17"/>
  <c r="D27" i="17" s="1"/>
  <c r="B28" i="17"/>
  <c r="D28" i="17" s="1"/>
  <c r="B29" i="17"/>
  <c r="D29" i="17" s="1"/>
  <c r="B30" i="17"/>
  <c r="D30" i="17" s="1"/>
  <c r="B31" i="17"/>
  <c r="D31" i="17" s="1"/>
  <c r="B32" i="17"/>
  <c r="D32" i="17" s="1"/>
  <c r="B33" i="17"/>
  <c r="D33" i="17" s="1"/>
  <c r="R33" i="17" s="1"/>
  <c r="H24" i="12"/>
  <c r="I24" i="12"/>
  <c r="H43" i="12"/>
  <c r="I43" i="12"/>
  <c r="L24" i="12"/>
  <c r="M24" i="12"/>
  <c r="L43" i="12"/>
  <c r="L62" i="12" s="1"/>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28" i="18"/>
  <c r="D28" i="18" s="1"/>
  <c r="B29" i="18"/>
  <c r="D29" i="18" s="1"/>
  <c r="B30" i="18"/>
  <c r="D30" i="18" s="1"/>
  <c r="B31" i="18"/>
  <c r="D31" i="18" s="1"/>
  <c r="B32" i="18"/>
  <c r="D32" i="18" s="1"/>
  <c r="B33" i="18"/>
  <c r="D33" i="18" s="1"/>
  <c r="B34" i="18"/>
  <c r="D34" i="18" s="1"/>
  <c r="D37" i="12"/>
  <c r="L37" i="12"/>
  <c r="D56" i="12"/>
  <c r="D62" i="12"/>
  <c r="H62" i="12"/>
  <c r="D63" i="12"/>
  <c r="D64" i="12"/>
  <c r="D65" i="12"/>
  <c r="D66" i="12"/>
  <c r="D67" i="12"/>
  <c r="D68" i="12"/>
  <c r="D69" i="12"/>
  <c r="D70" i="12"/>
  <c r="D71" i="12"/>
  <c r="D72" i="12"/>
  <c r="D73" i="12"/>
  <c r="D37" i="8"/>
  <c r="H37" i="8"/>
  <c r="L37" i="8"/>
  <c r="D56" i="8"/>
  <c r="H56" i="8"/>
  <c r="L56" i="8"/>
  <c r="D62" i="8"/>
  <c r="H62" i="8"/>
  <c r="L62" i="8"/>
  <c r="D63" i="8"/>
  <c r="H63" i="8"/>
  <c r="L63" i="8"/>
  <c r="D64" i="8"/>
  <c r="H64" i="8"/>
  <c r="L64" i="8"/>
  <c r="D65" i="8"/>
  <c r="H65" i="8"/>
  <c r="L65" i="8"/>
  <c r="D66" i="8"/>
  <c r="H66" i="8"/>
  <c r="L66" i="8"/>
  <c r="D67" i="8"/>
  <c r="H67" i="8"/>
  <c r="L67" i="8"/>
  <c r="D68" i="8"/>
  <c r="H68" i="8"/>
  <c r="L68" i="8"/>
  <c r="D69" i="8"/>
  <c r="H69" i="8"/>
  <c r="L69" i="8"/>
  <c r="D70" i="8"/>
  <c r="H70" i="8"/>
  <c r="L70" i="8"/>
  <c r="D71" i="8"/>
  <c r="H71" i="8"/>
  <c r="L71" i="8"/>
  <c r="D72" i="8"/>
  <c r="H72" i="8"/>
  <c r="L72" i="8"/>
  <c r="D73" i="8"/>
  <c r="H73" i="8"/>
  <c r="L73" i="8"/>
  <c r="E24" i="9"/>
  <c r="I24" i="9"/>
  <c r="M24" i="9"/>
  <c r="P24" i="9"/>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H37" i="9"/>
  <c r="J37" i="9"/>
  <c r="L37" i="9"/>
  <c r="N37" i="9"/>
  <c r="E43" i="9"/>
  <c r="I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F56" i="9"/>
  <c r="H56" i="9"/>
  <c r="J56" i="9"/>
  <c r="I56" i="9"/>
  <c r="L56" i="9"/>
  <c r="N56" i="9"/>
  <c r="D62" i="9"/>
  <c r="F62" i="9"/>
  <c r="E62" i="9" s="1"/>
  <c r="H62" i="9"/>
  <c r="J62" i="9"/>
  <c r="L62" i="9"/>
  <c r="N62" i="9"/>
  <c r="D63" i="9"/>
  <c r="F63" i="9"/>
  <c r="H63" i="9"/>
  <c r="J63" i="9"/>
  <c r="I63" i="9" s="1"/>
  <c r="L63" i="9"/>
  <c r="N63" i="9"/>
  <c r="D64" i="9"/>
  <c r="F64" i="9"/>
  <c r="H64" i="9"/>
  <c r="J64" i="9"/>
  <c r="L64" i="9"/>
  <c r="N64" i="9"/>
  <c r="D65" i="9"/>
  <c r="F65" i="9"/>
  <c r="H65" i="9"/>
  <c r="J65" i="9"/>
  <c r="L65" i="9"/>
  <c r="N65" i="9"/>
  <c r="D66" i="9"/>
  <c r="F66" i="9"/>
  <c r="H66" i="9"/>
  <c r="J66" i="9"/>
  <c r="I66" i="9" s="1"/>
  <c r="L66" i="9"/>
  <c r="N66" i="9"/>
  <c r="D67" i="9"/>
  <c r="F67" i="9"/>
  <c r="H67" i="9"/>
  <c r="J67" i="9"/>
  <c r="I67" i="9" s="1"/>
  <c r="L67" i="9"/>
  <c r="N67" i="9"/>
  <c r="D68" i="9"/>
  <c r="F68" i="9"/>
  <c r="E68" i="9" s="1"/>
  <c r="H68" i="9"/>
  <c r="J68" i="9"/>
  <c r="I68" i="9" s="1"/>
  <c r="L68" i="9"/>
  <c r="N68" i="9"/>
  <c r="D69" i="9"/>
  <c r="F69" i="9"/>
  <c r="H69" i="9"/>
  <c r="J69" i="9"/>
  <c r="I69" i="9" s="1"/>
  <c r="L69" i="9"/>
  <c r="N69" i="9"/>
  <c r="D70" i="9"/>
  <c r="F70" i="9"/>
  <c r="E70" i="9" s="1"/>
  <c r="H70" i="9"/>
  <c r="J70" i="9"/>
  <c r="I70" i="9" s="1"/>
  <c r="L70" i="9"/>
  <c r="N70" i="9"/>
  <c r="D71" i="9"/>
  <c r="F71" i="9"/>
  <c r="H71" i="9"/>
  <c r="J71" i="9"/>
  <c r="I71" i="9" s="1"/>
  <c r="L71" i="9"/>
  <c r="N71" i="9"/>
  <c r="D72" i="9"/>
  <c r="F72" i="9"/>
  <c r="E72" i="9" s="1"/>
  <c r="H72" i="9"/>
  <c r="J72" i="9"/>
  <c r="I72" i="9" s="1"/>
  <c r="L72" i="9"/>
  <c r="N72" i="9"/>
  <c r="M72" i="9" s="1"/>
  <c r="D73" i="9"/>
  <c r="F73" i="9"/>
  <c r="E73" i="9" s="1"/>
  <c r="H73" i="9"/>
  <c r="J73" i="9"/>
  <c r="I73" i="9" s="1"/>
  <c r="L73" i="9"/>
  <c r="N73" i="9"/>
  <c r="M73" i="9" s="1"/>
  <c r="E41" i="6"/>
  <c r="G41" i="6"/>
  <c r="I41" i="6"/>
  <c r="E57" i="6"/>
  <c r="G57" i="6"/>
  <c r="I57" i="6"/>
  <c r="J27" i="4"/>
  <c r="J28" i="4"/>
  <c r="J31" i="4"/>
  <c r="J32"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S46" i="3"/>
  <c r="E66" i="9" l="1"/>
  <c r="E65" i="9"/>
  <c r="F75" i="9"/>
  <c r="E56" i="9"/>
  <c r="M37" i="9"/>
  <c r="I37" i="9"/>
  <c r="E37" i="9"/>
  <c r="E63" i="9"/>
  <c r="M62" i="9"/>
  <c r="M56" i="9"/>
  <c r="M71" i="9"/>
  <c r="M70" i="9"/>
  <c r="M69" i="9"/>
  <c r="M68" i="9"/>
  <c r="M67" i="9"/>
  <c r="M65" i="9"/>
  <c r="M64" i="9"/>
  <c r="I64" i="9"/>
  <c r="P56" i="9"/>
  <c r="I65" i="9"/>
  <c r="H56" i="12"/>
  <c r="I62" i="9"/>
  <c r="E71" i="9"/>
  <c r="E69" i="9"/>
  <c r="E67" i="9"/>
  <c r="E64" i="9"/>
  <c r="M66" i="9"/>
  <c r="N75" i="9"/>
  <c r="M63" i="9"/>
  <c r="P37" i="9"/>
  <c r="H75" i="8"/>
  <c r="H75" i="9"/>
  <c r="H37" i="12"/>
  <c r="P73" i="9"/>
  <c r="P71" i="9"/>
  <c r="P69" i="9"/>
  <c r="P67" i="9"/>
  <c r="P65" i="9"/>
  <c r="L75" i="9"/>
  <c r="P63" i="9"/>
  <c r="D75" i="9"/>
  <c r="E75" i="9" s="1"/>
  <c r="L73" i="12"/>
  <c r="H73" i="12"/>
  <c r="L72" i="12"/>
  <c r="H72" i="12"/>
  <c r="L71" i="12"/>
  <c r="H71" i="12"/>
  <c r="L70" i="12"/>
  <c r="H70" i="12"/>
  <c r="L69" i="12"/>
  <c r="H69" i="12"/>
  <c r="L68" i="12"/>
  <c r="H68" i="12"/>
  <c r="L67" i="12"/>
  <c r="H67" i="12"/>
  <c r="L66" i="12"/>
  <c r="H66" i="12"/>
  <c r="L65" i="12"/>
  <c r="H65" i="12"/>
  <c r="L64" i="12"/>
  <c r="H64" i="12"/>
  <c r="L56" i="12"/>
  <c r="N24" i="12"/>
  <c r="J43" i="12"/>
  <c r="J24" i="12"/>
  <c r="N24" i="8"/>
  <c r="J43" i="8"/>
  <c r="F43" i="12"/>
  <c r="F24" i="12"/>
  <c r="B28" i="4"/>
  <c r="D28" i="4" s="1"/>
  <c r="L63" i="12"/>
  <c r="H63" i="12"/>
  <c r="H75" i="12" s="1"/>
  <c r="F26" i="14"/>
  <c r="D26" i="14"/>
  <c r="F43" i="8"/>
  <c r="A9" i="5"/>
  <c r="J75" i="9"/>
  <c r="P72" i="9"/>
  <c r="P70" i="9"/>
  <c r="P68" i="9"/>
  <c r="P66" i="9"/>
  <c r="P64" i="9"/>
  <c r="P62" i="9"/>
  <c r="D75" i="8"/>
  <c r="D75" i="12"/>
  <c r="M25" i="12"/>
  <c r="N25" i="12" s="1"/>
  <c r="N43" i="12"/>
  <c r="N62" i="12" s="1"/>
  <c r="M62" i="12" s="1"/>
  <c r="M25" i="8"/>
  <c r="B25" i="16"/>
  <c r="D25" i="16" s="1"/>
  <c r="I44" i="12"/>
  <c r="J44" i="12" s="1"/>
  <c r="I44" i="8"/>
  <c r="E25" i="12"/>
  <c r="F25" i="12" s="1"/>
  <c r="F62" i="12"/>
  <c r="E62" i="12" s="1"/>
  <c r="D33" i="15"/>
  <c r="R33" i="15" s="1"/>
  <c r="D32" i="15"/>
  <c r="D31" i="15"/>
  <c r="D30" i="15"/>
  <c r="D29" i="15"/>
  <c r="D28"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8"/>
  <c r="L75" i="12"/>
  <c r="J44" i="8"/>
  <c r="I45" i="8"/>
  <c r="M26" i="12"/>
  <c r="I45" i="12"/>
  <c r="M44" i="12"/>
  <c r="I25" i="12"/>
  <c r="N25" i="8"/>
  <c r="M26" i="8"/>
  <c r="N43" i="8"/>
  <c r="M44" i="8"/>
  <c r="M45" i="8" s="1"/>
  <c r="J24" i="8"/>
  <c r="I25" i="8"/>
  <c r="F24" i="8"/>
  <c r="E25" i="8"/>
  <c r="E26" i="8" s="1"/>
  <c r="D32" i="14"/>
  <c r="F32" i="14"/>
  <c r="D30" i="14"/>
  <c r="F30" i="14"/>
  <c r="E26" i="12"/>
  <c r="E44" i="12"/>
  <c r="F44" i="8"/>
  <c r="E45" i="8"/>
  <c r="A8" i="5"/>
  <c r="A6" i="5"/>
  <c r="B35" i="4"/>
  <c r="D35" i="4" s="1"/>
  <c r="B34" i="4"/>
  <c r="D34" i="4" s="1"/>
  <c r="J34" i="4" s="1"/>
  <c r="B33" i="4"/>
  <c r="D33" i="4" s="1"/>
  <c r="J33" i="4" s="1"/>
  <c r="B32" i="4"/>
  <c r="D32" i="4" s="1"/>
  <c r="B27" i="4"/>
  <c r="B25" i="14"/>
  <c r="H26" i="17"/>
  <c r="P24" i="12" l="1"/>
  <c r="M75" i="9"/>
  <c r="P75" i="9"/>
  <c r="I75" i="9"/>
  <c r="J62" i="12"/>
  <c r="J32" i="16"/>
  <c r="P43" i="12"/>
  <c r="H29" i="17"/>
  <c r="J29" i="15"/>
  <c r="L29" i="15" s="1"/>
  <c r="J26" i="15"/>
  <c r="N44" i="8"/>
  <c r="H27" i="17"/>
  <c r="J29" i="14"/>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F26" i="12"/>
  <c r="E27" i="12"/>
  <c r="H30" i="14"/>
  <c r="H30" i="15"/>
  <c r="J30" i="17"/>
  <c r="J30" i="16"/>
  <c r="J32" i="17"/>
  <c r="H32" i="14"/>
  <c r="H32" i="16"/>
  <c r="F26" i="8"/>
  <c r="E27" i="8"/>
  <c r="J25" i="8"/>
  <c r="I26" i="8"/>
  <c r="N45" i="8"/>
  <c r="M46" i="8"/>
  <c r="N26" i="8"/>
  <c r="N64" i="8" s="1"/>
  <c r="M64" i="8" s="1"/>
  <c r="M27" i="8"/>
  <c r="J25" i="12"/>
  <c r="I26" i="12"/>
  <c r="J45" i="12"/>
  <c r="I46" i="12"/>
  <c r="F25" i="8"/>
  <c r="F63" i="8" s="1"/>
  <c r="E63" i="8" s="1"/>
  <c r="P44" i="8"/>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J28" i="16"/>
  <c r="H31" i="17"/>
  <c r="H31" i="16"/>
  <c r="H29" i="15"/>
  <c r="H33" i="15"/>
  <c r="H31" i="14"/>
  <c r="J31" i="14"/>
  <c r="J31" i="16"/>
  <c r="J33" i="14"/>
  <c r="J33" i="16"/>
  <c r="F45" i="8"/>
  <c r="E46" i="8"/>
  <c r="F44" i="12"/>
  <c r="E45" i="12"/>
  <c r="J29" i="17"/>
  <c r="J30" i="14"/>
  <c r="H30" i="16"/>
  <c r="J30" i="15"/>
  <c r="L30" i="15" s="1"/>
  <c r="H30" i="17"/>
  <c r="J32" i="14"/>
  <c r="L32" i="14" s="1"/>
  <c r="H32" i="15"/>
  <c r="J32" i="15"/>
  <c r="L32" i="15" s="1"/>
  <c r="H32" i="17"/>
  <c r="F62" i="8"/>
  <c r="E62" i="8" s="1"/>
  <c r="J62" i="8"/>
  <c r="I62" i="8" s="1"/>
  <c r="P24" i="8"/>
  <c r="N62" i="8"/>
  <c r="M62" i="8" s="1"/>
  <c r="P43" i="8"/>
  <c r="N63" i="8"/>
  <c r="M63" i="8" s="1"/>
  <c r="N44" i="12"/>
  <c r="M45" i="12"/>
  <c r="N26" i="12"/>
  <c r="M27" i="12"/>
  <c r="I46" i="8"/>
  <c r="J45" i="8"/>
  <c r="P45" i="8" s="1"/>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P62" i="12" l="1"/>
  <c r="I62" i="12"/>
  <c r="L31" i="15"/>
  <c r="L31" i="14"/>
  <c r="L30" i="14"/>
  <c r="L29" i="14"/>
  <c r="L28" i="15"/>
  <c r="L28" i="14"/>
  <c r="L26" i="14"/>
  <c r="L27" i="15"/>
  <c r="L27" i="14"/>
  <c r="L26" i="15"/>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7"/>
  <c r="L33" i="17" s="1"/>
  <c r="H34" i="18"/>
  <c r="L25" i="14"/>
  <c r="L25" i="15"/>
  <c r="F43" i="16"/>
  <c r="L43" i="16" s="1"/>
  <c r="F35" i="16"/>
  <c r="L35" i="16" s="1"/>
  <c r="F33" i="16"/>
  <c r="L33" i="16" s="1"/>
  <c r="J46" i="8"/>
  <c r="I47" i="8"/>
  <c r="N27" i="12"/>
  <c r="M28" i="12"/>
  <c r="N45" i="12"/>
  <c r="N64" i="12" s="1"/>
  <c r="M64" i="12" s="1"/>
  <c r="M46" i="12"/>
  <c r="F45" i="12"/>
  <c r="F64" i="12" s="1"/>
  <c r="E64" i="12" s="1"/>
  <c r="E46" i="12"/>
  <c r="F46" i="8"/>
  <c r="E47" i="8"/>
  <c r="P45" i="12"/>
  <c r="J63" i="12"/>
  <c r="I63" i="12" s="1"/>
  <c r="P25" i="12"/>
  <c r="J63" i="8"/>
  <c r="P25" i="8"/>
  <c r="E28" i="8"/>
  <c r="F27" i="8"/>
  <c r="P44" i="12"/>
  <c r="N63" i="12"/>
  <c r="M63" i="12" s="1"/>
  <c r="P62" i="8"/>
  <c r="F63" i="12"/>
  <c r="E63" i="12" s="1"/>
  <c r="J46" i="12"/>
  <c r="I47" i="12"/>
  <c r="J26" i="12"/>
  <c r="I27" i="12"/>
  <c r="N27" i="8"/>
  <c r="M28" i="8"/>
  <c r="M47" i="8"/>
  <c r="N46" i="8"/>
  <c r="J26" i="8"/>
  <c r="I27" i="8"/>
  <c r="F64" i="8"/>
  <c r="E64" i="8" s="1"/>
  <c r="F27" i="12"/>
  <c r="E28" i="12"/>
  <c r="P63" i="8" l="1"/>
  <c r="I63" i="8"/>
  <c r="L49" i="14"/>
  <c r="N46" i="14" s="1"/>
  <c r="L49" i="15"/>
  <c r="N34" i="15" s="1"/>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P64" i="12" l="1"/>
  <c r="I64" i="12"/>
  <c r="P64" i="8"/>
  <c r="I64" i="8"/>
  <c r="N35" i="14"/>
  <c r="N26" i="15"/>
  <c r="N30" i="14"/>
  <c r="N38" i="14"/>
  <c r="N26" i="14"/>
  <c r="N45" i="14"/>
  <c r="N34" i="14"/>
  <c r="N36" i="14"/>
  <c r="N33" i="14"/>
  <c r="N29" i="14"/>
  <c r="N39" i="14"/>
  <c r="N43" i="14"/>
  <c r="N44" i="14"/>
  <c r="N40" i="14"/>
  <c r="N37" i="14"/>
  <c r="N42" i="14"/>
  <c r="N41" i="14"/>
  <c r="N32" i="14"/>
  <c r="N28" i="14"/>
  <c r="N31" i="14"/>
  <c r="N27" i="14"/>
  <c r="N25" i="14"/>
  <c r="N39" i="15"/>
  <c r="N33" i="15"/>
  <c r="N41" i="15"/>
  <c r="N40" i="15"/>
  <c r="N37" i="15"/>
  <c r="N35" i="15"/>
  <c r="N29" i="15"/>
  <c r="N30" i="15"/>
  <c r="N31" i="15"/>
  <c r="N27" i="15"/>
  <c r="N32" i="15"/>
  <c r="N28" i="15"/>
  <c r="N25" i="15"/>
  <c r="N45" i="15"/>
  <c r="N44" i="15"/>
  <c r="N38" i="15"/>
  <c r="N42" i="15"/>
  <c r="N43" i="15"/>
  <c r="N46" i="15"/>
  <c r="N36" i="15"/>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F67" i="8" s="1"/>
  <c r="E67" i="8" s="1"/>
  <c r="P47" i="12"/>
  <c r="J65" i="12"/>
  <c r="I65" i="12" s="1"/>
  <c r="P27" i="12"/>
  <c r="N29" i="8"/>
  <c r="M30" i="8"/>
  <c r="J65" i="8"/>
  <c r="I65" i="8" s="1"/>
  <c r="P27" i="8"/>
  <c r="F29" i="12"/>
  <c r="E30" i="12"/>
  <c r="P46" i="12"/>
  <c r="F65" i="12"/>
  <c r="E65" i="12" s="1"/>
  <c r="P65" i="12" l="1"/>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12" l="1"/>
  <c r="I66" i="12"/>
  <c r="P66" i="8"/>
  <c r="I66" i="8"/>
  <c r="P48" i="12"/>
  <c r="J67" i="12"/>
  <c r="I67" i="12" s="1"/>
  <c r="P29" i="12"/>
  <c r="N68" i="8"/>
  <c r="M68" i="8" s="1"/>
  <c r="J50" i="8"/>
  <c r="I51" i="8"/>
  <c r="F50" i="8"/>
  <c r="E51" i="8"/>
  <c r="J30" i="12"/>
  <c r="I31" i="12"/>
  <c r="F49" i="12"/>
  <c r="F68" i="12" s="1"/>
  <c r="E68" i="12" s="1"/>
  <c r="E50" i="12"/>
  <c r="J30" i="8"/>
  <c r="I31" i="8"/>
  <c r="M51" i="8"/>
  <c r="N50" i="8"/>
  <c r="F68" i="8"/>
  <c r="E68" i="8" s="1"/>
  <c r="N31" i="8"/>
  <c r="N69" i="8" s="1"/>
  <c r="M69" i="8" s="1"/>
  <c r="M32" i="8"/>
  <c r="F31" i="12"/>
  <c r="E32" i="12"/>
  <c r="J50" i="12"/>
  <c r="I51" i="12"/>
  <c r="N31" i="12"/>
  <c r="M32" i="12"/>
  <c r="N49" i="12"/>
  <c r="P49" i="12" s="1"/>
  <c r="M50" i="12"/>
  <c r="J67" i="8"/>
  <c r="P29" i="8"/>
  <c r="E32" i="8"/>
  <c r="F31" i="8"/>
  <c r="P67" i="8" l="1"/>
  <c r="I67" i="8"/>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F51" i="12"/>
  <c r="F70" i="12" s="1"/>
  <c r="E70" i="12" s="1"/>
  <c r="E52" i="12"/>
  <c r="N52" i="8"/>
  <c r="M53" i="8"/>
  <c r="N70" i="8"/>
  <c r="M70" i="8" s="1"/>
  <c r="F33" i="12"/>
  <c r="E34" i="12"/>
  <c r="F70" i="8"/>
  <c r="E70" i="8" s="1"/>
  <c r="P68" i="12"/>
  <c r="J69" i="8"/>
  <c r="P31" i="8"/>
  <c r="N33" i="12"/>
  <c r="M34" i="12"/>
  <c r="J52" i="8"/>
  <c r="I53" i="8"/>
  <c r="F52" i="8"/>
  <c r="E53" i="8"/>
  <c r="J69" i="12"/>
  <c r="I69" i="12" s="1"/>
  <c r="P31" i="12"/>
  <c r="N33" i="8"/>
  <c r="M34" i="8"/>
  <c r="J52" i="12"/>
  <c r="I53" i="12"/>
  <c r="J32" i="12"/>
  <c r="I33" i="12"/>
  <c r="N71" i="8" l="1"/>
  <c r="M71" i="8" s="1"/>
  <c r="P52" i="8"/>
  <c r="P69" i="8"/>
  <c r="I69" i="8"/>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12" l="1"/>
  <c r="I70" i="12"/>
  <c r="P70" i="8"/>
  <c r="I70" i="8"/>
  <c r="N71" i="12"/>
  <c r="M71" i="12" s="1"/>
  <c r="N56" i="8"/>
  <c r="M56" i="8" s="1"/>
  <c r="F56" i="8"/>
  <c r="E56" i="8" s="1"/>
  <c r="J56" i="12"/>
  <c r="I56" i="12" s="1"/>
  <c r="J34" i="12"/>
  <c r="I35" i="12"/>
  <c r="J35" i="12" s="1"/>
  <c r="N53" i="12"/>
  <c r="P53" i="12" s="1"/>
  <c r="M54" i="12"/>
  <c r="N54" i="12" s="1"/>
  <c r="P54" i="12" s="1"/>
  <c r="F37" i="12"/>
  <c r="E37" i="12" s="1"/>
  <c r="N73" i="12"/>
  <c r="M73" i="12" s="1"/>
  <c r="N37" i="12"/>
  <c r="M37" i="12" s="1"/>
  <c r="P54" i="8"/>
  <c r="J56" i="8"/>
  <c r="I56" i="8" s="1"/>
  <c r="N73" i="8"/>
  <c r="M73" i="8" s="1"/>
  <c r="N37" i="8"/>
  <c r="M37" i="8" s="1"/>
  <c r="J71" i="8"/>
  <c r="P33" i="8"/>
  <c r="J71" i="12"/>
  <c r="I71" i="12" s="1"/>
  <c r="P33" i="12"/>
  <c r="P53" i="8"/>
  <c r="N72" i="8"/>
  <c r="M72" i="8" s="1"/>
  <c r="J34" i="8"/>
  <c r="I35" i="8"/>
  <c r="J35" i="8" s="1"/>
  <c r="F73" i="8"/>
  <c r="F37" i="8"/>
  <c r="E37" i="8" s="1"/>
  <c r="F53" i="12"/>
  <c r="F72" i="12" s="1"/>
  <c r="E72" i="12" s="1"/>
  <c r="E54" i="12"/>
  <c r="F54" i="12" s="1"/>
  <c r="P71" i="8" l="1"/>
  <c r="I71" i="8"/>
  <c r="F75" i="8"/>
  <c r="E75" i="8" s="1"/>
  <c r="E73" i="8"/>
  <c r="N72" i="12"/>
  <c r="M72" i="12" s="1"/>
  <c r="P56" i="8"/>
  <c r="F56" i="12"/>
  <c r="E56" i="12" s="1"/>
  <c r="P71" i="12"/>
  <c r="J73" i="8"/>
  <c r="I73" i="8" s="1"/>
  <c r="P35" i="8"/>
  <c r="J37" i="8"/>
  <c r="I37" i="8" s="1"/>
  <c r="N75" i="8"/>
  <c r="M75" i="8" s="1"/>
  <c r="N75" i="12"/>
  <c r="M75" i="12" s="1"/>
  <c r="F73" i="12"/>
  <c r="J72" i="12"/>
  <c r="P34" i="12"/>
  <c r="P56" i="12"/>
  <c r="J72" i="8"/>
  <c r="P34" i="8"/>
  <c r="N56" i="12"/>
  <c r="M56" i="12" s="1"/>
  <c r="J73" i="12"/>
  <c r="I73" i="12" s="1"/>
  <c r="P35" i="12"/>
  <c r="P37" i="12" s="1"/>
  <c r="J37" i="12"/>
  <c r="I37" i="12" s="1"/>
  <c r="P40" i="14" l="1"/>
  <c r="P31" i="14"/>
  <c r="R31" i="14" s="1"/>
  <c r="F31" i="16" s="1"/>
  <c r="L31" i="16" s="1"/>
  <c r="P44" i="14"/>
  <c r="P36" i="14"/>
  <c r="P32" i="14"/>
  <c r="R32" i="14" s="1"/>
  <c r="F32" i="16" s="1"/>
  <c r="L32" i="16" s="1"/>
  <c r="P46" i="14"/>
  <c r="P42" i="14"/>
  <c r="P38" i="14"/>
  <c r="P33" i="14"/>
  <c r="P27" i="14"/>
  <c r="R27" i="14" s="1"/>
  <c r="F27" i="16" s="1"/>
  <c r="L27" i="16" s="1"/>
  <c r="P28" i="14"/>
  <c r="R28" i="14" s="1"/>
  <c r="F28" i="16" s="1"/>
  <c r="L28" i="16" s="1"/>
  <c r="P72" i="8"/>
  <c r="I72" i="8"/>
  <c r="P72" i="12"/>
  <c r="I72" i="12"/>
  <c r="P45" i="14"/>
  <c r="P43" i="14"/>
  <c r="P41" i="14"/>
  <c r="P39" i="14"/>
  <c r="P37" i="14"/>
  <c r="P35" i="14"/>
  <c r="P34" i="14"/>
  <c r="P29" i="14"/>
  <c r="R29" i="14" s="1"/>
  <c r="F29" i="16" s="1"/>
  <c r="L29" i="16" s="1"/>
  <c r="P25" i="14"/>
  <c r="R25" i="14" s="1"/>
  <c r="F25" i="16" s="1"/>
  <c r="L25" i="16" s="1"/>
  <c r="P30" i="14"/>
  <c r="R30" i="14" s="1"/>
  <c r="F30" i="16" s="1"/>
  <c r="L30" i="16" s="1"/>
  <c r="P26" i="14"/>
  <c r="R26" i="14" s="1"/>
  <c r="F26" i="16" s="1"/>
  <c r="L26" i="16" s="1"/>
  <c r="F75" i="12"/>
  <c r="E75" i="12" s="1"/>
  <c r="E73" i="12"/>
  <c r="P37" i="8"/>
  <c r="P73" i="12"/>
  <c r="P75" i="12" s="1"/>
  <c r="J75" i="12"/>
  <c r="I75" i="12" s="1"/>
  <c r="P73" i="8"/>
  <c r="P75" i="8" s="1"/>
  <c r="J75" i="8"/>
  <c r="I75" i="8" s="1"/>
  <c r="L49" i="16" l="1"/>
  <c r="N32" i="16" s="1"/>
  <c r="P32" i="16" s="1"/>
  <c r="R32" i="16" s="1"/>
  <c r="F33" i="18" s="1"/>
  <c r="P25" i="15"/>
  <c r="R25" i="15" s="1"/>
  <c r="F25" i="17" s="1"/>
  <c r="L25" i="17" s="1"/>
  <c r="P27" i="15"/>
  <c r="R27" i="15" s="1"/>
  <c r="F27" i="17" s="1"/>
  <c r="L27" i="17" s="1"/>
  <c r="P29" i="15"/>
  <c r="R29" i="15" s="1"/>
  <c r="F29" i="17" s="1"/>
  <c r="L29" i="17" s="1"/>
  <c r="P31" i="15"/>
  <c r="R31" i="15" s="1"/>
  <c r="F31" i="17" s="1"/>
  <c r="L31" i="17" s="1"/>
  <c r="P34" i="15"/>
  <c r="P26" i="15"/>
  <c r="R26" i="15" s="1"/>
  <c r="F26" i="17" s="1"/>
  <c r="L26" i="17" s="1"/>
  <c r="P28" i="15"/>
  <c r="R28" i="15" s="1"/>
  <c r="F28" i="17" s="1"/>
  <c r="L28" i="17" s="1"/>
  <c r="P30" i="15"/>
  <c r="R30" i="15" s="1"/>
  <c r="F30" i="17" s="1"/>
  <c r="L30" i="17" s="1"/>
  <c r="P32" i="15"/>
  <c r="R32" i="15" s="1"/>
  <c r="F32" i="17" s="1"/>
  <c r="L32" i="17" s="1"/>
  <c r="P33" i="15"/>
  <c r="P35" i="15"/>
  <c r="P36" i="15"/>
  <c r="P37" i="15"/>
  <c r="P38" i="15"/>
  <c r="P39" i="15"/>
  <c r="P40" i="15"/>
  <c r="P41" i="15"/>
  <c r="P42" i="15"/>
  <c r="P43" i="15"/>
  <c r="P44" i="15"/>
  <c r="P45" i="15"/>
  <c r="P46" i="15"/>
  <c r="N30" i="16" l="1"/>
  <c r="P30" i="16" s="1"/>
  <c r="R30" i="16" s="1"/>
  <c r="F31" i="18" s="1"/>
  <c r="N45" i="16"/>
  <c r="P45" i="16" s="1"/>
  <c r="N29" i="16"/>
  <c r="P29" i="16" s="1"/>
  <c r="R29" i="16" s="1"/>
  <c r="F30" i="18" s="1"/>
  <c r="N26" i="16"/>
  <c r="P26" i="16" s="1"/>
  <c r="R26" i="16" s="1"/>
  <c r="F27" i="18" s="1"/>
  <c r="N33" i="16"/>
  <c r="P33" i="16" s="1"/>
  <c r="N25" i="16"/>
  <c r="P25" i="16" s="1"/>
  <c r="R25" i="16" s="1"/>
  <c r="F26" i="18" s="1"/>
  <c r="N37" i="16"/>
  <c r="P37" i="16" s="1"/>
  <c r="N31" i="16"/>
  <c r="P31" i="16" s="1"/>
  <c r="R31" i="16" s="1"/>
  <c r="F32" i="18" s="1"/>
  <c r="N34" i="16"/>
  <c r="P34" i="16" s="1"/>
  <c r="N39" i="16"/>
  <c r="P39" i="16" s="1"/>
  <c r="N38" i="16"/>
  <c r="P38" i="16" s="1"/>
  <c r="N44" i="16"/>
  <c r="P44" i="16" s="1"/>
  <c r="N41" i="16"/>
  <c r="P41" i="16" s="1"/>
  <c r="N28" i="16"/>
  <c r="P28" i="16" s="1"/>
  <c r="R28" i="16" s="1"/>
  <c r="F29" i="18" s="1"/>
  <c r="N36" i="16"/>
  <c r="P36" i="16" s="1"/>
  <c r="N43" i="16"/>
  <c r="P43" i="16" s="1"/>
  <c r="N27" i="16"/>
  <c r="P27" i="16" s="1"/>
  <c r="R27" i="16" s="1"/>
  <c r="F28" i="18" s="1"/>
  <c r="N40" i="16"/>
  <c r="P40" i="16" s="1"/>
  <c r="N46" i="16"/>
  <c r="P46" i="16" s="1"/>
  <c r="N35" i="16"/>
  <c r="P35" i="16" s="1"/>
  <c r="N42" i="16"/>
  <c r="P42" i="16" s="1"/>
  <c r="F36" i="18"/>
  <c r="L49" i="17"/>
  <c r="N39" i="17" l="1"/>
  <c r="P39" i="17" s="1"/>
  <c r="N41" i="17"/>
  <c r="P41" i="17" s="1"/>
  <c r="N36" i="17"/>
  <c r="P36" i="17" s="1"/>
  <c r="N34" i="17"/>
  <c r="P34" i="17" s="1"/>
  <c r="N26" i="17"/>
  <c r="P26" i="17" s="1"/>
  <c r="R26" i="17" s="1"/>
  <c r="H27" i="18" s="1"/>
  <c r="N42" i="17"/>
  <c r="P42" i="17" s="1"/>
  <c r="N38" i="17"/>
  <c r="P38" i="17" s="1"/>
  <c r="N30" i="17"/>
  <c r="P30" i="17" s="1"/>
  <c r="R30" i="17" s="1"/>
  <c r="H31" i="18" s="1"/>
  <c r="N43" i="17"/>
  <c r="P43" i="17" s="1"/>
  <c r="N32" i="17"/>
  <c r="P32" i="17" s="1"/>
  <c r="R32" i="17" s="1"/>
  <c r="H33" i="18" s="1"/>
  <c r="N40" i="17"/>
  <c r="P40" i="17" s="1"/>
  <c r="N33" i="17"/>
  <c r="P33" i="17" s="1"/>
  <c r="N35" i="17"/>
  <c r="P35" i="17" s="1"/>
  <c r="N28" i="17"/>
  <c r="P28" i="17" s="1"/>
  <c r="R28" i="17" s="1"/>
  <c r="H29" i="18" s="1"/>
  <c r="N27" i="17"/>
  <c r="P27" i="17" s="1"/>
  <c r="R27" i="17" s="1"/>
  <c r="H28" i="18" s="1"/>
  <c r="N46" i="17"/>
  <c r="P46" i="17" s="1"/>
  <c r="N37" i="17"/>
  <c r="P37" i="17" s="1"/>
  <c r="N44" i="17"/>
  <c r="P44" i="17" s="1"/>
  <c r="N29" i="17"/>
  <c r="P29" i="17" s="1"/>
  <c r="R29" i="17" s="1"/>
  <c r="H30" i="18" s="1"/>
  <c r="N31" i="17"/>
  <c r="P31" i="17" s="1"/>
  <c r="R31" i="17" s="1"/>
  <c r="H32" i="18" s="1"/>
  <c r="N45" i="17"/>
  <c r="P45" i="17" s="1"/>
  <c r="N25" i="17"/>
  <c r="P25" i="17" s="1"/>
  <c r="R25" i="17" s="1"/>
  <c r="H36" i="18" l="1"/>
  <c r="H26" i="18"/>
</calcChain>
</file>

<file path=xl/sharedStrings.xml><?xml version="1.0" encoding="utf-8"?>
<sst xmlns="http://schemas.openxmlformats.org/spreadsheetml/2006/main" count="591" uniqueCount="256">
  <si>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</si>
  <si>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</si>
  <si>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</si>
  <si>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</si>
  <si>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</si>
  <si>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</si>
  <si>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</si>
  <si>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</si>
  <si>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</si>
  <si>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</si>
  <si>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</si>
  <si>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</si>
  <si>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</si>
  <si>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</si>
  <si>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</si>
  <si>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</si>
  <si>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</si>
  <si>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</si>
  <si>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</si>
  <si>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</si>
  <si>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</si>
  <si>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</si>
  <si>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</si>
  <si>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</si>
  <si>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</si>
  <si>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</si>
  <si>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</si>
  <si>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</si>
  <si>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</si>
  <si>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</si>
  <si>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</si>
  <si>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</si>
  <si>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</si>
  <si>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</si>
  <si>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</si>
  <si>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</si>
  <si>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</si>
  <si>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</si>
  <si>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</si>
  <si>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</si>
  <si>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</si>
  <si>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</si>
  <si>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</si>
  <si>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</si>
  <si>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</si>
  <si>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</si>
  <si>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</si>
  <si>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</si>
  <si>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</si>
  <si>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</si>
  <si>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</si>
  <si>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</si>
  <si>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</si>
  <si>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</si>
  <si>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</si>
  <si>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</si>
  <si>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</si>
  <si>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</si>
  <si>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</si>
  <si>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</si>
  <si>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</si>
  <si>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</si>
  <si>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</si>
  <si>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</si>
  <si>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</si>
  <si>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</si>
  <si>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</si>
  <si>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</si>
  <si>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</si>
  <si>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</si>
  <si>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</si>
  <si>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</si>
  <si>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</si>
  <si>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</si>
  <si>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</si>
  <si>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</si>
  <si>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</si>
  <si>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</si>
  <si>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</si>
  <si>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</si>
  <si>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</si>
  <si>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</si>
  <si>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</si>
  <si>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</si>
  <si>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</si>
  <si>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</si>
  <si>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</si>
  <si>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</si>
  <si>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</si>
  <si>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</si>
  <si>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</si>
  <si>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</si>
  <si>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</si>
  <si>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</si>
  <si>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</si>
  <si>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</si>
  <si>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</si>
  <si>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</si>
  <si>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</si>
  <si>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</si>
  <si>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</si>
  <si>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</si>
  <si>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</si>
  <si>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</si>
  <si>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</si>
  <si>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</si>
  <si>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</si>
  <si>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</si>
  <si>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</si>
  <si>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</si>
  <si>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</si>
  <si>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</si>
  <si>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</si>
  <si>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</si>
  <si>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</si>
  <si>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</si>
  <si>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</si>
  <si>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</si>
  <si>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</si>
  <si>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</si>
  <si>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</si>
  <si>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</si>
  <si>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</si>
  <si>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</si>
  <si>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</si>
  <si>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</si>
  <si>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</si>
  <si>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</si>
  <si>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</si>
  <si>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</si>
  <si>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</si>
  <si>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</si>
  <si>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</si>
  <si>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</si>
  <si>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</si>
  <si>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</si>
  <si>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</si>
  <si>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</si>
  <si>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</si>
  <si>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</si>
  <si>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</si>
  <si>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</si>
  <si>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</si>
  <si>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</si>
  <si>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</si>
  <si>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</si>
  <si>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</si>
  <si>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</si>
  <si>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</si>
  <si>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</si>
  <si>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</si>
  <si>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</si>
  <si>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</si>
  <si>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</si>
  <si>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</si>
  <si>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</si>
  <si>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</si>
  <si>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</si>
  <si>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</si>
  <si>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</si>
  <si>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</si>
  <si>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</si>
  <si>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</si>
  <si>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</si>
  <si>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</si>
  <si>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</si>
  <si>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</si>
  <si>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</si>
  <si>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</si>
  <si>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</si>
  <si>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</si>
  <si>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</si>
  <si>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</si>
  <si>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</si>
  <si>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</si>
  <si>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</si>
  <si>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</si>
  <si>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</si>
  <si>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</si>
  <si>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</si>
  <si>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</si>
  <si>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</si>
  <si>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</si>
  <si>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</si>
  <si>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</si>
  <si>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</si>
  <si>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</si>
  <si>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</si>
  <si>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</si>
  <si>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</si>
  <si>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</si>
  <si>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</si>
  <si>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</si>
  <si>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</si>
  <si>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</si>
  <si>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</si>
  <si>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</si>
  <si>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</si>
  <si>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</si>
  <si>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</si>
  <si>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</si>
  <si>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</si>
  <si>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</si>
  <si>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</si>
  <si>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</si>
  <si>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</si>
  <si>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</si>
  <si>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</si>
  <si>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</si>
  <si>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</si>
  <si>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</si>
  <si>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</si>
  <si>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</si>
  <si>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</si>
  <si>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</si>
  <si>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</si>
  <si>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</si>
  <si>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</si>
  <si>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</si>
  <si>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</si>
  <si>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</si>
  <si>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</si>
  <si>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</si>
  <si>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</si>
  <si>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</si>
  <si>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</si>
  <si>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</si>
  <si>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</si>
  <si>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</si>
  <si>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</si>
  <si>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</si>
  <si>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</si>
  <si>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</si>
  <si>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</si>
  <si>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</si>
  <si>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</si>
  <si>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</si>
  <si>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</si>
  <si>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</si>
  <si>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</si>
  <si>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</si>
  <si>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</si>
  <si>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</si>
  <si>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</si>
  <si>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</si>
  <si>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</si>
  <si>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</si>
  <si>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</si>
  <si>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</si>
  <si>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</si>
  <si>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</si>
  <si>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Cameron McKenzie, Director, Regulatory Affairs</t>
  </si>
  <si>
    <t>289-429-5212</t>
  </si>
  <si>
    <t>cameronmckenzie@miltonhydro.com</t>
  </si>
  <si>
    <t>EB-2012-0148</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</si>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</sst>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247945" cy="1924049"/>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7611725" y="409575"/>
          <a:ext cx="1266825" cy="438150"/>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0"/>
  <sheetViews>
    <sheetView showGridLines="0" workbookViewId="0">
      <selection activeCell="F29" sqref="F29:F30"/>
    </sheetView>
  </sheetViews>
  <sheetFormatPr defaultRowHeight="15.75"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x14ac:dyDescent="0.25">
      <c r="AB1" s="103" t="s">
        <v>153</v>
      </c>
      <c r="AC1" s="2"/>
      <c r="AD1" s="2"/>
      <c r="AE1" s="2"/>
    </row>
    <row r="2" spans="3:34" ht="18" x14ac:dyDescent="0.25">
      <c r="C2" s="164"/>
      <c r="D2" s="164"/>
      <c r="E2" s="164"/>
      <c r="F2" s="164"/>
      <c r="G2" s="164"/>
      <c r="H2" s="164"/>
      <c r="I2" s="164"/>
      <c r="J2" s="164"/>
      <c r="AB2" s="103" t="s">
        <v>169</v>
      </c>
      <c r="AC2" s="2"/>
      <c r="AD2" s="2"/>
      <c r="AE2" s="2"/>
      <c r="AF2" s="102"/>
      <c r="AG2" s="102"/>
      <c r="AH2" s="102"/>
    </row>
    <row r="3" spans="3:34" ht="18" x14ac:dyDescent="0.25">
      <c r="C3" s="164"/>
      <c r="D3" s="164"/>
      <c r="E3" s="164"/>
      <c r="F3" s="164"/>
      <c r="G3" s="164"/>
      <c r="H3" s="164"/>
      <c r="I3" s="164"/>
      <c r="J3" s="164"/>
      <c r="AB3" s="103" t="s">
        <v>182</v>
      </c>
    </row>
    <row r="4" spans="3:34" ht="18" x14ac:dyDescent="0.25">
      <c r="C4" s="164"/>
      <c r="D4" s="164"/>
      <c r="E4" s="164"/>
      <c r="F4" s="164"/>
      <c r="G4" s="164"/>
      <c r="H4" s="164"/>
      <c r="I4" s="164"/>
      <c r="J4" s="164"/>
      <c r="AB4" s="103" t="s">
        <v>183</v>
      </c>
    </row>
    <row r="5" spans="3:34" ht="18" x14ac:dyDescent="0.25">
      <c r="C5" s="164"/>
      <c r="D5" s="164"/>
      <c r="E5" s="164"/>
      <c r="F5" s="164"/>
      <c r="G5" s="164"/>
      <c r="H5" s="164"/>
      <c r="I5" s="164"/>
      <c r="J5" s="164"/>
      <c r="AB5" s="103" t="s">
        <v>184</v>
      </c>
    </row>
    <row r="6" spans="3:34" x14ac:dyDescent="0.25">
      <c r="AB6" s="103" t="s">
        <v>0</v>
      </c>
    </row>
    <row r="7" spans="3:34" x14ac:dyDescent="0.25">
      <c r="AB7" s="103" t="s">
        <v>1</v>
      </c>
    </row>
    <row r="8" spans="3:34" x14ac:dyDescent="0.25">
      <c r="AB8" s="103" t="s">
        <v>185</v>
      </c>
    </row>
    <row r="9" spans="3:34" x14ac:dyDescent="0.25">
      <c r="AB9" s="103" t="s">
        <v>186</v>
      </c>
    </row>
    <row r="10" spans="3:34" ht="9" customHeight="1" x14ac:dyDescent="0.4">
      <c r="C10" s="105"/>
      <c r="AB10" s="103" t="s">
        <v>2</v>
      </c>
    </row>
    <row r="11" spans="3:34" ht="9" customHeight="1" x14ac:dyDescent="0.25">
      <c r="AB11" s="103" t="s">
        <v>170</v>
      </c>
    </row>
    <row r="12" spans="3:34" ht="9" customHeight="1" x14ac:dyDescent="0.25">
      <c r="AB12" s="103" t="s">
        <v>187</v>
      </c>
    </row>
    <row r="13" spans="3:34" x14ac:dyDescent="0.25">
      <c r="AB13" s="103" t="s">
        <v>3</v>
      </c>
    </row>
    <row r="14" spans="3:34" ht="16.5" thickBot="1" x14ac:dyDescent="0.3">
      <c r="F14" s="101"/>
      <c r="G14" s="101"/>
      <c r="H14" s="101"/>
      <c r="AB14" s="103" t="s">
        <v>4</v>
      </c>
    </row>
    <row r="15" spans="3:34" ht="17.25" thickTop="1" thickBot="1" x14ac:dyDescent="0.3">
      <c r="C15" s="106" t="s">
        <v>188</v>
      </c>
      <c r="D15" s="165" t="s">
        <v>201</v>
      </c>
      <c r="E15" s="166"/>
      <c r="F15" s="101"/>
      <c r="G15" s="101"/>
      <c r="H15" s="101"/>
      <c r="AB15" s="103" t="s">
        <v>5</v>
      </c>
    </row>
    <row r="16" spans="3:34" ht="16.5" thickBot="1" x14ac:dyDescent="0.3">
      <c r="AB16" s="103" t="s">
        <v>190</v>
      </c>
    </row>
    <row r="17" spans="1:33" ht="16.5" thickTop="1" x14ac:dyDescent="0.25">
      <c r="C17" s="107" t="s">
        <v>191</v>
      </c>
      <c r="D17" s="161" t="s">
        <v>254</v>
      </c>
      <c r="AB17" s="103" t="s">
        <v>6</v>
      </c>
    </row>
    <row r="18" spans="1:33" ht="16.5" thickBot="1" x14ac:dyDescent="0.3">
      <c r="AB18" s="103" t="s">
        <v>192</v>
      </c>
    </row>
    <row r="19" spans="1:33" ht="16.5" thickTop="1" x14ac:dyDescent="0.2">
      <c r="C19" s="107" t="s">
        <v>193</v>
      </c>
      <c r="D19" s="162" t="s">
        <v>251</v>
      </c>
      <c r="E19" s="163"/>
      <c r="G19" s="109"/>
      <c r="H19" s="109"/>
      <c r="AB19" s="103" t="s">
        <v>171</v>
      </c>
    </row>
    <row r="20" spans="1:33" ht="16.5" thickBot="1" x14ac:dyDescent="0.3">
      <c r="AA20" s="110"/>
      <c r="AB20" s="103" t="s">
        <v>7</v>
      </c>
      <c r="AC20" s="110"/>
      <c r="AD20" s="110"/>
      <c r="AE20" s="110"/>
      <c r="AF20" s="97"/>
      <c r="AG20" s="97"/>
    </row>
    <row r="21" spans="1:33" ht="16.5" thickTop="1" x14ac:dyDescent="0.25">
      <c r="C21" s="107" t="s">
        <v>194</v>
      </c>
      <c r="D21" s="108" t="s">
        <v>252</v>
      </c>
      <c r="AB21" s="103" t="s">
        <v>8</v>
      </c>
      <c r="AC21" s="19"/>
      <c r="AE21" s="19"/>
      <c r="AF21" s="111"/>
      <c r="AG21" s="112"/>
    </row>
    <row r="22" spans="1:33" ht="16.5" thickBot="1" x14ac:dyDescent="0.25">
      <c r="E22" s="109"/>
      <c r="AB22" s="103" t="s">
        <v>154</v>
      </c>
      <c r="AC22" s="19"/>
      <c r="AE22" s="19"/>
      <c r="AF22" s="111"/>
      <c r="AG22" s="112"/>
    </row>
    <row r="23" spans="1:33" ht="16.5" thickTop="1" x14ac:dyDescent="0.25">
      <c r="C23" s="107" t="s">
        <v>195</v>
      </c>
      <c r="D23" s="108" t="s">
        <v>253</v>
      </c>
      <c r="AB23" s="103" t="s">
        <v>9</v>
      </c>
      <c r="AC23" s="19"/>
      <c r="AE23" s="19"/>
      <c r="AF23" s="111"/>
      <c r="AG23" s="112"/>
    </row>
    <row r="24" spans="1:33" ht="16.5" thickBot="1" x14ac:dyDescent="0.3">
      <c r="AB24" s="103" t="s">
        <v>155</v>
      </c>
      <c r="AC24" s="19"/>
      <c r="AE24" s="19"/>
      <c r="AF24" s="111"/>
      <c r="AG24" s="112"/>
    </row>
    <row r="25" spans="1:33" ht="16.5" thickTop="1" x14ac:dyDescent="0.25">
      <c r="C25" s="107" t="s">
        <v>196</v>
      </c>
      <c r="D25" s="108"/>
      <c r="G25" s="113"/>
      <c r="H25" s="113"/>
      <c r="AB25" s="103" t="s">
        <v>172</v>
      </c>
      <c r="AC25" s="19"/>
      <c r="AE25" s="19"/>
      <c r="AF25" s="111"/>
      <c r="AG25" s="112"/>
    </row>
    <row r="26" spans="1:33" ht="16.5" thickBot="1" x14ac:dyDescent="0.3">
      <c r="C26" s="114"/>
      <c r="D26" s="115"/>
      <c r="I26" s="116"/>
      <c r="AB26" s="103" t="s">
        <v>173</v>
      </c>
      <c r="AC26" s="19"/>
      <c r="AE26" s="19"/>
      <c r="AF26" s="111"/>
      <c r="AG26" s="112"/>
    </row>
    <row r="27" spans="1:33" ht="15.75" customHeight="1" thickTop="1" x14ac:dyDescent="0.3">
      <c r="C27" s="94" t="s">
        <v>197</v>
      </c>
      <c r="D27" s="117">
        <v>2011</v>
      </c>
      <c r="AB27" s="103" t="s">
        <v>10</v>
      </c>
      <c r="AC27" s="19"/>
      <c r="AE27" s="19"/>
      <c r="AF27" s="111"/>
      <c r="AG27" s="112"/>
    </row>
    <row r="28" spans="1:33" ht="15.75" customHeight="1" x14ac:dyDescent="0.25">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25">
      <c r="AB32" s="103" t="s">
        <v>156</v>
      </c>
      <c r="AC32" s="19"/>
      <c r="AE32" s="19"/>
      <c r="AF32" s="111"/>
      <c r="AG32" s="112"/>
    </row>
    <row r="33" spans="3:33" x14ac:dyDescent="0.25">
      <c r="C33" s="93"/>
      <c r="AB33" s="103" t="s">
        <v>175</v>
      </c>
      <c r="AC33" s="19"/>
      <c r="AE33" s="19"/>
      <c r="AF33" s="111"/>
      <c r="AG33" s="112"/>
    </row>
    <row r="34" spans="3:33" x14ac:dyDescent="0.25">
      <c r="F34" s="119"/>
      <c r="G34" s="119"/>
      <c r="H34" s="119"/>
      <c r="I34" s="119"/>
      <c r="J34" s="119"/>
      <c r="K34" s="119"/>
      <c r="AB34" s="103" t="s">
        <v>11</v>
      </c>
      <c r="AC34" s="19"/>
      <c r="AE34" s="19"/>
      <c r="AF34" s="111"/>
      <c r="AG34" s="112"/>
    </row>
    <row r="35" spans="3:33" x14ac:dyDescent="0.25">
      <c r="F35" s="119"/>
      <c r="G35" s="119"/>
      <c r="H35" s="119"/>
      <c r="I35" s="119"/>
      <c r="J35" s="119"/>
      <c r="K35" s="119"/>
      <c r="AB35" s="103" t="s">
        <v>157</v>
      </c>
      <c r="AC35" s="19"/>
      <c r="AE35" s="19"/>
      <c r="AF35" s="111"/>
      <c r="AG35" s="112"/>
    </row>
    <row r="36" spans="3:33" x14ac:dyDescent="0.25">
      <c r="F36" s="119"/>
      <c r="G36" s="119"/>
      <c r="H36" s="119"/>
      <c r="I36" s="119"/>
      <c r="J36" s="119"/>
      <c r="K36" s="119"/>
      <c r="AB36" s="103" t="s">
        <v>168</v>
      </c>
      <c r="AC36" s="19"/>
      <c r="AE36" s="19"/>
      <c r="AF36" s="111"/>
      <c r="AG36" s="112"/>
    </row>
    <row r="37" spans="3:33" ht="16.5"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6.5" x14ac:dyDescent="0.3">
      <c r="D42" s="1"/>
      <c r="E42" s="19"/>
      <c r="F42" s="123"/>
      <c r="G42" s="119"/>
      <c r="H42" s="119"/>
      <c r="I42" s="119"/>
      <c r="J42" s="119"/>
      <c r="K42" s="119"/>
      <c r="AB42" s="103" t="s">
        <v>159</v>
      </c>
      <c r="AC42" s="19"/>
      <c r="AE42" s="19"/>
      <c r="AF42" s="111"/>
      <c r="AG42" s="112"/>
    </row>
    <row r="43" spans="3:33" ht="16.5" x14ac:dyDescent="0.3">
      <c r="D43" s="124"/>
      <c r="E43" s="125"/>
      <c r="F43" s="120"/>
      <c r="G43" s="120"/>
      <c r="H43" s="120"/>
      <c r="I43" s="120"/>
      <c r="J43" s="120"/>
      <c r="K43" s="120"/>
      <c r="AB43" s="103" t="s">
        <v>13</v>
      </c>
      <c r="AC43" s="19"/>
      <c r="AE43" s="19"/>
      <c r="AF43" s="111"/>
      <c r="AG43" s="112"/>
    </row>
    <row r="44" spans="3:33" ht="12.75" x14ac:dyDescent="0.2">
      <c r="E44" s="19"/>
      <c r="F44" s="119"/>
      <c r="G44" s="119"/>
      <c r="H44" s="119"/>
      <c r="I44" s="119"/>
      <c r="J44" s="119"/>
      <c r="K44" s="119"/>
      <c r="AB44" s="103" t="s">
        <v>178</v>
      </c>
      <c r="AC44" s="19"/>
      <c r="AE44" s="19"/>
      <c r="AF44" s="111"/>
      <c r="AG44" s="112"/>
    </row>
    <row r="45" spans="3:33" ht="16.5" x14ac:dyDescent="0.3">
      <c r="D45" s="124"/>
      <c r="E45" s="124"/>
      <c r="F45" s="126"/>
      <c r="G45" s="126"/>
      <c r="H45" s="127"/>
      <c r="I45" s="127"/>
      <c r="J45" s="127"/>
      <c r="K45" s="127"/>
      <c r="AB45" s="103" t="s">
        <v>14</v>
      </c>
      <c r="AC45" s="19"/>
      <c r="AE45" s="19"/>
      <c r="AF45" s="111"/>
      <c r="AG45" s="112"/>
    </row>
    <row r="46" spans="3:33" ht="12.75" x14ac:dyDescent="0.2">
      <c r="E46" s="19"/>
      <c r="F46" s="119"/>
      <c r="G46" s="119"/>
      <c r="H46" s="119"/>
      <c r="I46" s="119"/>
      <c r="J46" s="119"/>
      <c r="K46" s="119"/>
      <c r="AB46" s="103" t="s">
        <v>15</v>
      </c>
      <c r="AC46" s="19"/>
      <c r="AE46" s="19"/>
      <c r="AF46" s="111"/>
      <c r="AG46" s="112"/>
    </row>
    <row r="47" spans="3:33" ht="15" customHeight="1" x14ac:dyDescent="0.2">
      <c r="D47" s="128"/>
      <c r="E47" s="128"/>
      <c r="F47" s="129"/>
      <c r="G47" s="129"/>
      <c r="H47" s="129"/>
      <c r="I47" s="130"/>
      <c r="J47" s="130"/>
      <c r="K47" s="130"/>
      <c r="AB47" s="103" t="s">
        <v>16</v>
      </c>
      <c r="AC47" s="19"/>
      <c r="AE47" s="19"/>
      <c r="AF47" s="111"/>
      <c r="AG47" s="112"/>
    </row>
    <row r="48" spans="3:33" ht="15" customHeight="1" x14ac:dyDescent="0.2">
      <c r="C48" s="128"/>
      <c r="D48" s="128"/>
      <c r="E48" s="128"/>
      <c r="F48" s="129"/>
      <c r="G48" s="129"/>
      <c r="H48" s="129"/>
      <c r="I48" s="130"/>
      <c r="J48" s="130"/>
      <c r="K48" s="130"/>
      <c r="AB48" s="103" t="s">
        <v>201</v>
      </c>
      <c r="AC48" s="19"/>
      <c r="AE48" s="19"/>
      <c r="AF48" s="111"/>
      <c r="AG48" s="112"/>
    </row>
    <row r="49" spans="6:33" x14ac:dyDescent="0.25">
      <c r="F49" s="119"/>
      <c r="G49" s="119"/>
      <c r="H49" s="119"/>
      <c r="I49" s="119"/>
      <c r="J49" s="119"/>
      <c r="K49" s="119"/>
      <c r="AB49" s="103" t="s">
        <v>202</v>
      </c>
      <c r="AC49" s="19"/>
      <c r="AE49" s="19"/>
      <c r="AF49" s="111"/>
      <c r="AG49" s="112"/>
    </row>
    <row r="50" spans="6:33" x14ac:dyDescent="0.25">
      <c r="F50" s="119"/>
      <c r="G50" s="119"/>
      <c r="H50" s="119"/>
      <c r="I50" s="119"/>
      <c r="J50" s="119"/>
      <c r="K50" s="119"/>
      <c r="AB50" s="103" t="s">
        <v>160</v>
      </c>
      <c r="AC50" s="19"/>
      <c r="AE50" s="19"/>
      <c r="AF50" s="111"/>
      <c r="AG50" s="112"/>
    </row>
    <row r="51" spans="6:33" x14ac:dyDescent="0.25">
      <c r="AB51" s="103" t="s">
        <v>17</v>
      </c>
      <c r="AC51" s="19"/>
      <c r="AE51" s="19"/>
      <c r="AF51" s="111"/>
      <c r="AG51" s="112"/>
    </row>
    <row r="52" spans="6:33" x14ac:dyDescent="0.25">
      <c r="AB52" s="103" t="s">
        <v>203</v>
      </c>
      <c r="AC52" s="19"/>
      <c r="AE52" s="19"/>
      <c r="AF52" s="111"/>
      <c r="AG52" s="112"/>
    </row>
    <row r="53" spans="6:33" x14ac:dyDescent="0.25">
      <c r="AB53" s="103" t="s">
        <v>18</v>
      </c>
      <c r="AC53" s="19"/>
      <c r="AE53" s="19"/>
      <c r="AF53" s="111"/>
      <c r="AG53" s="112"/>
    </row>
    <row r="54" spans="6:33" x14ac:dyDescent="0.25">
      <c r="AB54" s="103" t="s">
        <v>19</v>
      </c>
      <c r="AC54" s="19"/>
      <c r="AE54" s="19"/>
      <c r="AF54" s="111"/>
      <c r="AG54" s="112"/>
    </row>
    <row r="55" spans="6:33" x14ac:dyDescent="0.25">
      <c r="AB55" s="103" t="s">
        <v>189</v>
      </c>
      <c r="AC55" s="19"/>
      <c r="AE55" s="19"/>
      <c r="AF55" s="111"/>
      <c r="AG55" s="112"/>
    </row>
    <row r="56" spans="6:33" x14ac:dyDescent="0.25">
      <c r="AB56" s="103" t="s">
        <v>20</v>
      </c>
      <c r="AC56" s="19"/>
      <c r="AE56" s="19"/>
      <c r="AF56" s="111"/>
      <c r="AG56" s="112"/>
    </row>
    <row r="57" spans="6:33" x14ac:dyDescent="0.25">
      <c r="AB57" s="103" t="s">
        <v>204</v>
      </c>
      <c r="AC57" s="19"/>
      <c r="AE57" s="19"/>
      <c r="AF57" s="111"/>
      <c r="AG57" s="112"/>
    </row>
    <row r="58" spans="6:33" x14ac:dyDescent="0.25">
      <c r="AB58" s="103" t="s">
        <v>179</v>
      </c>
      <c r="AC58" s="19"/>
      <c r="AE58" s="19"/>
      <c r="AF58" s="111"/>
      <c r="AG58" s="112"/>
    </row>
    <row r="59" spans="6:33" x14ac:dyDescent="0.25">
      <c r="AB59" s="103" t="s">
        <v>21</v>
      </c>
      <c r="AC59" s="19"/>
      <c r="AE59" s="19"/>
      <c r="AF59" s="111"/>
      <c r="AG59" s="112"/>
    </row>
    <row r="60" spans="6:33" x14ac:dyDescent="0.25">
      <c r="AB60" s="103" t="s">
        <v>161</v>
      </c>
      <c r="AC60" s="19"/>
      <c r="AE60" s="19"/>
      <c r="AF60" s="111"/>
      <c r="AG60" s="112"/>
    </row>
    <row r="61" spans="6:33" x14ac:dyDescent="0.25">
      <c r="AB61" s="103" t="s">
        <v>205</v>
      </c>
      <c r="AC61" s="19"/>
      <c r="AE61" s="19"/>
      <c r="AF61" s="111"/>
      <c r="AG61" s="112"/>
    </row>
    <row r="62" spans="6:33" x14ac:dyDescent="0.25">
      <c r="AB62" s="103" t="s">
        <v>206</v>
      </c>
      <c r="AC62" s="19"/>
      <c r="AE62" s="19"/>
      <c r="AF62" s="111"/>
      <c r="AG62" s="112"/>
    </row>
    <row r="63" spans="6:33" x14ac:dyDescent="0.25">
      <c r="AB63" s="103" t="s">
        <v>22</v>
      </c>
      <c r="AC63" s="19"/>
      <c r="AE63" s="19"/>
      <c r="AF63" s="111"/>
      <c r="AG63" s="112"/>
    </row>
    <row r="64" spans="6:33" x14ac:dyDescent="0.25">
      <c r="AB64" s="103" t="s">
        <v>23</v>
      </c>
      <c r="AC64" s="19"/>
      <c r="AE64" s="19"/>
      <c r="AF64" s="111"/>
      <c r="AG64" s="112"/>
    </row>
    <row r="65" spans="28:33" x14ac:dyDescent="0.25">
      <c r="AB65" s="103" t="s">
        <v>180</v>
      </c>
      <c r="AC65" s="19"/>
      <c r="AE65" s="19"/>
      <c r="AF65" s="111"/>
      <c r="AG65" s="112"/>
    </row>
    <row r="66" spans="28:33" x14ac:dyDescent="0.25">
      <c r="AB66" s="103" t="s">
        <v>162</v>
      </c>
      <c r="AC66" s="19"/>
      <c r="AE66" s="19"/>
      <c r="AF66" s="111"/>
      <c r="AG66" s="112"/>
    </row>
    <row r="67" spans="28:33" x14ac:dyDescent="0.25">
      <c r="AB67" s="103" t="s">
        <v>24</v>
      </c>
      <c r="AC67" s="19"/>
      <c r="AE67" s="19"/>
      <c r="AF67" s="111"/>
      <c r="AG67" s="112"/>
    </row>
    <row r="68" spans="28:33" x14ac:dyDescent="0.25">
      <c r="AB68" s="103" t="s">
        <v>207</v>
      </c>
      <c r="AC68" s="19"/>
      <c r="AE68" s="19"/>
      <c r="AF68" s="111"/>
      <c r="AG68" s="112"/>
    </row>
    <row r="69" spans="28:33" x14ac:dyDescent="0.25">
      <c r="AB69" s="103" t="s">
        <v>25</v>
      </c>
      <c r="AC69" s="19"/>
      <c r="AE69" s="19"/>
      <c r="AF69" s="111"/>
      <c r="AG69" s="112"/>
    </row>
    <row r="70" spans="28:33" x14ac:dyDescent="0.25">
      <c r="AB70" s="103" t="s">
        <v>167</v>
      </c>
      <c r="AC70" s="19"/>
      <c r="AE70" s="19"/>
      <c r="AF70" s="111"/>
      <c r="AG70" s="112"/>
    </row>
    <row r="71" spans="28:33" x14ac:dyDescent="0.25">
      <c r="AB71" s="103" t="s">
        <v>163</v>
      </c>
      <c r="AC71" s="19"/>
      <c r="AE71" s="19"/>
      <c r="AF71" s="111"/>
      <c r="AG71" s="112"/>
    </row>
    <row r="72" spans="28:33" x14ac:dyDescent="0.25">
      <c r="AB72" s="103" t="s">
        <v>164</v>
      </c>
      <c r="AC72" s="19"/>
      <c r="AE72" s="19"/>
      <c r="AF72" s="111"/>
      <c r="AG72" s="112"/>
    </row>
    <row r="73" spans="28:33" x14ac:dyDescent="0.25">
      <c r="AB73" s="103" t="s">
        <v>165</v>
      </c>
      <c r="AC73" s="19"/>
      <c r="AE73" s="19"/>
      <c r="AF73" s="111"/>
      <c r="AG73" s="112"/>
    </row>
    <row r="74" spans="28:33" x14ac:dyDescent="0.25">
      <c r="AB74" s="103" t="s">
        <v>208</v>
      </c>
      <c r="AC74" s="19"/>
      <c r="AE74" s="19"/>
      <c r="AF74" s="111"/>
      <c r="AG74" s="112"/>
    </row>
    <row r="75" spans="28:33" x14ac:dyDescent="0.25">
      <c r="AB75" s="103" t="s">
        <v>181</v>
      </c>
      <c r="AC75" s="19"/>
      <c r="AE75" s="19"/>
      <c r="AF75" s="111"/>
      <c r="AG75" s="112"/>
    </row>
    <row r="76" spans="28:33" x14ac:dyDescent="0.25">
      <c r="AB76" s="103" t="s">
        <v>26</v>
      </c>
      <c r="AC76" s="19"/>
      <c r="AE76" s="19"/>
      <c r="AF76" s="111"/>
      <c r="AG76" s="112"/>
    </row>
    <row r="77" spans="28:33" x14ac:dyDescent="0.25">
      <c r="AB77" s="103" t="s">
        <v>27</v>
      </c>
      <c r="AC77" s="19"/>
      <c r="AE77" s="19"/>
      <c r="AF77" s="111"/>
      <c r="AG77" s="112"/>
    </row>
    <row r="78" spans="28:33" x14ac:dyDescent="0.25">
      <c r="AB78" s="103" t="s">
        <v>28</v>
      </c>
      <c r="AC78" s="19"/>
      <c r="AE78" s="19"/>
      <c r="AF78" s="111"/>
      <c r="AG78" s="112"/>
    </row>
    <row r="79" spans="28:33" x14ac:dyDescent="0.25">
      <c r="AB79" s="103" t="s">
        <v>166</v>
      </c>
      <c r="AC79" s="19"/>
      <c r="AE79" s="19"/>
      <c r="AF79" s="111"/>
      <c r="AG79" s="112"/>
    </row>
    <row r="80" spans="28:33" x14ac:dyDescent="0.25">
      <c r="AC80" s="19"/>
      <c r="AE80" s="19"/>
      <c r="AF80" s="111"/>
      <c r="AG80" s="112"/>
    </row>
    <row r="81" spans="29:33" x14ac:dyDescent="0.25">
      <c r="AC81" s="19"/>
      <c r="AE81" s="19"/>
      <c r="AF81" s="111"/>
      <c r="AG81" s="112"/>
    </row>
    <row r="82" spans="29:33" x14ac:dyDescent="0.25">
      <c r="AC82" s="19"/>
      <c r="AE82" s="19"/>
      <c r="AF82" s="111"/>
      <c r="AG82" s="112"/>
    </row>
    <row r="83" spans="29:33" x14ac:dyDescent="0.25">
      <c r="AC83" s="19"/>
      <c r="AE83" s="19"/>
      <c r="AF83" s="111"/>
      <c r="AG83" s="112"/>
    </row>
    <row r="84" spans="29:33" x14ac:dyDescent="0.25">
      <c r="AC84" s="19"/>
      <c r="AE84" s="19"/>
      <c r="AF84" s="111"/>
      <c r="AG84" s="112"/>
    </row>
    <row r="85" spans="29:33" x14ac:dyDescent="0.25">
      <c r="AC85" s="19"/>
      <c r="AE85" s="19"/>
      <c r="AF85" s="111"/>
      <c r="AG85" s="112"/>
    </row>
    <row r="86" spans="29:33" x14ac:dyDescent="0.25">
      <c r="AC86" s="19"/>
      <c r="AE86" s="19"/>
      <c r="AF86" s="111"/>
      <c r="AG86" s="112"/>
    </row>
    <row r="87" spans="29:33" x14ac:dyDescent="0.25">
      <c r="AC87" s="19"/>
      <c r="AE87" s="19"/>
      <c r="AF87" s="111"/>
      <c r="AG87" s="112"/>
    </row>
    <row r="88" spans="29:33" x14ac:dyDescent="0.25">
      <c r="AC88" s="19"/>
      <c r="AE88" s="19"/>
      <c r="AF88" s="112"/>
      <c r="AG88" s="112"/>
    </row>
    <row r="89" spans="29:33" x14ac:dyDescent="0.25">
      <c r="AC89" s="19"/>
      <c r="AE89" s="19"/>
      <c r="AF89" s="112"/>
      <c r="AG89" s="112"/>
    </row>
    <row r="90" spans="29:33" x14ac:dyDescent="0.25">
      <c r="AC90" s="19"/>
      <c r="AE90" s="19"/>
      <c r="AF90" s="112"/>
      <c r="AG90" s="112"/>
    </row>
    <row r="91" spans="29:33" x14ac:dyDescent="0.25">
      <c r="AC91" s="131"/>
      <c r="AF91" s="112"/>
      <c r="AG91" s="112"/>
    </row>
    <row r="92" spans="29:33" x14ac:dyDescent="0.25">
      <c r="AC92" s="131"/>
      <c r="AF92" s="112"/>
      <c r="AG92" s="112"/>
    </row>
    <row r="93" spans="29:33" x14ac:dyDescent="0.25">
      <c r="AC93" s="131"/>
      <c r="AF93" s="112"/>
      <c r="AG93" s="112"/>
    </row>
    <row r="94" spans="29:33" x14ac:dyDescent="0.25">
      <c r="AC94" s="131"/>
      <c r="AF94" s="112"/>
      <c r="AG94" s="112"/>
    </row>
    <row r="95" spans="29:33" x14ac:dyDescent="0.25">
      <c r="AC95" s="131"/>
      <c r="AF95" s="112"/>
      <c r="AG95" s="112"/>
    </row>
    <row r="96" spans="29:33" x14ac:dyDescent="0.25">
      <c r="AC96" s="131"/>
      <c r="AF96" s="112"/>
      <c r="AG96" s="112"/>
    </row>
    <row r="97" spans="29:33" x14ac:dyDescent="0.25">
      <c r="AC97" s="131"/>
      <c r="AF97" s="112"/>
      <c r="AG97" s="112"/>
    </row>
    <row r="98" spans="29:33" x14ac:dyDescent="0.25">
      <c r="AC98" s="131"/>
      <c r="AF98" s="112"/>
      <c r="AG98" s="112"/>
    </row>
    <row r="99" spans="29:33" x14ac:dyDescent="0.25">
      <c r="AC99" s="131"/>
      <c r="AF99" s="112"/>
      <c r="AG99" s="112"/>
    </row>
    <row r="100" spans="29:33" x14ac:dyDescent="0.25">
      <c r="AC100" s="131"/>
      <c r="AF100" s="112"/>
      <c r="AG100" s="112"/>
    </row>
    <row r="101" spans="29:33" x14ac:dyDescent="0.25">
      <c r="AC101" s="131"/>
      <c r="AF101" s="112"/>
      <c r="AG101" s="112"/>
    </row>
    <row r="102" spans="29:33" x14ac:dyDescent="0.25">
      <c r="AC102" s="131"/>
      <c r="AF102" s="112"/>
      <c r="AG102" s="112"/>
    </row>
    <row r="103" spans="29:33" x14ac:dyDescent="0.25">
      <c r="AC103" s="131"/>
      <c r="AF103" s="112"/>
      <c r="AG103" s="112"/>
    </row>
    <row r="104" spans="29:33" x14ac:dyDescent="0.25">
      <c r="AC104" s="131"/>
      <c r="AF104" s="112"/>
      <c r="AG104" s="112"/>
    </row>
    <row r="105" spans="29:33" x14ac:dyDescent="0.25">
      <c r="AC105" s="131"/>
      <c r="AF105" s="112"/>
      <c r="AG105" s="112"/>
    </row>
    <row r="106" spans="29:33" x14ac:dyDescent="0.25">
      <c r="AC106" s="131"/>
      <c r="AF106" s="112"/>
      <c r="AG106" s="112"/>
    </row>
    <row r="107" spans="29:33" x14ac:dyDescent="0.25">
      <c r="AC107" s="131"/>
      <c r="AF107" s="112"/>
      <c r="AG107" s="112"/>
    </row>
    <row r="108" spans="29:33" hidden="1" x14ac:dyDescent="0.25">
      <c r="AC108" s="131"/>
      <c r="AF108" s="112"/>
      <c r="AG108" s="112"/>
    </row>
    <row r="109" spans="29:33" hidden="1" x14ac:dyDescent="0.25">
      <c r="AC109" s="131"/>
      <c r="AF109" s="112"/>
      <c r="AG109" s="112"/>
    </row>
    <row r="110" spans="29:33" x14ac:dyDescent="0.25"/>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4803149606299213" right="0.74803149606299213" top="0.98425196850393704" bottom="0.98425196850393704" header="0.51181102362204722" footer="0.51181102362204722"/>
  <pageSetup scale="56" orientation="portrait" horizontalDpi="200"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abSelected="1" topLeftCell="B1" workbookViewId="0">
      <pane ySplit="23" topLeftCell="A26" activePane="bottomLeft" state="frozenSplit"/>
      <selection pane="bottomLeft" activeCell="B24" sqref="B24"/>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1" t="s">
        <v>221</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5.1999999999999998E-3</v>
      </c>
      <c r="G25" s="57"/>
      <c r="H25" s="64">
        <f>VLOOKUP('9. Adj Network to Current WS'!$B25, '4. RRR Data'!$B$27:$M$49,11,0)</f>
        <v>278453368.28100002</v>
      </c>
      <c r="I25" s="72"/>
      <c r="J25" s="64">
        <f>VLOOKUP('9. Adj Network to Current WS'!$B25, '4. RRR Data'!$B$27:$M$49,12,0)</f>
        <v>0</v>
      </c>
      <c r="K25" s="58"/>
      <c r="L25" s="60">
        <f t="shared" ref="L25:L46" si="0">IF(F25="", "", IF(D25="kWh", F25*H25, F25*J25))</f>
        <v>1447957.5150612001</v>
      </c>
      <c r="M25" s="55"/>
      <c r="N25" s="61">
        <f t="shared" ref="N25:N46" si="1">IF(ISERROR(L25/$L$49), "", L25/$L$49)</f>
        <v>0.3680572786578109</v>
      </c>
      <c r="O25" s="13"/>
      <c r="P25" s="62">
        <f>IF(ISERROR('7. Current Wholesale'!$P$75*N25), "", '7. Current Wholesale'!$P$75*N25)</f>
        <v>1483068.7621838495</v>
      </c>
      <c r="R25" s="63">
        <f t="shared" ref="R25:R46" si="2">IF(D25="","",IF(D25="kWh",IF(H25&lt;&gt;0,P25/H25,),IF(J25&lt;&gt;0,P25/J25,0)))</f>
        <v>5.3260938136227426E-3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4.5999999999999999E-3</v>
      </c>
      <c r="G26" s="57"/>
      <c r="H26" s="64">
        <f>VLOOKUP('9. Adj Network to Current WS'!$B26, '4. RRR Data'!$B$27:$M$49,11,0)</f>
        <v>86355699.790800005</v>
      </c>
      <c r="I26" s="72"/>
      <c r="J26" s="64">
        <f>VLOOKUP('9. Adj Network to Current WS'!$B26, '4. RRR Data'!$B$27:$M$49,12,0)</f>
        <v>0</v>
      </c>
      <c r="K26" s="59"/>
      <c r="L26" s="60">
        <f t="shared" si="0"/>
        <v>397236.21903768001</v>
      </c>
      <c r="M26" s="55"/>
      <c r="N26" s="61">
        <f t="shared" si="1"/>
        <v>0.10097373731103361</v>
      </c>
      <c r="P26" s="62">
        <f>IF(ISERROR('7. Current Wholesale'!$P$75*N26), "", '7. Current Wholesale'!$P$75*N26)</f>
        <v>406868.72476220701</v>
      </c>
      <c r="R26" s="63">
        <f t="shared" si="2"/>
        <v>4.7115445274355031E-3</v>
      </c>
    </row>
    <row r="27" spans="2:18" ht="25.5" customHeight="1" thickBot="1" x14ac:dyDescent="0.25">
      <c r="B27" s="15" t="str">
        <f>IF('3. Rate Classes'!Q26=1,'3. Rate Classes'!C26, 0)</f>
        <v>General Service 50 to 999 kW</v>
      </c>
      <c r="C27" s="8"/>
      <c r="D27" s="16" t="str">
        <f>IF(ISERROR(VLOOKUP($B27, '3. Rate Classes'!$C$24:$H$45,6,0)), "", VLOOKUP($B27, '3. Rate Classes'!$C$24:$H$45,6,0))</f>
        <v>kW</v>
      </c>
      <c r="F27" s="70">
        <f>IF(ISERROR(VLOOKUP($B27,'3. Rate Classes'!$C$24:$N$45, 11,0)), "", VLOOKUP($B27,'3. Rate Classes'!$C$24:$N$45, 11,0))</f>
        <v>2.1577000000000002</v>
      </c>
      <c r="G27" s="57"/>
      <c r="H27" s="64">
        <f>VLOOKUP('9. Adj Network to Current WS'!$B27, '4. RRR Data'!$B$27:$M$49,11,0)</f>
        <v>192782769</v>
      </c>
      <c r="I27" s="72"/>
      <c r="J27" s="64">
        <f>VLOOKUP('9. Adj Network to Current WS'!$B27, '4. RRR Data'!$B$27:$M$49,12,0)</f>
        <v>503231</v>
      </c>
      <c r="K27" s="59"/>
      <c r="L27" s="60">
        <f t="shared" si="0"/>
        <v>1085821.5287000001</v>
      </c>
      <c r="M27" s="55"/>
      <c r="N27" s="61">
        <f t="shared" si="1"/>
        <v>0.27600569271156733</v>
      </c>
      <c r="P27" s="62">
        <f>IF(ISERROR('7. Current Wholesale'!$P$75*N27), "", '7. Current Wholesale'!$P$75*N27)</f>
        <v>1112151.408982204</v>
      </c>
      <c r="R27" s="63">
        <f t="shared" si="2"/>
        <v>2.2100216580103451</v>
      </c>
    </row>
    <row r="28" spans="2:18" ht="25.5" customHeight="1" thickBot="1" x14ac:dyDescent="0.25">
      <c r="B28" s="15" t="str">
        <f>IF('3. Rate Classes'!Q27=1,'3. Rate Classes'!C27, 0)</f>
        <v>General Service 1,000 to 4,999 kW</v>
      </c>
      <c r="C28" s="8"/>
      <c r="D28" s="16" t="str">
        <f>IF(ISERROR(VLOOKUP($B28, '3. Rate Classes'!$C$24:$H$45,6,0)), "", VLOOKUP($B28, '3. Rate Classes'!$C$24:$H$45,6,0))</f>
        <v>kW</v>
      </c>
      <c r="F28" s="70">
        <f>IF(ISERROR(VLOOKUP($B28,'3. Rate Classes'!$C$24:$N$45, 11,0)), "", VLOOKUP($B28,'3. Rate Classes'!$C$24:$N$45, 11,0))</f>
        <v>2.1225000000000001</v>
      </c>
      <c r="G28" s="57"/>
      <c r="H28" s="64">
        <f>VLOOKUP('9. Adj Network to Current WS'!$B28, '4. RRR Data'!$B$27:$M$49,11,0)</f>
        <v>121407487</v>
      </c>
      <c r="I28" s="72"/>
      <c r="J28" s="64">
        <f>VLOOKUP('9. Adj Network to Current WS'!$B28, '4. RRR Data'!$B$27:$M$49,12,0)</f>
        <v>260972</v>
      </c>
      <c r="K28" s="59"/>
      <c r="L28" s="60">
        <f t="shared" si="0"/>
        <v>553913.07000000007</v>
      </c>
      <c r="M28" s="55"/>
      <c r="N28" s="61">
        <f t="shared" si="1"/>
        <v>0.14079952970759407</v>
      </c>
      <c r="P28" s="62">
        <f>IF(ISERROR('7. Current Wholesale'!$P$75*N28), "", '7. Current Wholesale'!$P$75*N28)</f>
        <v>567344.8029638041</v>
      </c>
      <c r="R28" s="63">
        <f t="shared" si="2"/>
        <v>2.1739680998873601</v>
      </c>
    </row>
    <row r="29" spans="2:18" ht="25.5" customHeight="1" thickBot="1" x14ac:dyDescent="0.25">
      <c r="B29" s="15" t="str">
        <f>IF('3. Rate Classes'!Q28=1,'3. Rate Classes'!C28, 0)</f>
        <v>Large Use</v>
      </c>
      <c r="C29" s="8"/>
      <c r="D29" s="16" t="str">
        <f>IF(ISERROR(VLOOKUP($B29, '3. Rate Classes'!$C$24:$H$45,6,0)), "", VLOOKUP($B29, '3. Rate Classes'!$C$24:$H$45,6,0))</f>
        <v>kW</v>
      </c>
      <c r="F29" s="70">
        <f>IF(ISERROR(VLOOKUP($B29,'3. Rate Classes'!$C$24:$N$45, 11,0)), "", VLOOKUP($B29,'3. Rate Classes'!$C$24:$N$45, 11,0))</f>
        <v>2.3736999999999999</v>
      </c>
      <c r="G29" s="57"/>
      <c r="H29" s="64">
        <f>VLOOKUP('9. Adj Network to Current WS'!$B29, '4. RRR Data'!$B$27:$M$49,11,0)</f>
        <v>80336534</v>
      </c>
      <c r="I29" s="72"/>
      <c r="J29" s="64">
        <f>VLOOKUP('9. Adj Network to Current WS'!$B29, '4. RRR Data'!$B$27:$M$49,12,0)</f>
        <v>175385</v>
      </c>
      <c r="K29" s="59"/>
      <c r="L29" s="60">
        <f t="shared" si="0"/>
        <v>416311.37449999998</v>
      </c>
      <c r="M29" s="55"/>
      <c r="N29" s="61">
        <f t="shared" si="1"/>
        <v>0.10582246369727666</v>
      </c>
      <c r="P29" s="62">
        <f>IF(ISERROR('7. Current Wholesale'!$P$75*N29), "", '7. Current Wholesale'!$P$75*N29)</f>
        <v>426406.43005100591</v>
      </c>
      <c r="R29" s="63">
        <f t="shared" si="2"/>
        <v>2.4312594010377508</v>
      </c>
    </row>
    <row r="30" spans="2:18" ht="25.5" customHeight="1" thickBot="1" x14ac:dyDescent="0.25">
      <c r="B30" s="15" t="str">
        <f>IF('3. Rate Classes'!Q29=1,'3. Rate Classes'!C29, 0)</f>
        <v>Unmetered Scattered Load</v>
      </c>
      <c r="C30" s="8"/>
      <c r="D30" s="16" t="str">
        <f>IF(ISERROR(VLOOKUP($B30, '3. Rate Classes'!$C$24:$H$45,6,0)), "", VLOOKUP($B30, '3. Rate Classes'!$C$24:$H$45,6,0))</f>
        <v>kWh</v>
      </c>
      <c r="F30" s="70">
        <f>IF(ISERROR(VLOOKUP($B30,'3. Rate Classes'!$C$24:$N$45, 11,0)), "", VLOOKUP($B30,'3. Rate Classes'!$C$24:$N$45, 11,0))</f>
        <v>4.5999999999999999E-3</v>
      </c>
      <c r="G30" s="57"/>
      <c r="H30" s="64">
        <f>VLOOKUP('9. Adj Network to Current WS'!$B30, '4. RRR Data'!$B$27:$M$49,11,0)</f>
        <v>1345962.6642</v>
      </c>
      <c r="I30" s="72"/>
      <c r="J30" s="64">
        <f>VLOOKUP('9. Adj Network to Current WS'!$B30, '4. RRR Data'!$B$27:$M$49,12,0)</f>
        <v>0</v>
      </c>
      <c r="K30" s="59"/>
      <c r="L30" s="60">
        <f t="shared" si="0"/>
        <v>6191.4282553200001</v>
      </c>
      <c r="M30" s="55"/>
      <c r="N30" s="61">
        <f t="shared" si="1"/>
        <v>1.5738032441938328E-3</v>
      </c>
      <c r="P30" s="62">
        <f>IF(ISERROR('7. Current Wholesale'!$P$75*N30), "", '7. Current Wholesale'!$P$75*N30)</f>
        <v>6341.5630246440196</v>
      </c>
      <c r="R30" s="63">
        <f t="shared" si="2"/>
        <v>4.7115445274355031E-3</v>
      </c>
    </row>
    <row r="31" spans="2:18" ht="25.5" customHeight="1" thickBot="1" x14ac:dyDescent="0.25">
      <c r="B31" s="15" t="str">
        <f>IF('3. Rate Classes'!Q30=1,'3. Rate Classes'!C30, 0)</f>
        <v>Sentinel Lighting</v>
      </c>
      <c r="C31" s="8"/>
      <c r="D31" s="16" t="str">
        <f>IF(ISERROR(VLOOKUP($B31, '3. Rate Classes'!$C$24:$H$45,6,0)), "", VLOOKUP($B31, '3. Rate Classes'!$C$24:$H$45,6,0))</f>
        <v>kW</v>
      </c>
      <c r="F31" s="70">
        <f>IF(ISERROR(VLOOKUP($B31,'3. Rate Classes'!$C$24:$N$45, 11,0)), "", VLOOKUP($B31,'3. Rate Classes'!$C$24:$N$45, 11,0))</f>
        <v>1.4819</v>
      </c>
      <c r="G31" s="57"/>
      <c r="H31" s="64">
        <f>VLOOKUP('9. Adj Network to Current WS'!$B31, '4. RRR Data'!$B$27:$M$49,11,0)</f>
        <v>158082</v>
      </c>
      <c r="I31" s="72"/>
      <c r="J31" s="64">
        <f>VLOOKUP('9. Adj Network to Current WS'!$B31, '4. RRR Data'!$B$27:$M$49,12,0)</f>
        <v>439</v>
      </c>
      <c r="K31" s="59"/>
      <c r="L31" s="60">
        <f t="shared" si="0"/>
        <v>650.55409999999995</v>
      </c>
      <c r="M31" s="55"/>
      <c r="N31" s="61">
        <f t="shared" si="1"/>
        <v>1.6536477705670876E-4</v>
      </c>
      <c r="P31" s="62">
        <f>IF(ISERROR('7. Current Wholesale'!$P$75*N31), "", '7. Current Wholesale'!$P$75*N31)</f>
        <v>666.32926296863673</v>
      </c>
      <c r="R31" s="63">
        <f t="shared" si="2"/>
        <v>1.5178343120014504</v>
      </c>
    </row>
    <row r="32" spans="2:18" ht="25.5" customHeight="1" thickBot="1" x14ac:dyDescent="0.25">
      <c r="B32" s="15" t="str">
        <f>IF('3. Rate Classes'!Q31=1,'3. Rate Classes'!C31, 0)</f>
        <v>Street Lighting</v>
      </c>
      <c r="C32" s="8"/>
      <c r="D32" s="16" t="str">
        <f>IF(ISERROR(VLOOKUP($B32, '3. Rate Classes'!$C$24:$H$45,6,0)), "", VLOOKUP($B32, '3. Rate Classes'!$C$24:$H$45,6,0))</f>
        <v>kW</v>
      </c>
      <c r="F32" s="70">
        <f>IF(ISERROR(VLOOKUP($B32,'3. Rate Classes'!$C$24:$N$45, 11,0)), "", VLOOKUP($B32,'3. Rate Classes'!$C$24:$N$45, 11,0))</f>
        <v>1.4515</v>
      </c>
      <c r="G32" s="57"/>
      <c r="H32" s="64">
        <f>VLOOKUP('9. Adj Network to Current WS'!$B32, '4. RRR Data'!$B$27:$M$49,11,0)</f>
        <v>6418516</v>
      </c>
      <c r="I32" s="72"/>
      <c r="J32" s="64">
        <f>VLOOKUP('9. Adj Network to Current WS'!$B32, '4. RRR Data'!$B$27:$M$49,12,0)</f>
        <v>17894</v>
      </c>
      <c r="K32" s="59"/>
      <c r="L32" s="60">
        <f t="shared" si="0"/>
        <v>25973.141</v>
      </c>
      <c r="M32" s="55"/>
      <c r="N32" s="61">
        <f t="shared" si="1"/>
        <v>6.6021298934669107E-3</v>
      </c>
      <c r="P32" s="62">
        <f>IF(ISERROR('7. Current Wholesale'!$P$75*N32), "", '7. Current Wholesale'!$P$75*N32)</f>
        <v>26602.958769317542</v>
      </c>
      <c r="R32" s="63">
        <f t="shared" si="2"/>
        <v>1.4866971481679636</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x14ac:dyDescent="0.25">
      <c r="F47" s="70"/>
      <c r="G47" s="37"/>
      <c r="H47" s="74"/>
      <c r="I47" s="74"/>
      <c r="J47" s="74"/>
      <c r="R47" s="63"/>
    </row>
    <row r="48" spans="2:18" ht="13.5" thickBot="1" x14ac:dyDescent="0.25">
      <c r="F48" s="70"/>
      <c r="G48" s="37"/>
      <c r="H48" s="74"/>
      <c r="I48" s="74"/>
      <c r="J48" s="74"/>
    </row>
    <row r="49" spans="6:12" ht="13.5" thickBot="1" x14ac:dyDescent="0.25">
      <c r="F49" s="70"/>
      <c r="G49" s="37"/>
      <c r="H49" s="74"/>
      <c r="I49" s="74"/>
      <c r="J49" s="74"/>
      <c r="L49" s="71">
        <f>SUM(L25:L46)</f>
        <v>3934054.8306542002</v>
      </c>
    </row>
    <row r="50" spans="6:12" ht="13.5" thickBot="1" x14ac:dyDescent="0.25">
      <c r="F50" s="70"/>
      <c r="G50" s="37"/>
      <c r="H50" s="74"/>
      <c r="I50" s="74"/>
      <c r="J50" s="74"/>
    </row>
    <row r="51" spans="6:12" ht="13.5" thickBot="1" x14ac:dyDescent="0.25">
      <c r="F51" s="70"/>
      <c r="G51" s="37"/>
      <c r="H51" s="74"/>
      <c r="I51" s="74"/>
      <c r="J51" s="74"/>
    </row>
    <row r="52" spans="6:12" ht="13.5" thickBot="1" x14ac:dyDescent="0.25">
      <c r="F52" s="70"/>
      <c r="G52" s="37"/>
      <c r="H52" s="74"/>
      <c r="I52" s="74"/>
      <c r="J52" s="74"/>
    </row>
    <row r="53" spans="6:12" ht="13.5" thickBot="1" x14ac:dyDescent="0.25">
      <c r="F53" s="70"/>
      <c r="G53" s="37"/>
      <c r="H53" s="37"/>
      <c r="I53" s="37"/>
      <c r="J53" s="37"/>
    </row>
    <row r="54" spans="6:12" ht="13.5" thickBot="1" x14ac:dyDescent="0.25">
      <c r="F54" s="70"/>
      <c r="G54" s="37"/>
      <c r="H54" s="37"/>
      <c r="I54" s="37"/>
      <c r="J54" s="37"/>
    </row>
    <row r="55" spans="6:12" ht="13.5" thickBot="1" x14ac:dyDescent="0.25">
      <c r="F55" s="57"/>
      <c r="G55" s="37"/>
      <c r="H55" s="37"/>
      <c r="I55" s="37"/>
      <c r="J55" s="37"/>
    </row>
    <row r="56" spans="6:12" ht="13.5" thickBot="1" x14ac:dyDescent="0.25">
      <c r="F56" s="57"/>
      <c r="G56" s="37"/>
      <c r="H56" s="37"/>
      <c r="I56" s="37"/>
      <c r="J56" s="37"/>
    </row>
    <row r="57" spans="6:12" x14ac:dyDescent="0.2">
      <c r="F57" s="37"/>
      <c r="G57" s="37"/>
      <c r="H57" s="37"/>
      <c r="I57" s="37"/>
      <c r="J57" s="37"/>
    </row>
  </sheetData>
  <sheetProtection password="F8BD" sheet="1" objects="1" scenarios="1"/>
  <phoneticPr fontId="21" type="noConversion"/>
  <pageMargins left="0.75" right="0.75" top="1" bottom="1" header="0.5" footer="0.5"/>
  <pageSetup scale="6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topLeftCell="B1" zoomScaleNormal="100" workbookViewId="0">
      <pane ySplit="23" topLeftCell="A24" activePane="bottomLeft" state="frozenSplit"/>
      <selection pane="bottomLeft" activeCell="B24" sqref="B24"/>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1" t="s">
        <v>219</v>
      </c>
    </row>
    <row r="15" spans="2:19" ht="3" customHeight="1" x14ac:dyDescent="0.2">
      <c r="S15" s="140"/>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67">
        <f>VLOOKUP($B25, '9. Adj Network to Current WS'!$B$25:$R$47, 17,0)</f>
        <v>6.9646706129093882E-3</v>
      </c>
      <c r="G25" s="65"/>
      <c r="H25" s="64">
        <f>VLOOKUP('9. Adj Network to Current WS'!$B25, '4. RRR Data'!$B$27:$M$49,11,0)</f>
        <v>278453368.28100002</v>
      </c>
      <c r="I25" s="72"/>
      <c r="J25" s="64">
        <f>VLOOKUP('9. Adj Network to Current WS'!$B25, '4. RRR Data'!$B$27:$M$49,12,0)</f>
        <v>0</v>
      </c>
      <c r="K25" s="58"/>
      <c r="L25" s="60">
        <f t="shared" ref="L25:L46" si="0">IF(F25="", "", IF(D25="kWh", F25*H25, F25*J25))</f>
        <v>1939335.9911323159</v>
      </c>
      <c r="M25" s="55"/>
      <c r="N25" s="61">
        <f t="shared" ref="N25:N46" si="1">IF(ISERROR(L25/$L$49), "", L25/$L$49)</f>
        <v>0.3702261318512875</v>
      </c>
      <c r="O25" s="13"/>
      <c r="P25" s="62">
        <f>IF(ISERROR('8. Forecast Wholesale'!$F$75*N25), "", '8. Forecast Wholesale'!$F$75*N25)</f>
        <v>2015721.6390176837</v>
      </c>
      <c r="R25" s="63">
        <f t="shared" ref="R25:R46" si="2">IF(D25="","",IF(D25="kWh",IF(H25&lt;&gt;0,P25/H25,),IF(J25&lt;&gt;0,P25/J25,0)))</f>
        <v>7.2389917617499489E-3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7">
        <f>VLOOKUP($B26, '9. Adj Network to Current WS'!$B$25:$R$47, 17,0)</f>
        <v>6.3501408529467963E-3</v>
      </c>
      <c r="G26" s="65"/>
      <c r="H26" s="64">
        <f>VLOOKUP('9. Adj Network to Current WS'!$B26, '4. RRR Data'!$B$27:$M$49,11,0)</f>
        <v>86355699.790800005</v>
      </c>
      <c r="I26" s="72"/>
      <c r="J26" s="64">
        <f>VLOOKUP('9. Adj Network to Current WS'!$B26, '4. RRR Data'!$B$27:$M$49,12,0)</f>
        <v>0</v>
      </c>
      <c r="K26" s="59"/>
      <c r="L26" s="60">
        <f t="shared" si="0"/>
        <v>548370.85712636821</v>
      </c>
      <c r="M26" s="55"/>
      <c r="N26" s="61">
        <f t="shared" si="1"/>
        <v>0.10468594518030513</v>
      </c>
      <c r="P26" s="62">
        <f>IF(ISERROR('8. Forecast Wholesale'!$F$75*N26), "", '8. Forecast Wholesale'!$F$75*N26)</f>
        <v>569969.82883348083</v>
      </c>
      <c r="R26" s="63">
        <f t="shared" si="2"/>
        <v>6.6002571945367201E-3</v>
      </c>
    </row>
    <row r="27" spans="2:18" ht="25.5" customHeight="1" thickBot="1" x14ac:dyDescent="0.25">
      <c r="B27" s="15" t="str">
        <f>IF('3. Rate Classes'!Q26=1,'3. Rate Classes'!C26, 0)</f>
        <v>General Service 50 to 999 kW</v>
      </c>
      <c r="C27" s="8"/>
      <c r="D27" s="16" t="str">
        <f>IF(ISERROR(VLOOKUP($B27, '3. Rate Classes'!$C$24:$H$45,6,0)), "", VLOOKUP($B27, '3. Rate Classes'!$C$24:$H$45,6,0))</f>
        <v>kW</v>
      </c>
      <c r="F27" s="67">
        <f>VLOOKUP($B27, '9. Adj Network to Current WS'!$B$25:$R$47, 17,0)</f>
        <v>2.858894864972644</v>
      </c>
      <c r="G27" s="65"/>
      <c r="H27" s="64">
        <f>VLOOKUP('9. Adj Network to Current WS'!$B27, '4. RRR Data'!$B$27:$M$49,11,0)</f>
        <v>192782769</v>
      </c>
      <c r="I27" s="72"/>
      <c r="J27" s="64">
        <f>VLOOKUP('9. Adj Network to Current WS'!$B27, '4. RRR Data'!$B$27:$M$49,12,0)</f>
        <v>503231</v>
      </c>
      <c r="K27" s="59"/>
      <c r="L27" s="60">
        <f t="shared" si="0"/>
        <v>1438684.5217950486</v>
      </c>
      <c r="M27" s="55"/>
      <c r="N27" s="61">
        <f t="shared" si="1"/>
        <v>0.27464998736372115</v>
      </c>
      <c r="P27" s="62">
        <f>IF(ISERROR('8. Forecast Wholesale'!$F$75*N27), "", '8. Forecast Wholesale'!$F$75*N27)</f>
        <v>1495350.7466279108</v>
      </c>
      <c r="R27" s="63">
        <f t="shared" si="2"/>
        <v>2.9714996624371528</v>
      </c>
    </row>
    <row r="28" spans="2:18" ht="25.5" customHeight="1" thickBot="1" x14ac:dyDescent="0.25">
      <c r="B28" s="15" t="str">
        <f>IF('3. Rate Classes'!Q27=1,'3. Rate Classes'!C27, 0)</f>
        <v>General Service 1,000 to 4,999 kW</v>
      </c>
      <c r="C28" s="8"/>
      <c r="D28" s="16" t="str">
        <f>IF(ISERROR(VLOOKUP($B28, '3. Rate Classes'!$C$24:$H$45,6,0)), "", VLOOKUP($B28, '3. Rate Classes'!$C$24:$H$45,6,0))</f>
        <v>kW</v>
      </c>
      <c r="F28" s="67">
        <f>VLOOKUP($B28, '9. Adj Network to Current WS'!$B$25:$R$47, 17,0)</f>
        <v>2.8117809167088454</v>
      </c>
      <c r="G28" s="65"/>
      <c r="H28" s="64">
        <f>VLOOKUP('9. Adj Network to Current WS'!$B28, '4. RRR Data'!$B$27:$M$49,11,0)</f>
        <v>121407487</v>
      </c>
      <c r="I28" s="72"/>
      <c r="J28" s="64">
        <f>VLOOKUP('9. Adj Network to Current WS'!$B28, '4. RRR Data'!$B$27:$M$49,12,0)</f>
        <v>260972</v>
      </c>
      <c r="K28" s="59"/>
      <c r="L28" s="60">
        <f t="shared" si="0"/>
        <v>733796.08939534076</v>
      </c>
      <c r="M28" s="55"/>
      <c r="N28" s="61">
        <f t="shared" si="1"/>
        <v>0.14008428090163941</v>
      </c>
      <c r="P28" s="62">
        <f>IF(ISERROR('8. Forecast Wholesale'!$F$75*N28), "", '8. Forecast Wholesale'!$F$75*N28)</f>
        <v>762698.50236581615</v>
      </c>
      <c r="R28" s="63">
        <f t="shared" si="2"/>
        <v>2.9225300122841382</v>
      </c>
    </row>
    <row r="29" spans="2:18" ht="25.5" customHeight="1" thickBot="1" x14ac:dyDescent="0.25">
      <c r="B29" s="15" t="str">
        <f>IF('3. Rate Classes'!Q28=1,'3. Rate Classes'!C28, 0)</f>
        <v>Large Use</v>
      </c>
      <c r="C29" s="8"/>
      <c r="D29" s="16" t="str">
        <f>IF(ISERROR(VLOOKUP($B29, '3. Rate Classes'!$C$24:$H$45,6,0)), "", VLOOKUP($B29, '3. Rate Classes'!$C$24:$H$45,6,0))</f>
        <v>kW</v>
      </c>
      <c r="F29" s="67">
        <f>VLOOKUP($B29, '9. Adj Network to Current WS'!$B$25:$R$47, 17,0)</f>
        <v>3.0447901173613285</v>
      </c>
      <c r="G29" s="65"/>
      <c r="H29" s="64">
        <f>VLOOKUP('9. Adj Network to Current WS'!$B29, '4. RRR Data'!$B$27:$M$49,11,0)</f>
        <v>80336534</v>
      </c>
      <c r="I29" s="72"/>
      <c r="J29" s="64">
        <f>VLOOKUP('9. Adj Network to Current WS'!$B29, '4. RRR Data'!$B$27:$M$49,12,0)</f>
        <v>175385</v>
      </c>
      <c r="K29" s="59"/>
      <c r="L29" s="60">
        <f t="shared" si="0"/>
        <v>534010.51473341661</v>
      </c>
      <c r="M29" s="55"/>
      <c r="N29" s="61">
        <f t="shared" si="1"/>
        <v>0.10194450479013409</v>
      </c>
      <c r="P29" s="62">
        <f>IF(ISERROR('8. Forecast Wholesale'!$F$75*N29), "", '8. Forecast Wholesale'!$F$75*N29)</f>
        <v>555043.86807292455</v>
      </c>
      <c r="R29" s="63">
        <f t="shared" si="2"/>
        <v>3.1647168690191552</v>
      </c>
    </row>
    <row r="30" spans="2:18" ht="25.5" customHeight="1" thickBot="1" x14ac:dyDescent="0.25">
      <c r="B30" s="15" t="str">
        <f>IF('3. Rate Classes'!Q29=1,'3. Rate Classes'!C29, 0)</f>
        <v>Unmetered Scattered Load</v>
      </c>
      <c r="C30" s="8"/>
      <c r="D30" s="16" t="str">
        <f>IF(ISERROR(VLOOKUP($B30, '3. Rate Classes'!$C$24:$H$45,6,0)), "", VLOOKUP($B30, '3. Rate Classes'!$C$24:$H$45,6,0))</f>
        <v>kWh</v>
      </c>
      <c r="F30" s="67">
        <f>VLOOKUP($B30, '9. Adj Network to Current WS'!$B$25:$R$47, 17,0)</f>
        <v>6.3501408529467963E-3</v>
      </c>
      <c r="G30" s="65"/>
      <c r="H30" s="64">
        <f>VLOOKUP('9. Adj Network to Current WS'!$B30, '4. RRR Data'!$B$27:$M$49,11,0)</f>
        <v>1345962.6642</v>
      </c>
      <c r="I30" s="72"/>
      <c r="J30" s="64">
        <f>VLOOKUP('9. Adj Network to Current WS'!$B30, '4. RRR Data'!$B$27:$M$49,12,0)</f>
        <v>0</v>
      </c>
      <c r="K30" s="59"/>
      <c r="L30" s="60">
        <f t="shared" si="0"/>
        <v>8547.05250047753</v>
      </c>
      <c r="M30" s="55"/>
      <c r="N30" s="61">
        <f t="shared" si="1"/>
        <v>1.6316626930303671E-3</v>
      </c>
      <c r="P30" s="62">
        <f>IF(ISERROR('8. Forecast Wholesale'!$F$75*N30), "", '8. Forecast Wholesale'!$F$75*N30)</f>
        <v>8883.699757963861</v>
      </c>
      <c r="R30" s="63">
        <f t="shared" si="2"/>
        <v>6.6002571945367201E-3</v>
      </c>
    </row>
    <row r="31" spans="2:18" ht="25.5" customHeight="1" thickBot="1" x14ac:dyDescent="0.25">
      <c r="B31" s="15" t="str">
        <f>IF('3. Rate Classes'!Q30=1,'3. Rate Classes'!C30, 0)</f>
        <v>Sentinel Lighting</v>
      </c>
      <c r="C31" s="8"/>
      <c r="D31" s="16" t="str">
        <f>IF(ISERROR(VLOOKUP($B31, '3. Rate Classes'!$C$24:$H$45,6,0)), "", VLOOKUP($B31, '3. Rate Classes'!$C$24:$H$45,6,0))</f>
        <v>kW</v>
      </c>
      <c r="F31" s="67">
        <f>VLOOKUP($B31, '9. Adj Network to Current WS'!$B$25:$R$47, 17,0)</f>
        <v>1.9461133281748717</v>
      </c>
      <c r="G31" s="65"/>
      <c r="H31" s="64">
        <f>VLOOKUP('9. Adj Network to Current WS'!$B31, '4. RRR Data'!$B$27:$M$49,11,0)</f>
        <v>158082</v>
      </c>
      <c r="I31" s="72"/>
      <c r="J31" s="64">
        <f>VLOOKUP('9. Adj Network to Current WS'!$B31, '4. RRR Data'!$B$27:$M$49,12,0)</f>
        <v>439</v>
      </c>
      <c r="K31" s="59"/>
      <c r="L31" s="60">
        <f t="shared" si="0"/>
        <v>854.34375106876871</v>
      </c>
      <c r="M31" s="55"/>
      <c r="N31" s="61">
        <f t="shared" si="1"/>
        <v>1.6309725786341534E-4</v>
      </c>
      <c r="P31" s="62">
        <f>IF(ISERROR('8. Forecast Wholesale'!$F$75*N31), "", '8. Forecast Wholesale'!$F$75*N31)</f>
        <v>887.9942382667607</v>
      </c>
      <c r="R31" s="63">
        <f t="shared" si="2"/>
        <v>2.0227659186030995</v>
      </c>
    </row>
    <row r="32" spans="2:18" ht="25.5" customHeight="1" thickBot="1" x14ac:dyDescent="0.25">
      <c r="B32" s="15" t="str">
        <f>IF('3. Rate Classes'!Q31=1,'3. Rate Classes'!C31, 0)</f>
        <v>Street Lighting</v>
      </c>
      <c r="C32" s="8"/>
      <c r="D32" s="16" t="str">
        <f>IF(ISERROR(VLOOKUP($B32, '3. Rate Classes'!$C$24:$H$45,6,0)), "", VLOOKUP($B32, '3. Rate Classes'!$C$24:$H$45,6,0))</f>
        <v>kW</v>
      </c>
      <c r="F32" s="67">
        <f>VLOOKUP($B32, '9. Adj Network to Current WS'!$B$25:$R$47, 17,0)</f>
        <v>1.9362808520154706</v>
      </c>
      <c r="G32" s="65"/>
      <c r="H32" s="64">
        <f>VLOOKUP('9. Adj Network to Current WS'!$B32, '4. RRR Data'!$B$27:$M$49,11,0)</f>
        <v>6418516</v>
      </c>
      <c r="I32" s="72"/>
      <c r="J32" s="64">
        <f>VLOOKUP('9. Adj Network to Current WS'!$B32, '4. RRR Data'!$B$27:$M$49,12,0)</f>
        <v>17894</v>
      </c>
      <c r="K32" s="59"/>
      <c r="L32" s="60">
        <f t="shared" si="0"/>
        <v>34647.809565964832</v>
      </c>
      <c r="M32" s="55"/>
      <c r="N32" s="61">
        <f t="shared" si="1"/>
        <v>6.6143899620187104E-3</v>
      </c>
      <c r="P32" s="62">
        <f>IF(ISERROR('8. Forecast Wholesale'!$F$75*N32), "", '8. Forecast Wholesale'!$F$75*N32)</f>
        <v>36012.501085952455</v>
      </c>
      <c r="R32" s="63">
        <f t="shared" si="2"/>
        <v>2.0125461655276884</v>
      </c>
    </row>
    <row r="33" spans="2:18" ht="25.5" hidden="1" customHeight="1" thickBot="1" x14ac:dyDescent="0.25">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x14ac:dyDescent="0.25">
      <c r="F47" s="67"/>
      <c r="G47" s="66"/>
      <c r="H47" s="66"/>
      <c r="I47" s="66"/>
      <c r="J47" s="66"/>
      <c r="R47" s="68"/>
    </row>
    <row r="48" spans="2:18" ht="13.5" thickBot="1" x14ac:dyDescent="0.25">
      <c r="F48" s="67"/>
      <c r="G48" s="66"/>
      <c r="H48" s="66"/>
      <c r="I48" s="66"/>
      <c r="J48" s="66"/>
      <c r="R48" s="68"/>
    </row>
    <row r="49" spans="6:18" ht="13.5" thickBot="1" x14ac:dyDescent="0.25">
      <c r="F49" s="67"/>
      <c r="G49" s="66"/>
      <c r="H49" s="66"/>
      <c r="I49" s="66"/>
      <c r="J49" s="66"/>
      <c r="L49" s="71">
        <f>SUM(L25:L46)</f>
        <v>5238247.1800000025</v>
      </c>
      <c r="R49" s="68"/>
    </row>
    <row r="50" spans="6:18" ht="13.5" thickBot="1" x14ac:dyDescent="0.25">
      <c r="F50" s="67"/>
      <c r="G50" s="66"/>
      <c r="H50" s="66"/>
      <c r="I50" s="66"/>
      <c r="J50" s="66"/>
      <c r="R50" s="68"/>
    </row>
    <row r="51" spans="6:18" ht="13.5" thickBot="1" x14ac:dyDescent="0.25">
      <c r="F51" s="67"/>
      <c r="G51" s="66"/>
      <c r="H51" s="66"/>
      <c r="I51" s="66"/>
      <c r="J51" s="66"/>
      <c r="R51" s="68"/>
    </row>
    <row r="52" spans="6:18" ht="13.5" thickBot="1" x14ac:dyDescent="0.25">
      <c r="F52" s="67"/>
      <c r="G52" s="66"/>
      <c r="H52" s="66"/>
      <c r="I52" s="66"/>
      <c r="J52" s="66"/>
    </row>
    <row r="53" spans="6:18" ht="13.5" thickBot="1" x14ac:dyDescent="0.25">
      <c r="F53" s="67"/>
      <c r="G53" s="66"/>
      <c r="H53" s="66"/>
      <c r="I53" s="66"/>
      <c r="J53" s="66"/>
    </row>
    <row r="54" spans="6:18" ht="13.5" thickBot="1" x14ac:dyDescent="0.25">
      <c r="F54" s="56"/>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scale="6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B1" workbookViewId="0">
      <pane ySplit="23" topLeftCell="A24" activePane="bottomLeft" state="frozenSplit"/>
      <selection pane="bottomLeft" activeCell="B24" sqref="B24"/>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8" t="s">
        <v>213</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9" t="s">
        <v>209</v>
      </c>
    </row>
    <row r="20" spans="2:18" ht="2.25" customHeight="1" x14ac:dyDescent="0.2"/>
    <row r="21" spans="2:18" ht="16.5" x14ac:dyDescent="0.3">
      <c r="D21" s="11"/>
      <c r="E21" s="5"/>
      <c r="F21" s="12"/>
      <c r="G21" s="12"/>
      <c r="H21" s="5"/>
      <c r="I21" s="5"/>
      <c r="J21" s="5"/>
      <c r="K21" s="11"/>
    </row>
    <row r="22" spans="2:18" s="140" customFormat="1" ht="63" x14ac:dyDescent="0.2">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VLOOKUP($B25, '10. Adj Conn. to Current WS'!$B$25:$R$47, 17,0)</f>
        <v>5.3260938136227426E-3</v>
      </c>
      <c r="G25" s="57"/>
      <c r="H25" s="64">
        <f>VLOOKUP('9. Adj Network to Current WS'!$B25, '4. RRR Data'!$B$27:$M$49,11,0)</f>
        <v>278453368.28100002</v>
      </c>
      <c r="I25" s="72"/>
      <c r="J25" s="64">
        <f>VLOOKUP('9. Adj Network to Current WS'!$B25, '4. RRR Data'!$B$27:$M$49,12,0)</f>
        <v>0</v>
      </c>
      <c r="K25" s="58"/>
      <c r="L25" s="60">
        <f t="shared" ref="L25:L46" si="0">IF(F25="", "", IF(D25="kWh", F25*H25, F25*J25))</f>
        <v>1483068.7621838495</v>
      </c>
      <c r="M25" s="55"/>
      <c r="N25" s="61">
        <f t="shared" ref="N25:N46" si="1">IF(ISERROR(L25/$L$49), "", L25/$L$49)</f>
        <v>0.3680572786578109</v>
      </c>
      <c r="O25" s="13"/>
      <c r="P25" s="62">
        <f>IF(ISERROR('8. Forecast Wholesale'!$P$75*N25), "", '8. Forecast Wholesale'!$P$75*N25)</f>
        <v>1471928.7210026942</v>
      </c>
      <c r="R25" s="63">
        <f t="shared" ref="R25:R46" si="2">IF(D25="","",IF(D25="kWh",IF(H25&lt;&gt;0,P25/H25,),IF(J25&lt;&gt;0,P25/J25,0)))</f>
        <v>5.2860869670547624E-3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VLOOKUP($B26, '10. Adj Conn. to Current WS'!$B$25:$R$47, 17,0)</f>
        <v>4.7115445274355031E-3</v>
      </c>
      <c r="G26" s="57"/>
      <c r="H26" s="64">
        <f>VLOOKUP('9. Adj Network to Current WS'!$B26, '4. RRR Data'!$B$27:$M$49,11,0)</f>
        <v>86355699.790800005</v>
      </c>
      <c r="I26" s="72"/>
      <c r="J26" s="64">
        <f>VLOOKUP('9. Adj Network to Current WS'!$B26, '4. RRR Data'!$B$27:$M$49,12,0)</f>
        <v>0</v>
      </c>
      <c r="K26" s="59"/>
      <c r="L26" s="60">
        <f t="shared" si="0"/>
        <v>406868.72476220696</v>
      </c>
      <c r="M26" s="55"/>
      <c r="N26" s="61">
        <f t="shared" si="1"/>
        <v>0.1009737373110336</v>
      </c>
      <c r="P26" s="62">
        <f>IF(ISERROR('8. Forecast Wholesale'!$P$75*N26), "", '8. Forecast Wholesale'!$P$75*N26)</f>
        <v>403812.53851869062</v>
      </c>
      <c r="R26" s="63">
        <f t="shared" si="2"/>
        <v>4.6761538554715206E-3</v>
      </c>
    </row>
    <row r="27" spans="2:18" ht="25.5" customHeight="1" thickBot="1" x14ac:dyDescent="0.25">
      <c r="B27" s="15" t="str">
        <f>IF('3. Rate Classes'!Q26=1,'3. Rate Classes'!C26, 0)</f>
        <v>General Service 50 to 999 kW</v>
      </c>
      <c r="C27" s="8"/>
      <c r="D27" s="16" t="str">
        <f>IF(ISERROR(VLOOKUP($B27, '3. Rate Classes'!$C$24:$H$45,6,0)), "", VLOOKUP($B27, '3. Rate Classes'!$C$24:$H$45,6,0))</f>
        <v>kW</v>
      </c>
      <c r="F27" s="70">
        <f>VLOOKUP($B27, '10. Adj Conn. to Current WS'!$B$25:$R$47, 17,0)</f>
        <v>2.2100216580103451</v>
      </c>
      <c r="G27" s="57"/>
      <c r="H27" s="64">
        <f>VLOOKUP('9. Adj Network to Current WS'!$B27, '4. RRR Data'!$B$27:$M$49,11,0)</f>
        <v>192782769</v>
      </c>
      <c r="I27" s="72"/>
      <c r="J27" s="64">
        <f>VLOOKUP('9. Adj Network to Current WS'!$B27, '4. RRR Data'!$B$27:$M$49,12,0)</f>
        <v>503231</v>
      </c>
      <c r="K27" s="59"/>
      <c r="L27" s="60">
        <f t="shared" si="0"/>
        <v>1112151.408982204</v>
      </c>
      <c r="M27" s="55"/>
      <c r="N27" s="61">
        <f t="shared" si="1"/>
        <v>0.27600569271156733</v>
      </c>
      <c r="P27" s="62">
        <f>IF(ISERROR('8. Forecast Wholesale'!$P$75*N27), "", '8. Forecast Wholesale'!$P$75*N27)</f>
        <v>1103797.5060401058</v>
      </c>
      <c r="R27" s="63">
        <f t="shared" si="2"/>
        <v>2.1934211247719353</v>
      </c>
    </row>
    <row r="28" spans="2:18" ht="25.5" customHeight="1" thickBot="1" x14ac:dyDescent="0.25">
      <c r="B28" s="15" t="str">
        <f>IF('3. Rate Classes'!Q27=1,'3. Rate Classes'!C27, 0)</f>
        <v>General Service 1,000 to 4,999 kW</v>
      </c>
      <c r="C28" s="8"/>
      <c r="D28" s="16" t="str">
        <f>IF(ISERROR(VLOOKUP($B28, '3. Rate Classes'!$C$24:$H$45,6,0)), "", VLOOKUP($B28, '3. Rate Classes'!$C$24:$H$45,6,0))</f>
        <v>kW</v>
      </c>
      <c r="F28" s="70">
        <f>VLOOKUP($B28, '10. Adj Conn. to Current WS'!$B$25:$R$47, 17,0)</f>
        <v>2.1739680998873601</v>
      </c>
      <c r="G28" s="57"/>
      <c r="H28" s="64">
        <f>VLOOKUP('9. Adj Network to Current WS'!$B28, '4. RRR Data'!$B$27:$M$49,11,0)</f>
        <v>121407487</v>
      </c>
      <c r="I28" s="72"/>
      <c r="J28" s="64">
        <f>VLOOKUP('9. Adj Network to Current WS'!$B28, '4. RRR Data'!$B$27:$M$49,12,0)</f>
        <v>260972</v>
      </c>
      <c r="K28" s="59"/>
      <c r="L28" s="60">
        <f t="shared" si="0"/>
        <v>567344.8029638041</v>
      </c>
      <c r="M28" s="55"/>
      <c r="N28" s="61">
        <f t="shared" si="1"/>
        <v>0.14079952970759407</v>
      </c>
      <c r="P28" s="62">
        <f>IF(ISERROR('8. Forecast Wholesale'!$P$75*N28), "", '8. Forecast Wholesale'!$P$75*N28)</f>
        <v>563083.2038862101</v>
      </c>
      <c r="R28" s="63">
        <f t="shared" si="2"/>
        <v>2.1576383822257181</v>
      </c>
    </row>
    <row r="29" spans="2:18" ht="25.5" customHeight="1" thickBot="1" x14ac:dyDescent="0.25">
      <c r="B29" s="15" t="str">
        <f>IF('3. Rate Classes'!Q28=1,'3. Rate Classes'!C28, 0)</f>
        <v>Large Use</v>
      </c>
      <c r="C29" s="8"/>
      <c r="D29" s="16" t="str">
        <f>IF(ISERROR(VLOOKUP($B29, '3. Rate Classes'!$C$24:$H$45,6,0)), "", VLOOKUP($B29, '3. Rate Classes'!$C$24:$H$45,6,0))</f>
        <v>kW</v>
      </c>
      <c r="F29" s="70">
        <f>VLOOKUP($B29, '10. Adj Conn. to Current WS'!$B$25:$R$47, 17,0)</f>
        <v>2.4312594010377508</v>
      </c>
      <c r="G29" s="57"/>
      <c r="H29" s="64">
        <f>VLOOKUP('9. Adj Network to Current WS'!$B29, '4. RRR Data'!$B$27:$M$49,11,0)</f>
        <v>80336534</v>
      </c>
      <c r="I29" s="72"/>
      <c r="J29" s="64">
        <f>VLOOKUP('9. Adj Network to Current WS'!$B29, '4. RRR Data'!$B$27:$M$49,12,0)</f>
        <v>175385</v>
      </c>
      <c r="K29" s="59"/>
      <c r="L29" s="60">
        <f t="shared" si="0"/>
        <v>426406.43005100591</v>
      </c>
      <c r="M29" s="55"/>
      <c r="N29" s="61">
        <f t="shared" si="1"/>
        <v>0.10582246369727666</v>
      </c>
      <c r="P29" s="62">
        <f>IF(ISERROR('8. Forecast Wholesale'!$P$75*N29), "", '8. Forecast Wholesale'!$P$75*N29)</f>
        <v>423203.48672713543</v>
      </c>
      <c r="R29" s="63">
        <f t="shared" si="2"/>
        <v>2.4129970449419016</v>
      </c>
    </row>
    <row r="30" spans="2:18" ht="25.5" customHeight="1" thickBot="1" x14ac:dyDescent="0.25">
      <c r="B30" s="15" t="str">
        <f>IF('3. Rate Classes'!Q29=1,'3. Rate Classes'!C29, 0)</f>
        <v>Unmetered Scattered Load</v>
      </c>
      <c r="C30" s="8"/>
      <c r="D30" s="16" t="str">
        <f>IF(ISERROR(VLOOKUP($B30, '3. Rate Classes'!$C$24:$H$45,6,0)), "", VLOOKUP($B30, '3. Rate Classes'!$C$24:$H$45,6,0))</f>
        <v>kWh</v>
      </c>
      <c r="F30" s="70">
        <f>VLOOKUP($B30, '10. Adj Conn. to Current WS'!$B$25:$R$47, 17,0)</f>
        <v>4.7115445274355031E-3</v>
      </c>
      <c r="G30" s="57"/>
      <c r="H30" s="64">
        <f>VLOOKUP('9. Adj Network to Current WS'!$B30, '4. RRR Data'!$B$27:$M$49,11,0)</f>
        <v>1345962.6642</v>
      </c>
      <c r="I30" s="72"/>
      <c r="J30" s="64">
        <f>VLOOKUP('9. Adj Network to Current WS'!$B30, '4. RRR Data'!$B$27:$M$49,12,0)</f>
        <v>0</v>
      </c>
      <c r="K30" s="59"/>
      <c r="L30" s="60">
        <f t="shared" si="0"/>
        <v>6341.5630246440196</v>
      </c>
      <c r="M30" s="55"/>
      <c r="N30" s="61">
        <f t="shared" si="1"/>
        <v>1.5738032441938328E-3</v>
      </c>
      <c r="P30" s="62">
        <f>IF(ISERROR('8. Forecast Wholesale'!$P$75*N30), "", '8. Forecast Wholesale'!$P$75*N30)</f>
        <v>6293.9285015195501</v>
      </c>
      <c r="R30" s="63">
        <f t="shared" si="2"/>
        <v>4.6761538554715206E-3</v>
      </c>
    </row>
    <row r="31" spans="2:18" ht="25.5" customHeight="1" thickBot="1" x14ac:dyDescent="0.25">
      <c r="B31" s="15" t="str">
        <f>IF('3. Rate Classes'!Q30=1,'3. Rate Classes'!C30, 0)</f>
        <v>Sentinel Lighting</v>
      </c>
      <c r="C31" s="8"/>
      <c r="D31" s="16" t="str">
        <f>IF(ISERROR(VLOOKUP($B31, '3. Rate Classes'!$C$24:$H$45,6,0)), "", VLOOKUP($B31, '3. Rate Classes'!$C$24:$H$45,6,0))</f>
        <v>kW</v>
      </c>
      <c r="F31" s="70">
        <f>VLOOKUP($B31, '10. Adj Conn. to Current WS'!$B$25:$R$47, 17,0)</f>
        <v>1.5178343120014504</v>
      </c>
      <c r="G31" s="57"/>
      <c r="H31" s="64">
        <f>VLOOKUP('9. Adj Network to Current WS'!$B31, '4. RRR Data'!$B$27:$M$49,11,0)</f>
        <v>158082</v>
      </c>
      <c r="I31" s="72"/>
      <c r="J31" s="64">
        <f>VLOOKUP('9. Adj Network to Current WS'!$B31, '4. RRR Data'!$B$27:$M$49,12,0)</f>
        <v>439</v>
      </c>
      <c r="K31" s="59"/>
      <c r="L31" s="60">
        <f t="shared" si="0"/>
        <v>666.32926296863673</v>
      </c>
      <c r="M31" s="55"/>
      <c r="N31" s="61">
        <f t="shared" si="1"/>
        <v>1.6536477705670876E-4</v>
      </c>
      <c r="P31" s="62">
        <f>IF(ISERROR('8. Forecast Wholesale'!$P$75*N31), "", '8. Forecast Wholesale'!$P$75*N31)</f>
        <v>661.32414411039235</v>
      </c>
      <c r="R31" s="63">
        <f t="shared" si="2"/>
        <v>1.50643313009201</v>
      </c>
    </row>
    <row r="32" spans="2:18" ht="25.5" customHeight="1" thickBot="1" x14ac:dyDescent="0.25">
      <c r="B32" s="15" t="str">
        <f>IF('3. Rate Classes'!Q31=1,'3. Rate Classes'!C31, 0)</f>
        <v>Street Lighting</v>
      </c>
      <c r="C32" s="8"/>
      <c r="D32" s="16" t="str">
        <f>IF(ISERROR(VLOOKUP($B32, '3. Rate Classes'!$C$24:$H$45,6,0)), "", VLOOKUP($B32, '3. Rate Classes'!$C$24:$H$45,6,0))</f>
        <v>kW</v>
      </c>
      <c r="F32" s="70">
        <f>VLOOKUP($B32, '10. Adj Conn. to Current WS'!$B$25:$R$47, 17,0)</f>
        <v>1.4866971481679636</v>
      </c>
      <c r="G32" s="57"/>
      <c r="H32" s="64">
        <f>VLOOKUP('9. Adj Network to Current WS'!$B32, '4. RRR Data'!$B$27:$M$49,11,0)</f>
        <v>6418516</v>
      </c>
      <c r="I32" s="72"/>
      <c r="J32" s="64">
        <f>VLOOKUP('9. Adj Network to Current WS'!$B32, '4. RRR Data'!$B$27:$M$49,12,0)</f>
        <v>17894</v>
      </c>
      <c r="K32" s="59"/>
      <c r="L32" s="60">
        <f t="shared" si="0"/>
        <v>26602.958769317542</v>
      </c>
      <c r="M32" s="55"/>
      <c r="N32" s="61">
        <f t="shared" si="1"/>
        <v>6.6021298934669107E-3</v>
      </c>
      <c r="P32" s="62">
        <f>IF(ISERROR('8. Forecast Wholesale'!$P$75*N32), "", '8. Forecast Wholesale'!$P$75*N32)</f>
        <v>26403.13117953379</v>
      </c>
      <c r="R32" s="63">
        <f t="shared" si="2"/>
        <v>1.4755298524384592</v>
      </c>
    </row>
    <row r="33" spans="2:18" ht="25.5" hidden="1" customHeight="1" thickBot="1" x14ac:dyDescent="0.25">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x14ac:dyDescent="0.25">
      <c r="F47" s="70"/>
      <c r="G47" s="37"/>
      <c r="H47" s="64"/>
      <c r="I47" s="72"/>
      <c r="J47" s="64"/>
      <c r="R47" s="68"/>
    </row>
    <row r="48" spans="2:18" ht="13.5" thickBot="1" x14ac:dyDescent="0.25">
      <c r="F48" s="70"/>
      <c r="G48" s="37"/>
      <c r="H48" s="37"/>
      <c r="I48" s="37"/>
      <c r="J48" s="37"/>
      <c r="R48" s="68"/>
    </row>
    <row r="49" spans="6:18" ht="13.5" thickBot="1" x14ac:dyDescent="0.25">
      <c r="F49" s="70"/>
      <c r="G49" s="37"/>
      <c r="H49" s="37"/>
      <c r="I49" s="37"/>
      <c r="J49" s="37"/>
      <c r="L49" s="71">
        <f>SUM(L25:L46)</f>
        <v>4029450.9800000004</v>
      </c>
      <c r="R49" s="68"/>
    </row>
    <row r="50" spans="6:18" ht="13.5" thickBot="1" x14ac:dyDescent="0.25">
      <c r="F50" s="70"/>
      <c r="G50" s="37"/>
      <c r="H50" s="37"/>
      <c r="I50" s="37"/>
      <c r="J50" s="37"/>
      <c r="R50" s="68"/>
    </row>
    <row r="51" spans="6:18" ht="13.5" thickBot="1" x14ac:dyDescent="0.25">
      <c r="F51" s="70"/>
      <c r="G51" s="37"/>
      <c r="H51" s="37"/>
      <c r="I51" s="37"/>
      <c r="J51" s="37"/>
      <c r="R51" s="68"/>
    </row>
    <row r="52" spans="6:18" ht="13.5" thickBot="1" x14ac:dyDescent="0.25">
      <c r="F52" s="70"/>
      <c r="G52" s="37"/>
      <c r="H52" s="37"/>
      <c r="I52" s="37"/>
      <c r="J52" s="37"/>
      <c r="R52" s="68"/>
    </row>
    <row r="53" spans="6:18" ht="13.5" thickBot="1" x14ac:dyDescent="0.25">
      <c r="F53" s="67"/>
      <c r="R53" s="68"/>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7"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opLeftCell="B1" workbookViewId="0">
      <pane ySplit="24" topLeftCell="A25" activePane="bottomLeft" state="frozenSplit"/>
      <selection pane="bottomLeft" activeCell="B26" sqref="B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67" t="s">
        <v>249</v>
      </c>
      <c r="C13" s="167"/>
      <c r="D13" s="167"/>
      <c r="E13" s="167"/>
      <c r="F13" s="167"/>
      <c r="G13" s="167"/>
      <c r="H13" s="167"/>
      <c r="I13" s="167"/>
      <c r="J13" s="167"/>
      <c r="K13" s="167"/>
      <c r="L13" s="167"/>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7"/>
      <c r="K22" s="78"/>
      <c r="L22" s="79"/>
      <c r="M22" s="79"/>
      <c r="N22" s="79"/>
      <c r="O22" s="79"/>
      <c r="P22" s="79"/>
      <c r="Q22" s="79"/>
      <c r="R22" s="79"/>
      <c r="S22" s="79"/>
      <c r="T22" s="79"/>
    </row>
    <row r="23" spans="2:24" ht="47.25"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
      <c r="J24" s="79"/>
      <c r="K24" s="79"/>
      <c r="L24" s="79"/>
      <c r="M24" s="79"/>
      <c r="N24" s="79"/>
      <c r="O24" s="79"/>
      <c r="P24" s="79"/>
      <c r="Q24" s="79"/>
      <c r="R24" s="79"/>
      <c r="S24" s="79"/>
      <c r="T24" s="79"/>
    </row>
    <row r="25" spans="2:24" hidden="1" x14ac:dyDescent="0.2">
      <c r="J25" s="79"/>
      <c r="K25" s="79"/>
      <c r="L25" s="79"/>
      <c r="M25" s="79"/>
      <c r="N25" s="79"/>
      <c r="O25" s="79"/>
      <c r="P25" s="79"/>
      <c r="Q25" s="79"/>
      <c r="R25" s="79"/>
      <c r="S25" s="79"/>
      <c r="T25" s="79"/>
    </row>
    <row r="26" spans="2:24" ht="25.5" customHeight="1" thickBot="1" x14ac:dyDescent="0.25">
      <c r="B26" s="15" t="str">
        <f>IF('3. Rate Classes'!Q24=1,'3. Rate Classes'!C24, 0)</f>
        <v>Residential</v>
      </c>
      <c r="C26" s="8"/>
      <c r="D26" s="16" t="str">
        <f>IF(ISERROR(VLOOKUP($B26, '3. Rate Classes'!$C$24:$H$45,6,0)), "", VLOOKUP($B26, '3. Rate Classes'!$C$24:$H$45,6,0))</f>
        <v>kWh</v>
      </c>
      <c r="F26" s="70">
        <f>VLOOKUP($B26, '11. Adj Network to Forecast WS'!$B$25:$R$48,17,0)</f>
        <v>7.2389917617499489E-3</v>
      </c>
      <c r="G26" s="57"/>
      <c r="H26" s="70">
        <f>VLOOKUP($B26, '12. Adj Conn. to Forecast WS'!$B$25:$R$48,17,0)</f>
        <v>5.2860869670547624E-3</v>
      </c>
      <c r="I26" s="69"/>
      <c r="J26" s="80"/>
      <c r="K26" s="81"/>
      <c r="L26" s="82"/>
      <c r="M26" s="83"/>
      <c r="N26" s="84"/>
      <c r="O26" s="85"/>
      <c r="P26" s="82"/>
      <c r="Q26" s="79"/>
      <c r="R26" s="76"/>
      <c r="S26" s="79"/>
      <c r="T26" s="79"/>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70">
        <f>VLOOKUP($B27, '11. Adj Network to Forecast WS'!$B$25:$R$48,17,0)</f>
        <v>6.6002571945367201E-3</v>
      </c>
      <c r="G27" s="57"/>
      <c r="H27" s="70">
        <f>VLOOKUP($B27, '12. Adj Conn. to Forecast WS'!$B$25:$R$48,17,0)</f>
        <v>4.6761538554715206E-3</v>
      </c>
      <c r="I27" s="69"/>
      <c r="J27" s="80"/>
      <c r="K27" s="81"/>
      <c r="L27" s="82"/>
      <c r="M27" s="83"/>
      <c r="N27" s="84"/>
      <c r="O27" s="79"/>
      <c r="P27" s="82"/>
      <c r="Q27" s="79"/>
      <c r="R27" s="76"/>
      <c r="S27" s="79"/>
      <c r="T27" s="79"/>
    </row>
    <row r="28" spans="2:24" ht="25.5" customHeight="1" thickBot="1" x14ac:dyDescent="0.25">
      <c r="B28" s="15" t="str">
        <f>IF('3. Rate Classes'!Q26=1,'3. Rate Classes'!C26, 0)</f>
        <v>General Service 50 to 999 kW</v>
      </c>
      <c r="C28" s="8"/>
      <c r="D28" s="16" t="str">
        <f>IF(ISERROR(VLOOKUP($B28, '3. Rate Classes'!$C$24:$H$45,6,0)), "", VLOOKUP($B28, '3. Rate Classes'!$C$24:$H$45,6,0))</f>
        <v>kW</v>
      </c>
      <c r="F28" s="70">
        <f>VLOOKUP($B28, '11. Adj Network to Forecast WS'!$B$25:$R$48,17,0)</f>
        <v>2.9714996624371528</v>
      </c>
      <c r="G28" s="57"/>
      <c r="H28" s="70">
        <f>VLOOKUP($B28, '12. Adj Conn. to Forecast WS'!$B$25:$R$48,17,0)</f>
        <v>2.1934211247719353</v>
      </c>
      <c r="I28" s="69"/>
      <c r="J28" s="80"/>
      <c r="K28" s="81"/>
      <c r="L28" s="82"/>
      <c r="M28" s="83"/>
      <c r="N28" s="84"/>
      <c r="O28" s="79"/>
      <c r="P28" s="82"/>
      <c r="Q28" s="79"/>
      <c r="R28" s="76"/>
      <c r="S28" s="79"/>
      <c r="T28" s="79"/>
      <c r="U28" s="86"/>
      <c r="V28" s="86"/>
      <c r="W28" s="86"/>
      <c r="X28" s="86"/>
    </row>
    <row r="29" spans="2:24" ht="25.5" customHeight="1" thickBot="1" x14ac:dyDescent="0.25">
      <c r="B29" s="15" t="str">
        <f>IF('3. Rate Classes'!Q27=1,'3. Rate Classes'!C27, 0)</f>
        <v>General Service 1,000 to 4,999 kW</v>
      </c>
      <c r="C29" s="8"/>
      <c r="D29" s="16" t="str">
        <f>IF(ISERROR(VLOOKUP($B29, '3. Rate Classes'!$C$24:$H$45,6,0)), "", VLOOKUP($B29, '3. Rate Classes'!$C$24:$H$45,6,0))</f>
        <v>kW</v>
      </c>
      <c r="F29" s="70">
        <f>VLOOKUP($B29, '11. Adj Network to Forecast WS'!$B$25:$R$48,17,0)</f>
        <v>2.9225300122841382</v>
      </c>
      <c r="G29" s="57"/>
      <c r="H29" s="70">
        <f>VLOOKUP($B29, '12. Adj Conn. to Forecast WS'!$B$25:$R$48,17,0)</f>
        <v>2.1576383822257181</v>
      </c>
      <c r="I29" s="69"/>
      <c r="J29" s="80"/>
      <c r="K29" s="81"/>
      <c r="L29" s="82"/>
      <c r="M29" s="83"/>
      <c r="N29" s="84"/>
      <c r="O29" s="79"/>
      <c r="P29" s="82"/>
      <c r="Q29" s="79"/>
      <c r="R29" s="76"/>
      <c r="S29" s="79"/>
      <c r="T29" s="79"/>
      <c r="U29" s="86"/>
      <c r="V29" s="86"/>
      <c r="W29" s="86"/>
      <c r="X29" s="86"/>
    </row>
    <row r="30" spans="2:24" ht="25.5" customHeight="1" thickBot="1" x14ac:dyDescent="0.25">
      <c r="B30" s="15" t="str">
        <f>IF('3. Rate Classes'!Q28=1,'3. Rate Classes'!C28, 0)</f>
        <v>Large Use</v>
      </c>
      <c r="C30" s="8"/>
      <c r="D30" s="16" t="str">
        <f>IF(ISERROR(VLOOKUP($B30, '3. Rate Classes'!$C$24:$H$45,6,0)), "", VLOOKUP($B30, '3. Rate Classes'!$C$24:$H$45,6,0))</f>
        <v>kW</v>
      </c>
      <c r="F30" s="70">
        <f>VLOOKUP($B30, '11. Adj Network to Forecast WS'!$B$25:$R$48,17,0)</f>
        <v>3.1647168690191552</v>
      </c>
      <c r="G30" s="57"/>
      <c r="H30" s="70">
        <f>VLOOKUP($B30, '12. Adj Conn. to Forecast WS'!$B$25:$R$48,17,0)</f>
        <v>2.4129970449419016</v>
      </c>
      <c r="I30" s="69"/>
      <c r="J30" s="80"/>
      <c r="K30" s="81"/>
      <c r="L30" s="82"/>
      <c r="M30" s="83"/>
      <c r="N30" s="84"/>
      <c r="O30" s="79"/>
      <c r="P30" s="82"/>
      <c r="Q30" s="79"/>
      <c r="R30" s="76"/>
      <c r="S30" s="79"/>
      <c r="T30" s="79"/>
      <c r="U30" s="86"/>
      <c r="V30" s="86"/>
      <c r="W30" s="86"/>
      <c r="X30" s="86"/>
    </row>
    <row r="31" spans="2:24" ht="25.5" customHeight="1" thickBot="1" x14ac:dyDescent="0.25">
      <c r="B31" s="15" t="str">
        <f>IF('3. Rate Classes'!Q29=1,'3. Rate Classes'!C29, 0)</f>
        <v>Unmetered Scattered Load</v>
      </c>
      <c r="C31" s="8"/>
      <c r="D31" s="16" t="str">
        <f>IF(ISERROR(VLOOKUP($B31, '3. Rate Classes'!$C$24:$H$45,6,0)), "", VLOOKUP($B31, '3. Rate Classes'!$C$24:$H$45,6,0))</f>
        <v>kWh</v>
      </c>
      <c r="F31" s="70">
        <f>VLOOKUP($B31, '11. Adj Network to Forecast WS'!$B$25:$R$48,17,0)</f>
        <v>6.6002571945367201E-3</v>
      </c>
      <c r="G31" s="57"/>
      <c r="H31" s="70">
        <f>VLOOKUP($B31, '12. Adj Conn. to Forecast WS'!$B$25:$R$48,17,0)</f>
        <v>4.6761538554715206E-3</v>
      </c>
      <c r="I31" s="69"/>
      <c r="J31" s="80"/>
      <c r="K31" s="81"/>
      <c r="L31" s="82"/>
      <c r="M31" s="83"/>
      <c r="N31" s="84"/>
      <c r="O31" s="79"/>
      <c r="P31" s="82"/>
      <c r="Q31" s="79"/>
      <c r="R31" s="76"/>
      <c r="S31" s="79"/>
      <c r="T31" s="79"/>
      <c r="U31" s="86"/>
      <c r="V31" s="86"/>
      <c r="W31" s="86"/>
      <c r="X31" s="86"/>
    </row>
    <row r="32" spans="2:24" ht="25.5" customHeight="1" thickBot="1" x14ac:dyDescent="0.25">
      <c r="B32" s="15" t="str">
        <f>IF('3. Rate Classes'!Q30=1,'3. Rate Classes'!C30, 0)</f>
        <v>Sentinel Lighting</v>
      </c>
      <c r="C32" s="8"/>
      <c r="D32" s="16" t="str">
        <f>IF(ISERROR(VLOOKUP($B32, '3. Rate Classes'!$C$24:$H$45,6,0)), "", VLOOKUP($B32, '3. Rate Classes'!$C$24:$H$45,6,0))</f>
        <v>kW</v>
      </c>
      <c r="F32" s="70">
        <f>VLOOKUP($B32, '11. Adj Network to Forecast WS'!$B$25:$R$48,17,0)</f>
        <v>2.0227659186030995</v>
      </c>
      <c r="G32" s="57"/>
      <c r="H32" s="70">
        <f>VLOOKUP($B32, '12. Adj Conn. to Forecast WS'!$B$25:$R$48,17,0)</f>
        <v>1.50643313009201</v>
      </c>
      <c r="I32" s="69"/>
      <c r="J32" s="80"/>
      <c r="K32" s="81"/>
      <c r="L32" s="82"/>
      <c r="M32" s="83"/>
      <c r="N32" s="84"/>
      <c r="O32" s="79"/>
      <c r="P32" s="82"/>
      <c r="Q32" s="79"/>
      <c r="R32" s="76"/>
      <c r="S32" s="79"/>
      <c r="T32" s="79"/>
      <c r="U32" s="86"/>
      <c r="V32" s="86"/>
      <c r="W32" s="86"/>
      <c r="X32" s="86"/>
    </row>
    <row r="33" spans="2:24" ht="25.5" customHeight="1" thickBot="1" x14ac:dyDescent="0.25">
      <c r="B33" s="15" t="str">
        <f>IF('3. Rate Classes'!Q31=1,'3. Rate Classes'!C31, 0)</f>
        <v>Street Lighting</v>
      </c>
      <c r="C33" s="8"/>
      <c r="D33" s="16" t="str">
        <f>IF(ISERROR(VLOOKUP($B33, '3. Rate Classes'!$C$24:$H$45,6,0)), "", VLOOKUP($B33, '3. Rate Classes'!$C$24:$H$45,6,0))</f>
        <v>kW</v>
      </c>
      <c r="F33" s="70">
        <f>VLOOKUP($B33, '11. Adj Network to Forecast WS'!$B$25:$R$48,17,0)</f>
        <v>2.0125461655276884</v>
      </c>
      <c r="G33" s="57"/>
      <c r="H33" s="70">
        <f>VLOOKUP($B33, '12. Adj Conn. to Forecast WS'!$B$25:$R$48,17,0)</f>
        <v>1.4755298524384592</v>
      </c>
      <c r="I33" s="69"/>
      <c r="J33" s="80"/>
      <c r="K33" s="81"/>
      <c r="L33" s="82"/>
      <c r="M33" s="83"/>
      <c r="N33" s="84"/>
      <c r="O33" s="79"/>
      <c r="P33" s="82"/>
      <c r="Q33" s="79"/>
      <c r="R33" s="76"/>
      <c r="S33" s="79"/>
      <c r="T33" s="79"/>
      <c r="U33" s="86"/>
      <c r="V33" s="86"/>
      <c r="W33" s="86"/>
      <c r="X33" s="86"/>
    </row>
    <row r="34" spans="2:24" ht="25.5" hidden="1" customHeight="1" thickBot="1" x14ac:dyDescent="0.25">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25">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25">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25">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25">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25">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25">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25">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25">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25">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25">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25">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25">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25">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x14ac:dyDescent="0.25">
      <c r="F48" s="70"/>
      <c r="G48" s="37"/>
      <c r="H48" s="86"/>
      <c r="I48" s="86"/>
      <c r="J48" s="79"/>
      <c r="K48" s="79"/>
      <c r="L48" s="79"/>
      <c r="M48" s="79"/>
      <c r="N48" s="79"/>
      <c r="O48" s="79"/>
      <c r="P48" s="79"/>
      <c r="Q48" s="79"/>
      <c r="R48" s="76"/>
      <c r="S48" s="79"/>
      <c r="T48" s="79"/>
      <c r="U48" s="86"/>
      <c r="V48" s="86"/>
      <c r="W48" s="86"/>
      <c r="X48" s="86"/>
    </row>
    <row r="49" spans="6:24" ht="13.5" thickBot="1" x14ac:dyDescent="0.25">
      <c r="F49" s="70"/>
      <c r="G49" s="37"/>
      <c r="H49" s="86"/>
      <c r="I49" s="86"/>
      <c r="J49" s="79"/>
      <c r="K49" s="79"/>
      <c r="L49" s="79"/>
      <c r="M49" s="79"/>
      <c r="N49" s="79"/>
      <c r="O49" s="79"/>
      <c r="P49" s="79"/>
      <c r="Q49" s="79"/>
      <c r="R49" s="76"/>
      <c r="S49" s="79"/>
      <c r="T49" s="79"/>
      <c r="U49" s="86"/>
      <c r="V49" s="86"/>
      <c r="W49" s="86"/>
      <c r="X49" s="86"/>
    </row>
    <row r="50" spans="6:24" ht="13.5" thickBot="1" x14ac:dyDescent="0.25">
      <c r="F50" s="70"/>
      <c r="G50" s="37"/>
      <c r="H50" s="86"/>
      <c r="I50" s="86"/>
      <c r="J50" s="79"/>
      <c r="K50" s="79"/>
      <c r="L50" s="82"/>
      <c r="M50" s="79"/>
      <c r="N50" s="79"/>
      <c r="O50" s="79"/>
      <c r="P50" s="79"/>
      <c r="Q50" s="79"/>
      <c r="R50" s="76"/>
      <c r="S50" s="79"/>
      <c r="T50" s="79"/>
      <c r="U50" s="86"/>
      <c r="V50" s="86"/>
      <c r="W50" s="86"/>
      <c r="X50" s="86"/>
    </row>
    <row r="51" spans="6:24" ht="13.5" thickBot="1" x14ac:dyDescent="0.25">
      <c r="F51" s="70"/>
      <c r="G51" s="37"/>
      <c r="H51" s="86"/>
      <c r="I51" s="86"/>
      <c r="J51" s="79"/>
      <c r="K51" s="79"/>
      <c r="L51" s="79"/>
      <c r="M51" s="79"/>
      <c r="N51" s="79"/>
      <c r="O51" s="79"/>
      <c r="P51" s="79"/>
      <c r="Q51" s="79"/>
      <c r="R51" s="76"/>
      <c r="S51" s="79"/>
      <c r="T51" s="79"/>
      <c r="U51" s="86"/>
      <c r="V51" s="86"/>
      <c r="W51" s="86"/>
      <c r="X51" s="86"/>
    </row>
    <row r="52" spans="6:24" ht="13.5" thickBot="1" x14ac:dyDescent="0.25">
      <c r="F52" s="70"/>
      <c r="G52" s="37"/>
      <c r="H52" s="86"/>
      <c r="I52" s="86"/>
      <c r="J52" s="79"/>
      <c r="K52" s="79"/>
      <c r="L52" s="79"/>
      <c r="M52" s="79"/>
      <c r="N52" s="79"/>
      <c r="O52" s="79"/>
      <c r="P52" s="79"/>
      <c r="Q52" s="79"/>
      <c r="R52" s="76"/>
      <c r="S52" s="79"/>
      <c r="T52" s="79"/>
      <c r="U52" s="86"/>
      <c r="V52" s="86"/>
      <c r="W52" s="86"/>
      <c r="X52" s="86"/>
    </row>
    <row r="53" spans="6:24" ht="13.5" thickBot="1" x14ac:dyDescent="0.25">
      <c r="F53" s="70"/>
      <c r="G53" s="37"/>
      <c r="H53" s="86"/>
      <c r="I53" s="86"/>
      <c r="J53" s="79"/>
      <c r="K53" s="79"/>
      <c r="L53" s="79"/>
      <c r="M53" s="79"/>
      <c r="N53" s="79"/>
      <c r="O53" s="79"/>
      <c r="P53" s="79"/>
      <c r="Q53" s="79"/>
      <c r="R53" s="76"/>
      <c r="S53" s="79"/>
      <c r="T53" s="79"/>
      <c r="U53" s="86"/>
      <c r="V53" s="86"/>
      <c r="W53" s="86"/>
      <c r="X53" s="86"/>
    </row>
    <row r="54" spans="6:24" ht="13.5" thickBot="1" x14ac:dyDescent="0.25">
      <c r="F54" s="67"/>
      <c r="H54" s="86"/>
      <c r="I54" s="86"/>
      <c r="J54" s="79"/>
      <c r="K54" s="79"/>
      <c r="L54" s="79"/>
      <c r="M54" s="79"/>
      <c r="N54" s="79"/>
      <c r="O54" s="79"/>
      <c r="P54" s="79"/>
      <c r="Q54" s="79"/>
      <c r="R54" s="76"/>
      <c r="S54" s="79"/>
      <c r="T54" s="79"/>
      <c r="U54" s="86"/>
      <c r="V54" s="86"/>
      <c r="W54" s="86"/>
      <c r="X54" s="86"/>
    </row>
    <row r="55" spans="6:24" ht="13.5" thickBot="1" x14ac:dyDescent="0.25">
      <c r="F55" s="67"/>
      <c r="H55" s="86"/>
      <c r="I55" s="86"/>
      <c r="J55" s="79"/>
      <c r="K55" s="79"/>
      <c r="L55" s="79"/>
      <c r="M55" s="79"/>
      <c r="N55" s="79"/>
      <c r="O55" s="79"/>
      <c r="P55" s="79"/>
      <c r="Q55" s="79"/>
      <c r="R55" s="79"/>
      <c r="S55" s="79"/>
      <c r="T55" s="79"/>
      <c r="U55" s="86"/>
      <c r="V55" s="86"/>
      <c r="W55" s="86"/>
      <c r="X55" s="86"/>
    </row>
    <row r="56" spans="6:24" ht="13.5" thickBot="1" x14ac:dyDescent="0.25">
      <c r="F56" s="56"/>
      <c r="H56" s="86"/>
      <c r="I56" s="86"/>
      <c r="J56" s="79"/>
      <c r="K56" s="79"/>
      <c r="L56" s="79"/>
      <c r="M56" s="79"/>
      <c r="N56" s="79"/>
      <c r="O56" s="79"/>
      <c r="P56" s="79"/>
      <c r="Q56" s="79"/>
      <c r="R56" s="79"/>
      <c r="S56" s="79"/>
      <c r="T56" s="79"/>
      <c r="U56" s="86"/>
      <c r="V56" s="86"/>
      <c r="W56" s="86"/>
      <c r="X56" s="86"/>
    </row>
    <row r="57" spans="6:24" ht="13.5" thickBot="1" x14ac:dyDescent="0.25">
      <c r="F57" s="56"/>
      <c r="H57" s="86"/>
      <c r="I57" s="86"/>
      <c r="J57" s="79"/>
      <c r="K57" s="79"/>
      <c r="L57" s="79"/>
      <c r="M57" s="79"/>
      <c r="N57" s="79"/>
      <c r="O57" s="79"/>
      <c r="P57" s="79"/>
      <c r="Q57" s="79"/>
      <c r="R57" s="79"/>
      <c r="S57" s="79"/>
      <c r="T57" s="79"/>
      <c r="U57" s="86"/>
      <c r="V57" s="86"/>
      <c r="W57" s="86"/>
      <c r="X57" s="86"/>
    </row>
    <row r="58" spans="6:24" x14ac:dyDescent="0.2">
      <c r="H58" s="86"/>
      <c r="I58" s="86"/>
      <c r="J58" s="79"/>
      <c r="K58" s="79"/>
      <c r="L58" s="79"/>
      <c r="M58" s="79"/>
      <c r="N58" s="79"/>
      <c r="O58" s="79"/>
      <c r="P58" s="79"/>
      <c r="Q58" s="79"/>
      <c r="R58" s="79"/>
      <c r="S58" s="79"/>
      <c r="T58" s="79"/>
      <c r="U58" s="86"/>
      <c r="V58" s="86"/>
      <c r="W58" s="86"/>
      <c r="X58" s="86"/>
    </row>
    <row r="59" spans="6:24" x14ac:dyDescent="0.2">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scale="79" orientation="landscape" horizontalDpi="200" verticalDpi="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999 kW</v>
      </c>
      <c r="B3" s="4">
        <v>3</v>
      </c>
    </row>
    <row r="4" spans="1:4" x14ac:dyDescent="0.2">
      <c r="A4" s="4" t="str">
        <f>IF('3. Rate Classes'!Q27=1, '3. Rate Classes'!C27, "")</f>
        <v>General Service 1,000 to 4,999 kW</v>
      </c>
      <c r="B4" s="4">
        <v>4</v>
      </c>
    </row>
    <row r="5" spans="1:4" x14ac:dyDescent="0.2">
      <c r="A5" s="4" t="str">
        <f>IF('3. Rate Classes'!Q28=1, '3. Rate Classes'!C28, "")</f>
        <v>Large Use</v>
      </c>
      <c r="B5" s="4">
        <v>5</v>
      </c>
    </row>
    <row r="6" spans="1:4" x14ac:dyDescent="0.2">
      <c r="A6" s="4" t="str">
        <f>IF('3. Rate Classes'!Q29=1, '3. Rate Classes'!C29, "")</f>
        <v>Unmetered Scattered Load</v>
      </c>
      <c r="B6" s="4">
        <v>6</v>
      </c>
    </row>
    <row r="7" spans="1:4" x14ac:dyDescent="0.2">
      <c r="A7" s="4" t="str">
        <f>IF('3. Rate Classes'!Q30=1, '3. Rate Classes'!C30, "")</f>
        <v>Sentinel Lighting</v>
      </c>
      <c r="B7" s="4">
        <v>7</v>
      </c>
    </row>
    <row r="8" spans="1:4" x14ac:dyDescent="0.2">
      <c r="A8" s="4" t="str">
        <f>IF('3. Rate Classes'!Q31=1, '3. Rate Classes'!C31, "")</f>
        <v>Street Lighting</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heetViews>
  <sheetFormatPr defaultRowHeight="12.75" x14ac:dyDescent="0.2"/>
  <sheetData>
    <row r="14" ht="3" customHeight="1" x14ac:dyDescent="0.2"/>
    <row r="15" ht="3" customHeight="1" x14ac:dyDescent="0.2"/>
    <row r="16" ht="3" customHeight="1" x14ac:dyDescent="0.2"/>
    <row r="17" spans="3:13" s="75" customFormat="1" ht="3" customHeight="1" x14ac:dyDescent="0.2"/>
    <row r="18" spans="3:13" s="75" customFormat="1" ht="3" customHeight="1" x14ac:dyDescent="0.2">
      <c r="C18" s="8"/>
      <c r="D18" s="8"/>
      <c r="E18" s="8"/>
      <c r="F18" s="8"/>
      <c r="G18" s="8"/>
      <c r="H18" s="8"/>
      <c r="I18" s="8"/>
      <c r="J18" s="8"/>
      <c r="K18" s="8"/>
      <c r="L18" s="8"/>
      <c r="M18" s="8"/>
    </row>
    <row r="19" spans="3:13" s="75" customFormat="1" x14ac:dyDescent="0.2">
      <c r="C19" s="8"/>
      <c r="D19" s="8"/>
      <c r="E19" s="8"/>
      <c r="F19" s="8"/>
      <c r="G19" s="8"/>
      <c r="H19" s="8"/>
      <c r="I19" s="8"/>
      <c r="J19" s="8"/>
      <c r="K19" s="8"/>
      <c r="L19" s="8"/>
      <c r="M19" s="8"/>
    </row>
    <row r="20" spans="3:13" s="75" customFormat="1" ht="15.75" x14ac:dyDescent="0.25">
      <c r="C20" s="8"/>
      <c r="D20" s="155" t="s">
        <v>141</v>
      </c>
      <c r="E20" s="8"/>
      <c r="F20" s="8"/>
      <c r="G20" s="8"/>
      <c r="H20" s="8"/>
      <c r="I20" s="155" t="s">
        <v>147</v>
      </c>
      <c r="J20" s="8"/>
      <c r="K20" s="8"/>
      <c r="L20" s="8"/>
      <c r="M20" s="8"/>
    </row>
    <row r="21" spans="3:13" s="75" customFormat="1" ht="15.75" x14ac:dyDescent="0.25">
      <c r="C21" s="8"/>
      <c r="D21" s="141"/>
      <c r="E21" s="8"/>
      <c r="F21" s="8"/>
      <c r="G21" s="8"/>
      <c r="H21" s="8"/>
      <c r="I21" s="141"/>
      <c r="J21" s="8"/>
      <c r="K21" s="8"/>
      <c r="L21" s="8"/>
      <c r="M21" s="8"/>
    </row>
    <row r="22" spans="3:13" s="75" customFormat="1" ht="15.75" x14ac:dyDescent="0.25">
      <c r="C22" s="8"/>
      <c r="D22" s="155" t="s">
        <v>142</v>
      </c>
      <c r="E22" s="8"/>
      <c r="F22" s="8"/>
      <c r="G22" s="8"/>
      <c r="H22" s="8"/>
      <c r="I22" s="155" t="s">
        <v>148</v>
      </c>
      <c r="J22" s="8"/>
      <c r="K22" s="8"/>
      <c r="L22" s="8"/>
      <c r="M22" s="8"/>
    </row>
    <row r="23" spans="3:13" s="75" customFormat="1" ht="15.75" x14ac:dyDescent="0.25">
      <c r="C23" s="8"/>
      <c r="D23" s="141"/>
      <c r="E23" s="8"/>
      <c r="F23" s="8"/>
      <c r="G23" s="8"/>
      <c r="H23" s="8"/>
      <c r="I23" s="141"/>
      <c r="J23" s="8"/>
      <c r="K23" s="8"/>
      <c r="L23" s="8"/>
      <c r="M23" s="8"/>
    </row>
    <row r="24" spans="3:13" s="75" customFormat="1" ht="15.75" x14ac:dyDescent="0.25">
      <c r="C24" s="8"/>
      <c r="D24" s="155" t="s">
        <v>143</v>
      </c>
      <c r="E24" s="8"/>
      <c r="F24" s="8"/>
      <c r="G24" s="8"/>
      <c r="H24" s="8"/>
      <c r="I24" s="155" t="s">
        <v>149</v>
      </c>
      <c r="J24" s="8"/>
      <c r="K24" s="8"/>
      <c r="L24" s="8"/>
      <c r="M24" s="8"/>
    </row>
    <row r="25" spans="3:13" s="75" customFormat="1" ht="15.75" x14ac:dyDescent="0.25">
      <c r="C25" s="8"/>
      <c r="D25" s="141"/>
      <c r="E25" s="8"/>
      <c r="F25" s="8"/>
      <c r="G25" s="8"/>
      <c r="H25" s="8"/>
      <c r="I25" s="141"/>
      <c r="J25" s="8"/>
      <c r="K25" s="8"/>
      <c r="L25" s="8"/>
      <c r="M25" s="8"/>
    </row>
    <row r="26" spans="3:13" s="75" customFormat="1" ht="15.75" x14ac:dyDescent="0.25">
      <c r="C26" s="8"/>
      <c r="D26" s="155" t="s">
        <v>144</v>
      </c>
      <c r="E26" s="8"/>
      <c r="F26" s="8"/>
      <c r="G26" s="8"/>
      <c r="H26" s="8"/>
      <c r="I26" s="155" t="s">
        <v>150</v>
      </c>
      <c r="J26" s="8"/>
      <c r="K26" s="8"/>
      <c r="L26" s="8"/>
      <c r="M26" s="8"/>
    </row>
    <row r="27" spans="3:13" s="75" customFormat="1" ht="15.75" x14ac:dyDescent="0.25">
      <c r="C27" s="8"/>
      <c r="D27" s="141"/>
      <c r="E27" s="8"/>
      <c r="F27" s="8"/>
      <c r="G27" s="8"/>
      <c r="H27" s="8"/>
      <c r="I27" s="141"/>
      <c r="J27" s="8"/>
      <c r="K27" s="8"/>
      <c r="L27" s="8"/>
      <c r="M27" s="8"/>
    </row>
    <row r="28" spans="3:13" s="75" customFormat="1" ht="15.75" x14ac:dyDescent="0.25">
      <c r="C28" s="8"/>
      <c r="D28" s="155" t="s">
        <v>145</v>
      </c>
      <c r="E28" s="8"/>
      <c r="F28" s="8"/>
      <c r="G28" s="8"/>
      <c r="H28" s="8"/>
      <c r="I28" s="155" t="s">
        <v>151</v>
      </c>
      <c r="J28" s="8"/>
      <c r="K28" s="8"/>
      <c r="L28" s="8"/>
      <c r="M28" s="8"/>
    </row>
    <row r="29" spans="3:13" s="75" customFormat="1" ht="15.75" x14ac:dyDescent="0.25">
      <c r="C29" s="8"/>
      <c r="D29" s="141"/>
      <c r="E29" s="8"/>
      <c r="F29" s="8"/>
      <c r="G29" s="8"/>
      <c r="H29" s="8"/>
      <c r="I29" s="141"/>
      <c r="J29" s="8"/>
      <c r="K29" s="8"/>
      <c r="L29" s="8"/>
      <c r="M29" s="8"/>
    </row>
    <row r="30" spans="3:13" s="75" customFormat="1" ht="15.75" x14ac:dyDescent="0.25">
      <c r="C30" s="8"/>
      <c r="D30" s="155" t="s">
        <v>146</v>
      </c>
      <c r="E30" s="8"/>
      <c r="F30" s="8"/>
      <c r="G30" s="8"/>
      <c r="H30" s="8"/>
      <c r="I30" s="155" t="s">
        <v>152</v>
      </c>
      <c r="J30" s="8"/>
      <c r="K30" s="8"/>
      <c r="L30" s="8"/>
      <c r="M30" s="8"/>
    </row>
    <row r="31" spans="3:13" s="75" customFormat="1" x14ac:dyDescent="0.2">
      <c r="C31" s="8"/>
      <c r="D31" s="8"/>
      <c r="E31" s="8"/>
      <c r="F31" s="8"/>
      <c r="G31" s="8"/>
      <c r="H31" s="8"/>
      <c r="I31" s="8"/>
      <c r="J31" s="8"/>
      <c r="K31" s="8"/>
      <c r="L31" s="8"/>
      <c r="M31" s="8"/>
    </row>
    <row r="32" spans="3:13" s="75" customFormat="1" ht="15.75" x14ac:dyDescent="0.25">
      <c r="C32" s="8"/>
      <c r="D32" s="8"/>
      <c r="E32" s="8"/>
      <c r="F32" s="8"/>
      <c r="G32" s="8"/>
      <c r="H32" s="8"/>
      <c r="I32" s="155" t="s">
        <v>250</v>
      </c>
      <c r="J32" s="8"/>
      <c r="K32" s="8"/>
      <c r="L32" s="8"/>
      <c r="M32" s="8"/>
    </row>
    <row r="33" spans="3:13" s="75" customFormat="1" x14ac:dyDescent="0.2">
      <c r="C33" s="8"/>
      <c r="D33" s="8"/>
      <c r="E33" s="8"/>
      <c r="F33" s="8"/>
      <c r="G33" s="8"/>
      <c r="H33" s="8"/>
      <c r="I33" s="8"/>
      <c r="J33" s="8"/>
      <c r="K33" s="8"/>
      <c r="L33" s="8"/>
      <c r="M33" s="8"/>
    </row>
    <row r="34" spans="3:13" s="75" customFormat="1" x14ac:dyDescent="0.2">
      <c r="C34" s="8"/>
      <c r="D34" s="8"/>
      <c r="E34" s="8"/>
      <c r="F34" s="8"/>
      <c r="G34" s="8"/>
      <c r="H34" s="8"/>
      <c r="I34" s="8"/>
      <c r="J34" s="8"/>
      <c r="K34" s="8"/>
      <c r="L34" s="8"/>
      <c r="M34" s="8"/>
    </row>
    <row r="35" spans="3:13" s="75" customFormat="1" x14ac:dyDescent="0.2">
      <c r="C35" s="8"/>
      <c r="D35" s="8"/>
      <c r="E35" s="8"/>
      <c r="F35" s="8"/>
      <c r="G35" s="8"/>
      <c r="H35" s="8"/>
      <c r="I35" s="8"/>
      <c r="J35" s="8"/>
      <c r="K35" s="8"/>
      <c r="L35" s="8"/>
      <c r="M35" s="8"/>
    </row>
    <row r="36" spans="3:13" s="75" customFormat="1" x14ac:dyDescent="0.2"/>
    <row r="37" spans="3:13" s="75" customFormat="1" x14ac:dyDescent="0.2"/>
    <row r="38" spans="3:13" s="75" customFormat="1" x14ac:dyDescent="0.2"/>
    <row r="39" spans="3:13" s="75" customFormat="1" x14ac:dyDescent="0.2"/>
    <row r="40" spans="3:13" s="75" customFormat="1" x14ac:dyDescent="0.2"/>
    <row r="41" spans="3:13" s="75" customFormat="1" x14ac:dyDescent="0.2"/>
    <row r="42" spans="3:13" s="75" customFormat="1" x14ac:dyDescent="0.2"/>
    <row r="43" spans="3:13" s="75" customFormat="1" x14ac:dyDescent="0.2"/>
    <row r="44" spans="3:13" s="75" customFormat="1" x14ac:dyDescent="0.2"/>
    <row r="45" spans="3:13" s="75" customFormat="1" x14ac:dyDescent="0.2"/>
    <row r="46" spans="3:13" s="75" customFormat="1" x14ac:dyDescent="0.2"/>
    <row r="47" spans="3:13" s="75" customFormat="1" x14ac:dyDescent="0.2"/>
    <row r="48" spans="3:13" s="75" customFormat="1" x14ac:dyDescent="0.2"/>
    <row r="49" s="75" customFormat="1" x14ac:dyDescent="0.2"/>
    <row r="50" s="75" customFormat="1" x14ac:dyDescent="0.2"/>
    <row r="51" s="75" customFormat="1" x14ac:dyDescent="0.2"/>
    <row r="52" s="75" customFormat="1" x14ac:dyDescent="0.2"/>
    <row r="53" s="75" customFormat="1" x14ac:dyDescent="0.2"/>
    <row r="54" s="75" customFormat="1" x14ac:dyDescent="0.2"/>
    <row r="55" s="75" customFormat="1" x14ac:dyDescent="0.2"/>
    <row r="56" s="75" customFormat="1" x14ac:dyDescent="0.2"/>
    <row r="57" s="75" customFormat="1" x14ac:dyDescent="0.2"/>
    <row r="58" s="75" customFormat="1" x14ac:dyDescent="0.2"/>
    <row r="59" s="75" customFormat="1" x14ac:dyDescent="0.2"/>
    <row r="60" s="75" customFormat="1" x14ac:dyDescent="0.2"/>
    <row r="61" s="75" customFormat="1" x14ac:dyDescent="0.2"/>
    <row r="62" s="75" customFormat="1" x14ac:dyDescent="0.2"/>
    <row r="63" s="75" customFormat="1" x14ac:dyDescent="0.2"/>
    <row r="64" s="75" customFormat="1" x14ac:dyDescent="0.2"/>
    <row r="65" s="75" customFormat="1" x14ac:dyDescent="0.2"/>
    <row r="66" s="75" customFormat="1" x14ac:dyDescent="0.2"/>
    <row r="67" s="75" customFormat="1" x14ac:dyDescent="0.2"/>
    <row r="68" s="75" customFormat="1" x14ac:dyDescent="0.2"/>
    <row r="69" s="75" customFormat="1" x14ac:dyDescent="0.2"/>
    <row r="70" s="75" customFormat="1" x14ac:dyDescent="0.2"/>
    <row r="71" s="75" customFormat="1" x14ac:dyDescent="0.2"/>
    <row r="72" s="75" customFormat="1" x14ac:dyDescent="0.2"/>
    <row r="73" s="75" customFormat="1" x14ac:dyDescent="0.2"/>
    <row r="74" s="75" customFormat="1" x14ac:dyDescent="0.2"/>
    <row r="75" s="75" customFormat="1" x14ac:dyDescent="0.2"/>
    <row r="76" s="75" customFormat="1" x14ac:dyDescent="0.2"/>
    <row r="77" s="75" customFormat="1" x14ac:dyDescent="0.2"/>
    <row r="78" s="75" customFormat="1" x14ac:dyDescent="0.2"/>
    <row r="79" s="75" customFormat="1" x14ac:dyDescent="0.2"/>
    <row r="80" s="75" customFormat="1" x14ac:dyDescent="0.2"/>
    <row r="81" s="75" customFormat="1" x14ac:dyDescent="0.2"/>
    <row r="82" s="75" customFormat="1" x14ac:dyDescent="0.2"/>
    <row r="83" s="75" customFormat="1" x14ac:dyDescent="0.2"/>
    <row r="84" s="75" customFormat="1" x14ac:dyDescent="0.2"/>
    <row r="85" s="75" customFormat="1" x14ac:dyDescent="0.2"/>
    <row r="86" s="75" customFormat="1" x14ac:dyDescent="0.2"/>
    <row r="87" s="75" customFormat="1" x14ac:dyDescent="0.2"/>
    <row r="88" s="75" customFormat="1" x14ac:dyDescent="0.2"/>
    <row r="89" s="75" customFormat="1" x14ac:dyDescent="0.2"/>
    <row r="90" s="75" customFormat="1" x14ac:dyDescent="0.2"/>
    <row r="91" s="75" customFormat="1" x14ac:dyDescent="0.2"/>
    <row r="92" s="75" customFormat="1" x14ac:dyDescent="0.2"/>
    <row r="93" s="75" customFormat="1" x14ac:dyDescent="0.2"/>
    <row r="94" s="75" customFormat="1" x14ac:dyDescent="0.2"/>
    <row r="95" s="75" customFormat="1" x14ac:dyDescent="0.2"/>
    <row r="96" s="75" customFormat="1" x14ac:dyDescent="0.2"/>
    <row r="97" spans="3:3" s="75" customFormat="1" x14ac:dyDescent="0.2"/>
    <row r="98" spans="3:3" s="75" customFormat="1" x14ac:dyDescent="0.2"/>
    <row r="99" spans="3:3" s="75" customFormat="1" x14ac:dyDescent="0.2"/>
    <row r="100" spans="3:3" s="75" customFormat="1" x14ac:dyDescent="0.2"/>
    <row r="101" spans="3:3" s="75" customFormat="1" x14ac:dyDescent="0.2"/>
    <row r="102" spans="3:3" s="75" customFormat="1" x14ac:dyDescent="0.2"/>
    <row r="103" spans="3:3" s="75" customFormat="1" x14ac:dyDescent="0.2"/>
    <row r="104" spans="3:3" s="75" customFormat="1" x14ac:dyDescent="0.2"/>
    <row r="105" spans="3:3" s="75" customFormat="1" x14ac:dyDescent="0.2"/>
    <row r="106" spans="3:3" s="75" customFormat="1" x14ac:dyDescent="0.2"/>
    <row r="107" spans="3:3" s="75" customFormat="1" x14ac:dyDescent="0.2"/>
    <row r="108" spans="3:3" s="75" customFormat="1" x14ac:dyDescent="0.2"/>
    <row r="109" spans="3:3" s="75" customFormat="1" x14ac:dyDescent="0.2"/>
    <row r="110" spans="3:3" s="75" customFormat="1" x14ac:dyDescent="0.2"/>
    <row r="111" spans="3:3" s="75" customFormat="1" x14ac:dyDescent="0.2"/>
    <row r="112" spans="3:3" x14ac:dyDescent="0.2">
      <c r="C112" s="75"/>
    </row>
    <row r="113" spans="3:3" x14ac:dyDescent="0.2">
      <c r="C113" s="75"/>
    </row>
    <row r="114" spans="3:3" x14ac:dyDescent="0.2">
      <c r="C114" s="75"/>
    </row>
    <row r="115" spans="3:3" x14ac:dyDescent="0.2">
      <c r="C115" s="75"/>
    </row>
    <row r="116" spans="3:3" x14ac:dyDescent="0.2">
      <c r="C116" s="75"/>
    </row>
    <row r="117" spans="3:3" x14ac:dyDescent="0.2">
      <c r="C117" s="75"/>
    </row>
    <row r="118" spans="3:3" x14ac:dyDescent="0.2">
      <c r="C118" s="75"/>
    </row>
    <row r="119" spans="3:3" x14ac:dyDescent="0.2">
      <c r="C119" s="75"/>
    </row>
    <row r="120" spans="3:3" x14ac:dyDescent="0.2">
      <c r="C120" s="75"/>
    </row>
    <row r="121" spans="3:3" x14ac:dyDescent="0.2">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4803149606299213" right="0.74803149606299213" top="0.98425196850393704" bottom="0.98425196850393704" header="0.51181102362204722" footer="0.51181102362204722"/>
  <pageSetup scale="6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B23" sqref="B23"/>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67" t="s">
        <v>246</v>
      </c>
      <c r="D13" s="167"/>
      <c r="E13" s="167"/>
      <c r="F13" s="167"/>
      <c r="G13" s="167"/>
      <c r="H13" s="167"/>
      <c r="I13" s="167"/>
      <c r="J13" s="167"/>
      <c r="K13" s="167"/>
      <c r="L13" s="167"/>
      <c r="M13" s="167"/>
      <c r="N13" s="167"/>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1" t="s">
        <v>209</v>
      </c>
      <c r="D22" s="141"/>
      <c r="E22" s="141"/>
      <c r="F22" s="141"/>
      <c r="G22" s="141"/>
      <c r="H22" s="141" t="s">
        <v>210</v>
      </c>
      <c r="I22" s="141"/>
      <c r="J22" s="141" t="s">
        <v>247</v>
      </c>
      <c r="K22" s="141"/>
      <c r="L22" s="141"/>
      <c r="M22" s="141" t="s">
        <v>248</v>
      </c>
    </row>
    <row r="24" spans="3:28" x14ac:dyDescent="0.2">
      <c r="C24" s="169" t="s">
        <v>29</v>
      </c>
      <c r="D24" s="169"/>
      <c r="E24" s="169"/>
      <c r="F24" s="169"/>
      <c r="G24" s="10"/>
      <c r="H24" s="3" t="s">
        <v>255</v>
      </c>
      <c r="I24" s="14"/>
      <c r="J24" s="171">
        <v>6.7999999999999996E-3</v>
      </c>
      <c r="K24" s="171"/>
      <c r="L24" s="7"/>
      <c r="M24" s="171">
        <v>5.1999999999999998E-3</v>
      </c>
      <c r="N24" s="171"/>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69" t="s">
        <v>31</v>
      </c>
      <c r="D25" s="169"/>
      <c r="E25" s="169"/>
      <c r="F25" s="169"/>
      <c r="G25" s="10"/>
      <c r="H25" s="153" t="s">
        <v>255</v>
      </c>
      <c r="I25" s="6"/>
      <c r="J25" s="170">
        <v>6.1999999999999998E-3</v>
      </c>
      <c r="K25" s="170"/>
      <c r="L25" s="8"/>
      <c r="M25" s="170">
        <v>4.5999999999999999E-3</v>
      </c>
      <c r="N25" s="170"/>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69" t="s">
        <v>61</v>
      </c>
      <c r="D26" s="169"/>
      <c r="E26" s="169"/>
      <c r="F26" s="169"/>
      <c r="G26" s="10"/>
      <c r="H26" s="153" t="s">
        <v>113</v>
      </c>
      <c r="I26" s="6"/>
      <c r="J26" s="170">
        <v>2.7913000000000001</v>
      </c>
      <c r="K26" s="170"/>
      <c r="L26" s="8"/>
      <c r="M26" s="170">
        <v>2.1577000000000002</v>
      </c>
      <c r="N26" s="170"/>
      <c r="Q26">
        <f t="shared" si="0"/>
        <v>1</v>
      </c>
      <c r="R26" t="str">
        <f t="shared" si="1"/>
        <v>C26</v>
      </c>
      <c r="S26" t="str">
        <f t="shared" si="2"/>
        <v/>
      </c>
      <c r="AB26" t="s">
        <v>33</v>
      </c>
    </row>
    <row r="27" spans="3:28" x14ac:dyDescent="0.2">
      <c r="C27" s="169" t="s">
        <v>34</v>
      </c>
      <c r="D27" s="169"/>
      <c r="E27" s="169"/>
      <c r="F27" s="169"/>
      <c r="G27" s="10"/>
      <c r="H27" s="153" t="s">
        <v>113</v>
      </c>
      <c r="I27" s="6"/>
      <c r="J27" s="170">
        <v>2.7452999999999999</v>
      </c>
      <c r="K27" s="170"/>
      <c r="L27" s="8"/>
      <c r="M27" s="170">
        <v>2.1225000000000001</v>
      </c>
      <c r="N27" s="170"/>
      <c r="Q27">
        <f t="shared" si="0"/>
        <v>1</v>
      </c>
      <c r="R27" t="str">
        <f t="shared" si="1"/>
        <v>C27</v>
      </c>
      <c r="S27" t="str">
        <f t="shared" si="2"/>
        <v/>
      </c>
      <c r="AB27" t="s">
        <v>35</v>
      </c>
    </row>
    <row r="28" spans="3:28" x14ac:dyDescent="0.2">
      <c r="C28" s="169" t="s">
        <v>36</v>
      </c>
      <c r="D28" s="169"/>
      <c r="E28" s="169"/>
      <c r="F28" s="169"/>
      <c r="G28" s="10"/>
      <c r="H28" s="153" t="s">
        <v>113</v>
      </c>
      <c r="I28" s="6"/>
      <c r="J28" s="170">
        <v>2.9727999999999999</v>
      </c>
      <c r="K28" s="170"/>
      <c r="L28" s="8"/>
      <c r="M28" s="170">
        <v>2.3736999999999999</v>
      </c>
      <c r="N28" s="170"/>
      <c r="Q28">
        <f t="shared" si="0"/>
        <v>1</v>
      </c>
      <c r="R28" t="str">
        <f t="shared" si="1"/>
        <v>C28</v>
      </c>
      <c r="S28" t="str">
        <f t="shared" si="2"/>
        <v/>
      </c>
      <c r="AB28" t="s">
        <v>37</v>
      </c>
    </row>
    <row r="29" spans="3:28" x14ac:dyDescent="0.2">
      <c r="C29" s="169" t="s">
        <v>38</v>
      </c>
      <c r="D29" s="169"/>
      <c r="E29" s="169"/>
      <c r="F29" s="169"/>
      <c r="G29" s="10"/>
      <c r="H29" s="153" t="s">
        <v>255</v>
      </c>
      <c r="I29" s="6"/>
      <c r="J29" s="170">
        <v>6.1999999999999998E-3</v>
      </c>
      <c r="K29" s="170"/>
      <c r="L29" s="8"/>
      <c r="M29" s="170">
        <v>4.5999999999999999E-3</v>
      </c>
      <c r="N29" s="170"/>
      <c r="Q29">
        <f t="shared" si="0"/>
        <v>1</v>
      </c>
      <c r="R29" t="str">
        <f t="shared" si="1"/>
        <v>C29</v>
      </c>
      <c r="S29" t="str">
        <f t="shared" si="2"/>
        <v/>
      </c>
      <c r="AB29" t="s">
        <v>39</v>
      </c>
    </row>
    <row r="30" spans="3:28" x14ac:dyDescent="0.2">
      <c r="C30" s="169" t="s">
        <v>40</v>
      </c>
      <c r="D30" s="169"/>
      <c r="E30" s="169"/>
      <c r="F30" s="169"/>
      <c r="G30" s="10"/>
      <c r="H30" s="153" t="s">
        <v>113</v>
      </c>
      <c r="I30" s="6"/>
      <c r="J30" s="170">
        <v>1.9000999999999999</v>
      </c>
      <c r="K30" s="170"/>
      <c r="L30" s="8"/>
      <c r="M30" s="170">
        <v>1.4819</v>
      </c>
      <c r="N30" s="170"/>
      <c r="Q30">
        <f t="shared" si="0"/>
        <v>1</v>
      </c>
      <c r="R30" t="str">
        <f t="shared" si="1"/>
        <v>C30</v>
      </c>
      <c r="S30" t="str">
        <f t="shared" si="2"/>
        <v/>
      </c>
      <c r="AB30" t="s">
        <v>41</v>
      </c>
    </row>
    <row r="31" spans="3:28" x14ac:dyDescent="0.2">
      <c r="C31" s="169" t="s">
        <v>42</v>
      </c>
      <c r="D31" s="169"/>
      <c r="E31" s="169"/>
      <c r="F31" s="169"/>
      <c r="G31" s="10"/>
      <c r="H31" s="153" t="s">
        <v>113</v>
      </c>
      <c r="I31" s="6"/>
      <c r="J31" s="170">
        <v>1.8905000000000001</v>
      </c>
      <c r="K31" s="170"/>
      <c r="L31" s="8"/>
      <c r="M31" s="170">
        <v>1.4515</v>
      </c>
      <c r="N31" s="170"/>
      <c r="Q31">
        <f t="shared" si="0"/>
        <v>1</v>
      </c>
      <c r="R31" t="str">
        <f t="shared" si="1"/>
        <v>C31</v>
      </c>
      <c r="S31" t="str">
        <f t="shared" si="2"/>
        <v/>
      </c>
      <c r="AB31" t="s">
        <v>43</v>
      </c>
    </row>
    <row r="32" spans="3:28" x14ac:dyDescent="0.2">
      <c r="C32" s="169" t="s">
        <v>30</v>
      </c>
      <c r="D32" s="169"/>
      <c r="E32" s="169"/>
      <c r="F32" s="169"/>
      <c r="G32" s="10"/>
      <c r="H32" s="153"/>
      <c r="I32" s="6"/>
      <c r="J32" s="170"/>
      <c r="K32" s="170"/>
      <c r="L32" s="8"/>
      <c r="M32" s="170"/>
      <c r="N32" s="170"/>
      <c r="Q32">
        <f t="shared" si="0"/>
        <v>0</v>
      </c>
      <c r="R32" t="str">
        <f t="shared" si="1"/>
        <v>C32</v>
      </c>
      <c r="S32" t="str">
        <f t="shared" si="2"/>
        <v/>
      </c>
      <c r="AB32" t="s">
        <v>44</v>
      </c>
    </row>
    <row r="33" spans="3:28" x14ac:dyDescent="0.2">
      <c r="C33" s="169" t="s">
        <v>30</v>
      </c>
      <c r="D33" s="169"/>
      <c r="E33" s="169"/>
      <c r="F33" s="169"/>
      <c r="G33" s="10"/>
      <c r="H33" s="154"/>
      <c r="I33" s="6"/>
      <c r="J33" s="170"/>
      <c r="K33" s="170"/>
      <c r="L33" s="8"/>
      <c r="M33" s="170"/>
      <c r="N33" s="170"/>
      <c r="Q33">
        <f t="shared" si="0"/>
        <v>0</v>
      </c>
      <c r="R33" t="str">
        <f t="shared" si="1"/>
        <v>C33</v>
      </c>
      <c r="S33" t="str">
        <f t="shared" si="2"/>
        <v/>
      </c>
      <c r="AB33" t="s">
        <v>45</v>
      </c>
    </row>
    <row r="34" spans="3:28" x14ac:dyDescent="0.2">
      <c r="C34" s="169" t="s">
        <v>30</v>
      </c>
      <c r="D34" s="169"/>
      <c r="E34" s="169"/>
      <c r="F34" s="169"/>
      <c r="G34" s="10"/>
      <c r="H34" s="154"/>
      <c r="I34" s="6"/>
      <c r="J34" s="170"/>
      <c r="K34" s="170"/>
      <c r="L34" s="8"/>
      <c r="M34" s="170"/>
      <c r="N34" s="170"/>
      <c r="Q34">
        <f t="shared" si="0"/>
        <v>0</v>
      </c>
      <c r="R34" t="str">
        <f t="shared" si="1"/>
        <v>C34</v>
      </c>
      <c r="S34" t="str">
        <f t="shared" si="2"/>
        <v/>
      </c>
      <c r="AB34" t="s">
        <v>46</v>
      </c>
    </row>
    <row r="35" spans="3:28" x14ac:dyDescent="0.2">
      <c r="C35" s="169" t="s">
        <v>30</v>
      </c>
      <c r="D35" s="169"/>
      <c r="E35" s="169"/>
      <c r="F35" s="169"/>
      <c r="G35" s="10"/>
      <c r="H35" s="154"/>
      <c r="I35" s="6"/>
      <c r="J35" s="170"/>
      <c r="K35" s="170"/>
      <c r="L35" s="8"/>
      <c r="M35" s="170"/>
      <c r="N35" s="170"/>
      <c r="Q35">
        <f t="shared" si="0"/>
        <v>0</v>
      </c>
      <c r="R35" t="str">
        <f t="shared" si="1"/>
        <v>C35</v>
      </c>
      <c r="S35" t="str">
        <f t="shared" si="2"/>
        <v/>
      </c>
      <c r="AB35" t="s">
        <v>47</v>
      </c>
    </row>
    <row r="36" spans="3:28" x14ac:dyDescent="0.2">
      <c r="C36" s="169" t="s">
        <v>30</v>
      </c>
      <c r="D36" s="169"/>
      <c r="E36" s="169"/>
      <c r="F36" s="169"/>
      <c r="G36" s="10"/>
      <c r="H36" s="154"/>
      <c r="I36" s="6"/>
      <c r="J36" s="170"/>
      <c r="K36" s="170"/>
      <c r="L36" s="8"/>
      <c r="M36" s="170"/>
      <c r="N36" s="170"/>
      <c r="Q36">
        <f t="shared" si="0"/>
        <v>0</v>
      </c>
      <c r="R36" t="str">
        <f t="shared" si="1"/>
        <v>C36</v>
      </c>
      <c r="S36" t="str">
        <f t="shared" si="2"/>
        <v/>
      </c>
      <c r="AB36" t="s">
        <v>48</v>
      </c>
    </row>
    <row r="37" spans="3:28" x14ac:dyDescent="0.2">
      <c r="C37" s="169" t="s">
        <v>30</v>
      </c>
      <c r="D37" s="169"/>
      <c r="E37" s="169"/>
      <c r="F37" s="169"/>
      <c r="G37" s="10"/>
      <c r="H37" s="154"/>
      <c r="I37" s="6"/>
      <c r="J37" s="170"/>
      <c r="K37" s="170"/>
      <c r="L37" s="8"/>
      <c r="M37" s="170"/>
      <c r="N37" s="170"/>
      <c r="Q37">
        <f t="shared" si="0"/>
        <v>0</v>
      </c>
      <c r="R37" t="str">
        <f t="shared" si="1"/>
        <v>C37</v>
      </c>
      <c r="S37" t="str">
        <f t="shared" si="2"/>
        <v/>
      </c>
      <c r="AB37" t="s">
        <v>49</v>
      </c>
    </row>
    <row r="38" spans="3:28" x14ac:dyDescent="0.2">
      <c r="C38" s="169" t="s">
        <v>30</v>
      </c>
      <c r="D38" s="169"/>
      <c r="E38" s="169"/>
      <c r="F38" s="169"/>
      <c r="G38" s="10"/>
      <c r="H38" s="154"/>
      <c r="I38" s="6"/>
      <c r="J38" s="170"/>
      <c r="K38" s="170"/>
      <c r="L38" s="8"/>
      <c r="M38" s="170"/>
      <c r="N38" s="170"/>
      <c r="Q38">
        <f t="shared" si="0"/>
        <v>0</v>
      </c>
      <c r="R38" t="str">
        <f t="shared" si="1"/>
        <v>C38</v>
      </c>
      <c r="S38" t="str">
        <f t="shared" si="2"/>
        <v/>
      </c>
      <c r="AB38" t="s">
        <v>50</v>
      </c>
    </row>
    <row r="39" spans="3:28" x14ac:dyDescent="0.2">
      <c r="C39" s="169" t="s">
        <v>30</v>
      </c>
      <c r="D39" s="169"/>
      <c r="E39" s="169"/>
      <c r="F39" s="169"/>
      <c r="G39" s="10"/>
      <c r="H39" s="154"/>
      <c r="I39" s="6"/>
      <c r="J39" s="170"/>
      <c r="K39" s="170"/>
      <c r="L39" s="8"/>
      <c r="M39" s="170"/>
      <c r="N39" s="170"/>
      <c r="Q39">
        <f t="shared" si="0"/>
        <v>0</v>
      </c>
      <c r="R39" t="str">
        <f t="shared" si="1"/>
        <v>C39</v>
      </c>
      <c r="S39" t="str">
        <f t="shared" si="2"/>
        <v/>
      </c>
    </row>
    <row r="40" spans="3:28" x14ac:dyDescent="0.2">
      <c r="C40" s="169" t="s">
        <v>30</v>
      </c>
      <c r="D40" s="169"/>
      <c r="E40" s="169"/>
      <c r="F40" s="169"/>
      <c r="G40" s="10"/>
      <c r="H40" s="154"/>
      <c r="I40" s="6"/>
      <c r="J40" s="170"/>
      <c r="K40" s="170"/>
      <c r="L40" s="8"/>
      <c r="M40" s="170"/>
      <c r="N40" s="170"/>
      <c r="Q40">
        <f t="shared" si="0"/>
        <v>0</v>
      </c>
      <c r="R40" t="str">
        <f t="shared" si="1"/>
        <v>C40</v>
      </c>
      <c r="S40" t="str">
        <f t="shared" si="2"/>
        <v/>
      </c>
      <c r="AB40" t="s">
        <v>31</v>
      </c>
    </row>
    <row r="41" spans="3:28" x14ac:dyDescent="0.2">
      <c r="C41" s="169" t="s">
        <v>30</v>
      </c>
      <c r="D41" s="169"/>
      <c r="E41" s="169"/>
      <c r="F41" s="169"/>
      <c r="G41" s="10"/>
      <c r="H41" s="154"/>
      <c r="I41" s="6"/>
      <c r="J41" s="170"/>
      <c r="K41" s="170"/>
      <c r="L41" s="8"/>
      <c r="M41" s="170"/>
      <c r="N41" s="170"/>
      <c r="Q41">
        <f t="shared" si="0"/>
        <v>0</v>
      </c>
      <c r="R41" t="str">
        <f t="shared" si="1"/>
        <v>C41</v>
      </c>
      <c r="S41" t="str">
        <f t="shared" si="2"/>
        <v/>
      </c>
      <c r="AB41" t="s">
        <v>51</v>
      </c>
    </row>
    <row r="42" spans="3:28" x14ac:dyDescent="0.2">
      <c r="C42" s="169" t="s">
        <v>30</v>
      </c>
      <c r="D42" s="169"/>
      <c r="E42" s="169"/>
      <c r="F42" s="169"/>
      <c r="G42" s="10"/>
      <c r="H42" s="154"/>
      <c r="I42" s="6"/>
      <c r="J42" s="170"/>
      <c r="K42" s="170"/>
      <c r="L42" s="8"/>
      <c r="M42" s="170"/>
      <c r="N42" s="170"/>
      <c r="Q42">
        <f t="shared" si="0"/>
        <v>0</v>
      </c>
      <c r="R42" t="str">
        <f t="shared" si="1"/>
        <v>C42</v>
      </c>
      <c r="S42" t="str">
        <f t="shared" si="2"/>
        <v/>
      </c>
      <c r="AB42" t="s">
        <v>52</v>
      </c>
    </row>
    <row r="43" spans="3:28" x14ac:dyDescent="0.2">
      <c r="C43" s="169" t="s">
        <v>30</v>
      </c>
      <c r="D43" s="169"/>
      <c r="E43" s="169"/>
      <c r="F43" s="169"/>
      <c r="G43" s="10"/>
      <c r="H43" s="154"/>
      <c r="I43" s="6"/>
      <c r="J43" s="170"/>
      <c r="K43" s="170"/>
      <c r="L43" s="8"/>
      <c r="M43" s="170"/>
      <c r="N43" s="170"/>
      <c r="Q43">
        <f t="shared" si="0"/>
        <v>0</v>
      </c>
      <c r="R43" t="str">
        <f t="shared" si="1"/>
        <v>C43</v>
      </c>
      <c r="S43" t="str">
        <f t="shared" si="2"/>
        <v/>
      </c>
      <c r="AB43" t="s">
        <v>53</v>
      </c>
    </row>
    <row r="44" spans="3:28" x14ac:dyDescent="0.2">
      <c r="C44" s="169" t="s">
        <v>30</v>
      </c>
      <c r="D44" s="169"/>
      <c r="E44" s="169"/>
      <c r="F44" s="169"/>
      <c r="G44" s="10"/>
      <c r="H44" s="154"/>
      <c r="I44" s="6"/>
      <c r="J44" s="170"/>
      <c r="K44" s="170"/>
      <c r="L44" s="8"/>
      <c r="M44" s="170"/>
      <c r="N44" s="170"/>
      <c r="Q44">
        <f t="shared" si="0"/>
        <v>0</v>
      </c>
      <c r="R44" t="str">
        <f t="shared" si="1"/>
        <v>C44</v>
      </c>
      <c r="S44" t="str">
        <f t="shared" si="2"/>
        <v/>
      </c>
      <c r="AB44" t="s">
        <v>54</v>
      </c>
    </row>
    <row r="45" spans="3:28" x14ac:dyDescent="0.2">
      <c r="C45" s="169" t="s">
        <v>30</v>
      </c>
      <c r="D45" s="169"/>
      <c r="E45" s="169"/>
      <c r="F45" s="169"/>
      <c r="G45" s="10"/>
      <c r="H45" s="154"/>
      <c r="I45" s="6"/>
      <c r="J45" s="170"/>
      <c r="K45" s="170"/>
      <c r="L45" s="8"/>
      <c r="M45" s="170"/>
      <c r="N45" s="170"/>
      <c r="Q45">
        <f t="shared" si="0"/>
        <v>0</v>
      </c>
      <c r="R45" t="str">
        <f t="shared" si="1"/>
        <v>C45</v>
      </c>
      <c r="S45" t="str">
        <f t="shared" si="2"/>
        <v/>
      </c>
      <c r="AB45" t="s">
        <v>55</v>
      </c>
    </row>
    <row r="46" spans="3:28" x14ac:dyDescent="0.2">
      <c r="C46" s="168"/>
      <c r="D46" s="168"/>
      <c r="E46" s="168"/>
      <c r="F46" s="168"/>
      <c r="G46" s="10"/>
      <c r="H46" s="10"/>
      <c r="S46">
        <f>COUNTIF(S24:S45, "x")</f>
        <v>0</v>
      </c>
      <c r="AB46" t="s">
        <v>56</v>
      </c>
    </row>
    <row r="47" spans="3:28" x14ac:dyDescent="0.2">
      <c r="C47" s="168"/>
      <c r="D47" s="168"/>
      <c r="E47" s="168"/>
      <c r="F47" s="168"/>
      <c r="G47" s="10"/>
      <c r="H47" s="10"/>
      <c r="AB47" t="s">
        <v>57</v>
      </c>
    </row>
    <row r="48" spans="3:28" x14ac:dyDescent="0.2">
      <c r="C48" s="168"/>
      <c r="D48" s="168"/>
      <c r="E48" s="168"/>
      <c r="F48" s="168"/>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4803149606299213" right="0.74803149606299213" top="0.98425196850393704" bottom="0.98425196850393704" header="0.51181102362204722" footer="0.51181102362204722"/>
  <pageSetup scale="7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6" activePane="bottomLeft" state="frozenSplit"/>
      <selection pane="bottomLeft" activeCell="H33" sqref="H33:I33"/>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173" t="s">
        <v>245</v>
      </c>
      <c r="C13" s="173"/>
      <c r="D13" s="173"/>
      <c r="E13" s="173"/>
      <c r="F13" s="173"/>
      <c r="G13" s="173"/>
      <c r="H13" s="173"/>
      <c r="I13" s="173"/>
      <c r="J13" s="173"/>
      <c r="K13" s="173"/>
      <c r="L13" s="173"/>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9"/>
      <c r="C21" s="148"/>
      <c r="D21" s="150"/>
      <c r="E21" s="148"/>
      <c r="F21" s="148"/>
      <c r="G21" s="148"/>
      <c r="H21" s="148"/>
      <c r="I21" s="148"/>
      <c r="J21" s="172"/>
      <c r="K21" s="172"/>
      <c r="L21" s="148"/>
      <c r="M21" s="148"/>
    </row>
    <row r="22" spans="2:14" s="93" customFormat="1" ht="1.5" customHeight="1" x14ac:dyDescent="0.3">
      <c r="B22" s="92"/>
      <c r="D22" s="94"/>
      <c r="F22" s="92"/>
      <c r="J22" s="94"/>
    </row>
    <row r="23" spans="2:14" ht="16.5" x14ac:dyDescent="0.3">
      <c r="B23" s="91"/>
      <c r="D23" s="94"/>
      <c r="E23" s="93"/>
      <c r="F23" s="92"/>
      <c r="G23" s="93"/>
      <c r="H23" s="93"/>
      <c r="I23" s="93"/>
      <c r="J23" s="94"/>
    </row>
    <row r="24" spans="2:14" ht="38.25" x14ac:dyDescent="0.2">
      <c r="B24" s="149" t="s">
        <v>209</v>
      </c>
      <c r="C24" s="148"/>
      <c r="D24" s="150" t="s">
        <v>210</v>
      </c>
      <c r="E24" s="148"/>
      <c r="F24" s="148" t="s">
        <v>240</v>
      </c>
      <c r="G24" s="148" t="s">
        <v>241</v>
      </c>
      <c r="H24" s="148" t="s">
        <v>242</v>
      </c>
      <c r="I24" s="148"/>
      <c r="J24" s="172" t="s">
        <v>243</v>
      </c>
      <c r="K24" s="172"/>
      <c r="L24" s="148" t="s">
        <v>215</v>
      </c>
      <c r="M24" s="148" t="s">
        <v>244</v>
      </c>
    </row>
    <row r="26" spans="2:14" hidden="1" x14ac:dyDescent="0.2"/>
    <row r="27" spans="2:14" ht="25.5" customHeight="1" thickBot="1" x14ac:dyDescent="0.25">
      <c r="B27" s="95" t="str">
        <f>IF('3. Rate Classes'!Q24=1,'3. Rate Classes'!C24, 0)</f>
        <v>Residential</v>
      </c>
      <c r="C27" s="96"/>
      <c r="D27" s="97" t="str">
        <f>IF(OR(VLOOKUP($B27, '3. Rate Classes'!$C$24:$H$45,6,0)=0, ISERROR(VLOOKUP($B27, '3. Rate Classes'!$C$24:$H$45,6,0))), "", VLOOKUP($B27, '3. Rate Classes'!$C$24:$H$45,6,0))</f>
        <v>kWh</v>
      </c>
      <c r="F27" s="151">
        <v>268725505</v>
      </c>
      <c r="G27" s="151"/>
      <c r="H27" s="176">
        <v>1.0362</v>
      </c>
      <c r="I27" s="176"/>
      <c r="J27" s="174" t="str">
        <f t="shared" ref="J27:J32" si="0">IF(ISERROR(F27/(G27*30.4*24)), "", IF(D27="kW", F27/(G27*30.4*24), ""))</f>
        <v/>
      </c>
      <c r="K27" s="174"/>
      <c r="L27" s="98">
        <f>IF(OR(H27=0, OR(ISBLANK(H27), TRIM(H27)="")), F27, F27*H27)</f>
        <v>278453368.28100002</v>
      </c>
      <c r="M27" s="98">
        <f>IF(OR(H27=0, OR(ISBLANK(H27), TRIM(H27)="")), G27, G27)</f>
        <v>0</v>
      </c>
      <c r="N27" s="13"/>
    </row>
    <row r="28" spans="2:14" ht="25.5" customHeight="1" thickBot="1" x14ac:dyDescent="0.25">
      <c r="B28" s="95" t="str">
        <f>IF('3. Rate Classes'!Q25=1,'3. Rate Classes'!C25, 0)</f>
        <v>General Service Less Than 50 kW</v>
      </c>
      <c r="C28" s="96"/>
      <c r="D28" s="97" t="str">
        <f>IF(OR(VLOOKUP($B28, '3. Rate Classes'!$C$24:$H$45,6,0)=0, ISERROR(VLOOKUP($B28, '3. Rate Classes'!$C$24:$H$45,6,0))), "", VLOOKUP($B28, '3. Rate Classes'!$C$24:$H$45,6,0))</f>
        <v>kWh</v>
      </c>
      <c r="F28" s="152">
        <v>83338834</v>
      </c>
      <c r="G28" s="152"/>
      <c r="H28" s="176">
        <v>1.0362</v>
      </c>
      <c r="I28" s="176"/>
      <c r="J28" s="174" t="str">
        <f t="shared" si="0"/>
        <v/>
      </c>
      <c r="K28" s="174"/>
      <c r="L28" s="98">
        <f t="shared" ref="L28:L48" si="1">IF(OR(H28=0, OR(ISBLANK(H28), TRIM(H28)="")), F28, F28*H28)</f>
        <v>86355699.790800005</v>
      </c>
      <c r="M28" s="98">
        <f t="shared" ref="M28:M48" si="2">IF(OR(H28=0, OR(ISBLANK(H28), TRIM(H28)="")), G28, G28)</f>
        <v>0</v>
      </c>
    </row>
    <row r="29" spans="2:14" ht="25.5" customHeight="1" thickBot="1" x14ac:dyDescent="0.25">
      <c r="B29" s="95" t="str">
        <f>IF('3. Rate Classes'!Q26=1,'3. Rate Classes'!C26, 0)</f>
        <v>General Service 50 to 999 kW</v>
      </c>
      <c r="C29" s="96"/>
      <c r="D29" s="97" t="str">
        <f>IF(OR(VLOOKUP($B29, '3. Rate Classes'!$C$24:$H$45,6,0)=0, ISERROR(VLOOKUP($B29, '3. Rate Classes'!$C$24:$H$45,6,0))), "", VLOOKUP($B29, '3. Rate Classes'!$C$24:$H$45,6,0))</f>
        <v>kW</v>
      </c>
      <c r="F29" s="152">
        <v>192782769</v>
      </c>
      <c r="G29" s="151">
        <v>503231</v>
      </c>
      <c r="H29" s="175"/>
      <c r="I29" s="175"/>
      <c r="J29" s="174">
        <f t="shared" si="0"/>
        <v>0.52506854489185628</v>
      </c>
      <c r="K29" s="174"/>
      <c r="L29" s="98">
        <f t="shared" si="1"/>
        <v>192782769</v>
      </c>
      <c r="M29" s="98">
        <f t="shared" si="2"/>
        <v>503231</v>
      </c>
    </row>
    <row r="30" spans="2:14" ht="25.5" customHeight="1" thickBot="1" x14ac:dyDescent="0.25">
      <c r="B30" s="95" t="str">
        <f>IF('3. Rate Classes'!Q27=1,'3. Rate Classes'!C27, 0)</f>
        <v>General Service 1,000 to 4,999 kW</v>
      </c>
      <c r="C30" s="96"/>
      <c r="D30" s="97" t="str">
        <f>IF(OR(VLOOKUP($B30, '3. Rate Classes'!$C$24:$H$45,6,0)=0, ISERROR(VLOOKUP($B30, '3. Rate Classes'!$C$24:$H$45,6,0))), "", VLOOKUP($B30, '3. Rate Classes'!$C$24:$H$45,6,0))</f>
        <v>kW</v>
      </c>
      <c r="F30" s="152">
        <v>121407487</v>
      </c>
      <c r="G30" s="152">
        <v>260972</v>
      </c>
      <c r="H30" s="175"/>
      <c r="I30" s="175"/>
      <c r="J30" s="174">
        <f t="shared" si="0"/>
        <v>0.63762704675953674</v>
      </c>
      <c r="K30" s="174"/>
      <c r="L30" s="98">
        <f t="shared" si="1"/>
        <v>121407487</v>
      </c>
      <c r="M30" s="98">
        <f t="shared" si="2"/>
        <v>260972</v>
      </c>
    </row>
    <row r="31" spans="2:14" ht="25.5" customHeight="1" thickBot="1" x14ac:dyDescent="0.25">
      <c r="B31" s="95" t="str">
        <f>IF('3. Rate Classes'!Q28=1,'3. Rate Classes'!C28, 0)</f>
        <v>Large Use</v>
      </c>
      <c r="C31" s="96"/>
      <c r="D31" s="97" t="str">
        <f>IF(OR(VLOOKUP($B31, '3. Rate Classes'!$C$24:$H$45,6,0)=0, ISERROR(VLOOKUP($B31, '3. Rate Classes'!$C$24:$H$45,6,0))), "", VLOOKUP($B31, '3. Rate Classes'!$C$24:$H$45,6,0))</f>
        <v>kW</v>
      </c>
      <c r="F31" s="152">
        <v>80336534</v>
      </c>
      <c r="G31" s="151">
        <v>175385</v>
      </c>
      <c r="H31" s="175"/>
      <c r="I31" s="175"/>
      <c r="J31" s="174">
        <f t="shared" si="0"/>
        <v>0.627820971181696</v>
      </c>
      <c r="K31" s="174"/>
      <c r="L31" s="98">
        <f t="shared" si="1"/>
        <v>80336534</v>
      </c>
      <c r="M31" s="98">
        <f t="shared" si="2"/>
        <v>175385</v>
      </c>
    </row>
    <row r="32" spans="2:14" ht="25.5" customHeight="1" thickBot="1" x14ac:dyDescent="0.25">
      <c r="B32" s="95" t="str">
        <f>IF('3. Rate Classes'!Q29=1,'3. Rate Classes'!C29, 0)</f>
        <v>Unmetered Scattered Load</v>
      </c>
      <c r="C32" s="96"/>
      <c r="D32" s="97" t="str">
        <f>IF(OR(VLOOKUP($B32, '3. Rate Classes'!$C$24:$H$45,6,0)=0, ISERROR(VLOOKUP($B32, '3. Rate Classes'!$C$24:$H$45,6,0))), "", VLOOKUP($B32, '3. Rate Classes'!$C$24:$H$45,6,0))</f>
        <v>kWh</v>
      </c>
      <c r="F32" s="152">
        <v>1298941</v>
      </c>
      <c r="G32" s="152"/>
      <c r="H32" s="176">
        <v>1.0362</v>
      </c>
      <c r="I32" s="176"/>
      <c r="J32" s="174" t="str">
        <f t="shared" si="0"/>
        <v/>
      </c>
      <c r="K32" s="174"/>
      <c r="L32" s="98">
        <f t="shared" si="1"/>
        <v>1345962.6642</v>
      </c>
      <c r="M32" s="98">
        <f t="shared" si="2"/>
        <v>0</v>
      </c>
    </row>
    <row r="33" spans="2:13" ht="25.5" customHeight="1" thickBot="1" x14ac:dyDescent="0.25">
      <c r="B33" s="95" t="str">
        <f>IF('3. Rate Classes'!Q30=1,'3. Rate Classes'!C30, 0)</f>
        <v>Sentinel Lighting</v>
      </c>
      <c r="C33" s="96"/>
      <c r="D33" s="97" t="str">
        <f>IF(OR(VLOOKUP($B33, '3. Rate Classes'!$C$24:$H$45,6,0)=0, ISERROR(VLOOKUP($B33, '3. Rate Classes'!$C$24:$H$45,6,0))), "", VLOOKUP($B33, '3. Rate Classes'!$C$24:$H$45,6,0))</f>
        <v>kW</v>
      </c>
      <c r="F33" s="152">
        <v>158082</v>
      </c>
      <c r="G33" s="151">
        <v>439</v>
      </c>
      <c r="H33" s="175"/>
      <c r="I33" s="175"/>
      <c r="J33" s="174">
        <f t="shared" ref="J33:J48" si="3">IF(ISERROR(F33/(G33*30.4*24)), "", IF(D33="kW", F33/(G33*30.4*24), ""))</f>
        <v>0.4935521819925669</v>
      </c>
      <c r="K33" s="174"/>
      <c r="L33" s="98">
        <f t="shared" si="1"/>
        <v>158082</v>
      </c>
      <c r="M33" s="98">
        <f t="shared" si="2"/>
        <v>439</v>
      </c>
    </row>
    <row r="34" spans="2:13" ht="25.5" customHeight="1" thickBot="1" x14ac:dyDescent="0.25">
      <c r="B34" s="95" t="str">
        <f>IF('3. Rate Classes'!Q31=1,'3. Rate Classes'!C31, 0)</f>
        <v>Street Lighting</v>
      </c>
      <c r="C34" s="96"/>
      <c r="D34" s="97" t="str">
        <f>IF(OR(VLOOKUP($B34, '3. Rate Classes'!$C$24:$H$45,6,0)=0, ISERROR(VLOOKUP($B34, '3. Rate Classes'!$C$24:$H$45,6,0))), "", VLOOKUP($B34, '3. Rate Classes'!$C$24:$H$45,6,0))</f>
        <v>kW</v>
      </c>
      <c r="F34" s="152">
        <v>6418516</v>
      </c>
      <c r="G34" s="152">
        <v>17894</v>
      </c>
      <c r="H34" s="175"/>
      <c r="I34" s="175"/>
      <c r="J34" s="174">
        <f t="shared" si="3"/>
        <v>0.49163452073516756</v>
      </c>
      <c r="K34" s="174"/>
      <c r="L34" s="98">
        <f t="shared" si="1"/>
        <v>6418516</v>
      </c>
      <c r="M34" s="98">
        <f t="shared" si="2"/>
        <v>17894</v>
      </c>
    </row>
    <row r="35" spans="2:13" ht="25.5" hidden="1" customHeight="1" thickBot="1" x14ac:dyDescent="0.25">
      <c r="B35" s="95">
        <f>IF('3. Rate Classes'!Q32=1,'3. Rate Classes'!C32, 0)</f>
        <v>0</v>
      </c>
      <c r="C35" s="96"/>
      <c r="D35" s="97" t="e">
        <f>IF(OR(VLOOKUP($B35, '3. Rate Classes'!$C$24:$H$45,6,0)=0, ISERROR(VLOOKUP($B35, '3. Rate Classes'!$C$24:$H$45,6,0))), "", VLOOKUP($B35, '3. Rate Classes'!$C$24:$H$45,6,0))</f>
        <v>#N/A</v>
      </c>
      <c r="F35" s="152"/>
      <c r="G35" s="151"/>
      <c r="H35" s="175"/>
      <c r="I35" s="175"/>
      <c r="J35" s="174" t="str">
        <f t="shared" si="3"/>
        <v/>
      </c>
      <c r="K35" s="174"/>
      <c r="L35" s="98">
        <f t="shared" si="1"/>
        <v>0</v>
      </c>
      <c r="M35" s="98">
        <f t="shared" si="2"/>
        <v>0</v>
      </c>
    </row>
    <row r="36" spans="2:13" ht="25.5" hidden="1" customHeight="1" thickBot="1" x14ac:dyDescent="0.25">
      <c r="B36" s="95">
        <f>IF('3. Rate Classes'!Q33=1,'3. Rate Classes'!C33, 0)</f>
        <v>0</v>
      </c>
      <c r="C36" s="96"/>
      <c r="D36" s="97" t="e">
        <f>IF(OR(VLOOKUP($B36, '3. Rate Classes'!$C$24:$H$45,6,0)=0, ISERROR(VLOOKUP($B36, '3. Rate Classes'!$C$24:$H$45,6,0))), "", VLOOKUP($B36, '3. Rate Classes'!$C$24:$H$45,6,0))</f>
        <v>#N/A</v>
      </c>
      <c r="F36" s="152"/>
      <c r="G36" s="152"/>
      <c r="H36" s="175"/>
      <c r="I36" s="175"/>
      <c r="J36" s="174" t="str">
        <f t="shared" si="3"/>
        <v/>
      </c>
      <c r="K36" s="174"/>
      <c r="L36" s="98">
        <f t="shared" si="1"/>
        <v>0</v>
      </c>
      <c r="M36" s="98">
        <f t="shared" si="2"/>
        <v>0</v>
      </c>
    </row>
    <row r="37" spans="2:13" ht="25.5" hidden="1" customHeight="1" thickBot="1" x14ac:dyDescent="0.25">
      <c r="B37" s="95">
        <f>IF('3. Rate Classes'!Q34=1,'3. Rate Classes'!C34, 0)</f>
        <v>0</v>
      </c>
      <c r="C37" s="96"/>
      <c r="D37" s="97" t="e">
        <f>IF(OR(VLOOKUP($B37, '3. Rate Classes'!$C$24:$H$45,6,0)=0, ISERROR(VLOOKUP($B37, '3. Rate Classes'!$C$24:$H$45,6,0))), "", VLOOKUP($B37, '3. Rate Classes'!$C$24:$H$45,6,0))</f>
        <v>#N/A</v>
      </c>
      <c r="F37" s="152"/>
      <c r="G37" s="151"/>
      <c r="H37" s="175"/>
      <c r="I37" s="175"/>
      <c r="J37" s="174" t="str">
        <f t="shared" si="3"/>
        <v/>
      </c>
      <c r="K37" s="174"/>
      <c r="L37" s="98">
        <f t="shared" si="1"/>
        <v>0</v>
      </c>
      <c r="M37" s="98">
        <f t="shared" si="2"/>
        <v>0</v>
      </c>
    </row>
    <row r="38" spans="2:13" ht="25.5" hidden="1" customHeight="1" thickBot="1" x14ac:dyDescent="0.25">
      <c r="B38" s="95">
        <f>IF('3. Rate Classes'!Q35=1,'3. Rate Classes'!C35, 0)</f>
        <v>0</v>
      </c>
      <c r="C38" s="96"/>
      <c r="D38" s="97" t="e">
        <f>IF(OR(VLOOKUP($B38, '3. Rate Classes'!$C$24:$H$45,6,0)=0, ISERROR(VLOOKUP($B38, '3. Rate Classes'!$C$24:$H$45,6,0))), "", VLOOKUP($B38, '3. Rate Classes'!$C$24:$H$45,6,0))</f>
        <v>#N/A</v>
      </c>
      <c r="F38" s="152"/>
      <c r="G38" s="152"/>
      <c r="H38" s="175"/>
      <c r="I38" s="175"/>
      <c r="J38" s="174" t="str">
        <f t="shared" si="3"/>
        <v/>
      </c>
      <c r="K38" s="174"/>
      <c r="L38" s="98">
        <f t="shared" si="1"/>
        <v>0</v>
      </c>
      <c r="M38" s="98">
        <f t="shared" si="2"/>
        <v>0</v>
      </c>
    </row>
    <row r="39" spans="2:13" ht="25.5" hidden="1" customHeight="1" thickBot="1" x14ac:dyDescent="0.25">
      <c r="B39" s="95">
        <f>IF('3. Rate Classes'!Q36=1,'3. Rate Classes'!C36, 0)</f>
        <v>0</v>
      </c>
      <c r="C39" s="96"/>
      <c r="D39" s="97" t="e">
        <f>IF(OR(VLOOKUP($B39, '3. Rate Classes'!$C$24:$H$45,6,0)=0, ISERROR(VLOOKUP($B39, '3. Rate Classes'!$C$24:$H$45,6,0))), "", VLOOKUP($B39, '3. Rate Classes'!$C$24:$H$45,6,0))</f>
        <v>#N/A</v>
      </c>
      <c r="F39" s="152"/>
      <c r="G39" s="151"/>
      <c r="H39" s="175"/>
      <c r="I39" s="175"/>
      <c r="J39" s="174" t="str">
        <f t="shared" si="3"/>
        <v/>
      </c>
      <c r="K39" s="174"/>
      <c r="L39" s="98">
        <f t="shared" si="1"/>
        <v>0</v>
      </c>
      <c r="M39" s="98">
        <f t="shared" si="2"/>
        <v>0</v>
      </c>
    </row>
    <row r="40" spans="2:13" ht="25.5" hidden="1" customHeight="1" thickBot="1" x14ac:dyDescent="0.25">
      <c r="B40" s="95">
        <f>IF('3. Rate Classes'!Q37=1,'3. Rate Classes'!C37, 0)</f>
        <v>0</v>
      </c>
      <c r="C40" s="96"/>
      <c r="D40" s="97" t="e">
        <f>IF(OR(VLOOKUP($B40, '3. Rate Classes'!$C$24:$H$45,6,0)=0, ISERROR(VLOOKUP($B40, '3. Rate Classes'!$C$24:$H$45,6,0))), "", VLOOKUP($B40, '3. Rate Classes'!$C$24:$H$45,6,0))</f>
        <v>#N/A</v>
      </c>
      <c r="F40" s="152"/>
      <c r="G40" s="152"/>
      <c r="H40" s="175"/>
      <c r="I40" s="175"/>
      <c r="J40" s="174" t="str">
        <f t="shared" si="3"/>
        <v/>
      </c>
      <c r="K40" s="174"/>
      <c r="L40" s="98">
        <f t="shared" si="1"/>
        <v>0</v>
      </c>
      <c r="M40" s="98">
        <f t="shared" si="2"/>
        <v>0</v>
      </c>
    </row>
    <row r="41" spans="2:13" ht="25.5" hidden="1" customHeight="1" thickBot="1" x14ac:dyDescent="0.25">
      <c r="B41" s="95">
        <f>IF('3. Rate Classes'!Q38=1,'3. Rate Classes'!C38, 0)</f>
        <v>0</v>
      </c>
      <c r="C41" s="96"/>
      <c r="D41" s="97" t="e">
        <f>IF(OR(VLOOKUP($B41, '3. Rate Classes'!$C$24:$H$45,6,0)=0, ISERROR(VLOOKUP($B41, '3. Rate Classes'!$C$24:$H$45,6,0))), "", VLOOKUP($B41, '3. Rate Classes'!$C$24:$H$45,6,0))</f>
        <v>#N/A</v>
      </c>
      <c r="F41" s="152"/>
      <c r="G41" s="151"/>
      <c r="H41" s="175"/>
      <c r="I41" s="175"/>
      <c r="J41" s="174" t="str">
        <f t="shared" si="3"/>
        <v/>
      </c>
      <c r="K41" s="174"/>
      <c r="L41" s="98">
        <f t="shared" si="1"/>
        <v>0</v>
      </c>
      <c r="M41" s="98">
        <f t="shared" si="2"/>
        <v>0</v>
      </c>
    </row>
    <row r="42" spans="2:13" ht="25.5" hidden="1" customHeight="1" thickBot="1" x14ac:dyDescent="0.25">
      <c r="B42" s="95">
        <f>IF('3. Rate Classes'!Q39=1,'3. Rate Classes'!C39, 0)</f>
        <v>0</v>
      </c>
      <c r="C42" s="96"/>
      <c r="D42" s="97" t="e">
        <f>IF(OR(VLOOKUP($B42, '3. Rate Classes'!$C$24:$H$45,6,0)=0, ISERROR(VLOOKUP($B42, '3. Rate Classes'!$C$24:$H$45,6,0))), "", VLOOKUP($B42, '3. Rate Classes'!$C$24:$H$45,6,0))</f>
        <v>#N/A</v>
      </c>
      <c r="F42" s="152"/>
      <c r="G42" s="152"/>
      <c r="H42" s="175"/>
      <c r="I42" s="175"/>
      <c r="J42" s="174" t="str">
        <f t="shared" si="3"/>
        <v/>
      </c>
      <c r="K42" s="174"/>
      <c r="L42" s="98">
        <f t="shared" si="1"/>
        <v>0</v>
      </c>
      <c r="M42" s="98">
        <f t="shared" si="2"/>
        <v>0</v>
      </c>
    </row>
    <row r="43" spans="2:13" ht="25.5" hidden="1" customHeight="1" thickBot="1" x14ac:dyDescent="0.25">
      <c r="B43" s="95">
        <f>IF('3. Rate Classes'!Q40=1,'3. Rate Classes'!C40, 0)</f>
        <v>0</v>
      </c>
      <c r="C43" s="96"/>
      <c r="D43" s="97" t="e">
        <f>IF(OR(VLOOKUP($B43, '3. Rate Classes'!$C$24:$H$45,6,0)=0, ISERROR(VLOOKUP($B43, '3. Rate Classes'!$C$24:$H$45,6,0))), "", VLOOKUP($B43, '3. Rate Classes'!$C$24:$H$45,6,0))</f>
        <v>#N/A</v>
      </c>
      <c r="F43" s="152"/>
      <c r="G43" s="151"/>
      <c r="H43" s="175"/>
      <c r="I43" s="175"/>
      <c r="J43" s="174" t="str">
        <f t="shared" si="3"/>
        <v/>
      </c>
      <c r="K43" s="174"/>
      <c r="L43" s="98">
        <f t="shared" si="1"/>
        <v>0</v>
      </c>
      <c r="M43" s="98">
        <f t="shared" si="2"/>
        <v>0</v>
      </c>
    </row>
    <row r="44" spans="2:13" ht="25.5" hidden="1" customHeight="1" thickBot="1" x14ac:dyDescent="0.25">
      <c r="B44" s="95">
        <f>IF('3. Rate Classes'!Q41=1,'3. Rate Classes'!C41, 0)</f>
        <v>0</v>
      </c>
      <c r="C44" s="96"/>
      <c r="D44" s="97" t="e">
        <f>IF(OR(VLOOKUP($B44, '3. Rate Classes'!$C$24:$H$45,6,0)=0, ISERROR(VLOOKUP($B44, '3. Rate Classes'!$C$24:$H$45,6,0))), "", VLOOKUP($B44, '3. Rate Classes'!$C$24:$H$45,6,0))</f>
        <v>#N/A</v>
      </c>
      <c r="F44" s="152"/>
      <c r="G44" s="152"/>
      <c r="H44" s="175"/>
      <c r="I44" s="175"/>
      <c r="J44" s="174" t="str">
        <f t="shared" si="3"/>
        <v/>
      </c>
      <c r="K44" s="174"/>
      <c r="L44" s="98">
        <f t="shared" si="1"/>
        <v>0</v>
      </c>
      <c r="M44" s="98">
        <f t="shared" si="2"/>
        <v>0</v>
      </c>
    </row>
    <row r="45" spans="2:13" ht="25.5" hidden="1" customHeight="1" thickBot="1" x14ac:dyDescent="0.25">
      <c r="B45" s="95">
        <f>IF('3. Rate Classes'!Q42=1,'3. Rate Classes'!C42, 0)</f>
        <v>0</v>
      </c>
      <c r="C45" s="96"/>
      <c r="D45" s="97" t="e">
        <f>IF(OR(VLOOKUP($B45, '3. Rate Classes'!$C$24:$H$45,6,0)=0, ISERROR(VLOOKUP($B45, '3. Rate Classes'!$C$24:$H$45,6,0))), "", VLOOKUP($B45, '3. Rate Classes'!$C$24:$H$45,6,0))</f>
        <v>#N/A</v>
      </c>
      <c r="F45" s="152"/>
      <c r="G45" s="151"/>
      <c r="H45" s="175"/>
      <c r="I45" s="175"/>
      <c r="J45" s="174" t="str">
        <f t="shared" si="3"/>
        <v/>
      </c>
      <c r="K45" s="174"/>
      <c r="L45" s="98">
        <f t="shared" si="1"/>
        <v>0</v>
      </c>
      <c r="M45" s="98">
        <f t="shared" si="2"/>
        <v>0</v>
      </c>
    </row>
    <row r="46" spans="2:13" ht="25.5" hidden="1" customHeight="1" thickBot="1" x14ac:dyDescent="0.25">
      <c r="B46" s="95">
        <f>IF('3. Rate Classes'!Q43=1,'3. Rate Classes'!C43, 0)</f>
        <v>0</v>
      </c>
      <c r="C46" s="96"/>
      <c r="D46" s="97" t="e">
        <f>IF(OR(VLOOKUP($B46, '3. Rate Classes'!$C$24:$H$45,6,0)=0, ISERROR(VLOOKUP($B46, '3. Rate Classes'!$C$24:$H$45,6,0))), "", VLOOKUP($B46, '3. Rate Classes'!$C$24:$H$45,6,0))</f>
        <v>#N/A</v>
      </c>
      <c r="F46" s="152"/>
      <c r="G46" s="152"/>
      <c r="H46" s="175"/>
      <c r="I46" s="175"/>
      <c r="J46" s="174" t="str">
        <f t="shared" si="3"/>
        <v/>
      </c>
      <c r="K46" s="174"/>
      <c r="L46" s="98">
        <f t="shared" si="1"/>
        <v>0</v>
      </c>
      <c r="M46" s="98">
        <f t="shared" si="2"/>
        <v>0</v>
      </c>
    </row>
    <row r="47" spans="2:13" ht="25.5" hidden="1" customHeight="1" thickBot="1" x14ac:dyDescent="0.25">
      <c r="B47" s="95">
        <f>IF('3. Rate Classes'!Q44=1,'3. Rate Classes'!C44, 0)</f>
        <v>0</v>
      </c>
      <c r="C47" s="96"/>
      <c r="D47" s="97" t="e">
        <f>IF(OR(VLOOKUP($B47, '3. Rate Classes'!$C$24:$H$45,6,0)=0, ISERROR(VLOOKUP($B47, '3. Rate Classes'!$C$24:$H$45,6,0))), "", VLOOKUP($B47, '3. Rate Classes'!$C$24:$H$45,6,0))</f>
        <v>#N/A</v>
      </c>
      <c r="F47" s="152"/>
      <c r="G47" s="151"/>
      <c r="H47" s="175"/>
      <c r="I47" s="175"/>
      <c r="J47" s="174" t="str">
        <f t="shared" si="3"/>
        <v/>
      </c>
      <c r="K47" s="174"/>
      <c r="L47" s="98">
        <f t="shared" si="1"/>
        <v>0</v>
      </c>
      <c r="M47" s="98">
        <f t="shared" si="2"/>
        <v>0</v>
      </c>
    </row>
    <row r="48" spans="2:13" ht="25.5" hidden="1" customHeight="1" thickBot="1" x14ac:dyDescent="0.25">
      <c r="B48" s="95">
        <f>IF('3. Rate Classes'!Q45=1,'3. Rate Classes'!C45, 0)</f>
        <v>0</v>
      </c>
      <c r="C48" s="96"/>
      <c r="D48" s="97" t="e">
        <f>IF(OR(VLOOKUP($B48, '3. Rate Classes'!$C$24:$H$45,6,0)=0, ISERROR(VLOOKUP($B48, '3. Rate Classes'!$C$24:$H$45,6,0))), "", VLOOKUP($B48, '3. Rate Classes'!$C$24:$H$45,6,0))</f>
        <v>#N/A</v>
      </c>
      <c r="F48" s="152"/>
      <c r="G48" s="152"/>
      <c r="H48" s="175"/>
      <c r="I48" s="175"/>
      <c r="J48" s="174" t="str">
        <f t="shared" si="3"/>
        <v/>
      </c>
      <c r="K48" s="174"/>
      <c r="L48" s="98">
        <f t="shared" si="1"/>
        <v>0</v>
      </c>
      <c r="M48" s="98">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58"/>
  <sheetViews>
    <sheetView showGridLines="0" zoomScaleNormal="100" workbookViewId="0">
      <pane ySplit="16" topLeftCell="A32" activePane="bottomLeft" state="frozenSplit"/>
      <selection activeCell="I48" sqref="I48"/>
      <selection pane="bottomLeft" activeCell="I49" sqref="I49"/>
    </sheetView>
  </sheetViews>
  <sheetFormatPr defaultRowHeight="12.75" x14ac:dyDescent="0.2"/>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x14ac:dyDescent="0.2">
      <c r="B15" s="146"/>
      <c r="C15" s="147"/>
      <c r="D15" s="5"/>
      <c r="E15" s="147"/>
      <c r="F15" s="5"/>
      <c r="G15" s="147"/>
      <c r="H15" s="5"/>
      <c r="I15" s="147"/>
    </row>
    <row r="17" spans="2:9" ht="15.75" x14ac:dyDescent="0.25">
      <c r="B17" s="17"/>
      <c r="C17" s="17"/>
      <c r="D17" s="18"/>
      <c r="E17" s="21"/>
      <c r="F17" s="17"/>
      <c r="G17" s="21"/>
      <c r="H17" s="17"/>
    </row>
    <row r="18" spans="2:9" ht="25.5" x14ac:dyDescent="0.2">
      <c r="B18" s="145" t="s">
        <v>235</v>
      </c>
      <c r="C18" s="144" t="s">
        <v>210</v>
      </c>
      <c r="E18" s="144" t="s">
        <v>236</v>
      </c>
      <c r="G18" s="144" t="s">
        <v>237</v>
      </c>
      <c r="I18" s="144" t="s">
        <v>238</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3.22</v>
      </c>
      <c r="F22" s="31"/>
      <c r="G22" s="32">
        <v>3.57</v>
      </c>
      <c r="H22" s="30"/>
      <c r="I22" s="100">
        <v>3.63</v>
      </c>
    </row>
    <row r="23" spans="2:9" ht="17.25" x14ac:dyDescent="0.3">
      <c r="B23" s="31"/>
      <c r="C23" s="31"/>
      <c r="D23" s="36"/>
      <c r="E23" s="32"/>
      <c r="F23" s="31"/>
      <c r="G23" s="32"/>
      <c r="H23" s="30"/>
      <c r="I23" s="32"/>
    </row>
    <row r="24" spans="2:9" ht="17.25" x14ac:dyDescent="0.3">
      <c r="B24" s="35" t="s">
        <v>117</v>
      </c>
      <c r="C24" s="33" t="s">
        <v>113</v>
      </c>
      <c r="D24" s="36"/>
      <c r="E24" s="32">
        <v>0.79</v>
      </c>
      <c r="F24" s="31"/>
      <c r="G24" s="32">
        <v>0.8</v>
      </c>
      <c r="H24" s="30"/>
      <c r="I24" s="100">
        <v>0.75</v>
      </c>
    </row>
    <row r="25" spans="2:9" ht="17.25" x14ac:dyDescent="0.3">
      <c r="B25" s="31"/>
      <c r="C25" s="31"/>
      <c r="D25" s="36"/>
      <c r="E25" s="32"/>
      <c r="F25" s="31"/>
      <c r="G25" s="32"/>
      <c r="H25" s="30"/>
      <c r="I25" s="32"/>
    </row>
    <row r="26" spans="2:9" ht="17.25" x14ac:dyDescent="0.3">
      <c r="B26" s="35" t="s">
        <v>118</v>
      </c>
      <c r="C26" s="33" t="s">
        <v>113</v>
      </c>
      <c r="D26" s="36"/>
      <c r="E26" s="32">
        <v>1.77</v>
      </c>
      <c r="F26" s="31"/>
      <c r="G26" s="32">
        <v>1.86</v>
      </c>
      <c r="H26" s="30"/>
      <c r="I26" s="100">
        <v>1.85</v>
      </c>
    </row>
    <row r="27" spans="2:9" x14ac:dyDescent="0.2">
      <c r="B27" s="19"/>
      <c r="C27" s="19"/>
      <c r="E27" s="19"/>
      <c r="F27" s="19"/>
      <c r="G27" s="19"/>
      <c r="H27" s="19"/>
    </row>
    <row r="28" spans="2:9" x14ac:dyDescent="0.2">
      <c r="B28" s="19"/>
      <c r="C28" s="19"/>
      <c r="E28" s="19"/>
      <c r="F28" s="19"/>
      <c r="G28" s="19"/>
      <c r="H28" s="19"/>
    </row>
    <row r="29" spans="2:9" ht="25.5" x14ac:dyDescent="0.2">
      <c r="B29" s="145" t="s">
        <v>239</v>
      </c>
      <c r="C29" s="144" t="s">
        <v>210</v>
      </c>
      <c r="E29" s="144" t="s">
        <v>236</v>
      </c>
      <c r="G29" s="144" t="s">
        <v>237</v>
      </c>
      <c r="I29" s="144" t="s">
        <v>238</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2.65</v>
      </c>
      <c r="H35" s="17"/>
      <c r="I35" s="100">
        <v>3.18</v>
      </c>
    </row>
    <row r="36" spans="2:9" ht="15.75" x14ac:dyDescent="0.25">
      <c r="B36" s="17"/>
      <c r="C36" s="17"/>
      <c r="D36" s="37"/>
      <c r="E36" s="22"/>
      <c r="F36" s="17"/>
      <c r="G36" s="22"/>
      <c r="H36" s="17"/>
      <c r="I36" s="22"/>
    </row>
    <row r="37" spans="2:9" ht="17.25" x14ac:dyDescent="0.3">
      <c r="B37" s="35" t="s">
        <v>117</v>
      </c>
      <c r="C37" s="33" t="s">
        <v>113</v>
      </c>
      <c r="D37" s="36"/>
      <c r="E37" s="32">
        <v>0.64</v>
      </c>
      <c r="F37" s="31"/>
      <c r="G37" s="32">
        <v>0.64</v>
      </c>
      <c r="H37" s="17"/>
      <c r="I37" s="100">
        <v>0.7</v>
      </c>
    </row>
    <row r="38" spans="2:9" ht="15.75" x14ac:dyDescent="0.25">
      <c r="B38" s="17"/>
      <c r="C38" s="17"/>
      <c r="D38" s="37"/>
      <c r="E38" s="22"/>
      <c r="F38" s="17"/>
      <c r="G38" s="22"/>
      <c r="H38" s="17"/>
      <c r="I38" s="22"/>
    </row>
    <row r="39" spans="2:9" ht="17.25" x14ac:dyDescent="0.3">
      <c r="B39" s="35" t="s">
        <v>118</v>
      </c>
      <c r="C39" s="33" t="s">
        <v>113</v>
      </c>
      <c r="D39" s="36"/>
      <c r="E39" s="32">
        <v>1.5</v>
      </c>
      <c r="F39" s="31"/>
      <c r="G39" s="32">
        <v>1.5</v>
      </c>
      <c r="H39" s="17"/>
      <c r="I39" s="100">
        <v>1.63</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2.14</v>
      </c>
      <c r="H41" s="17"/>
      <c r="I41" s="100">
        <f>I39+I37</f>
        <v>2.33</v>
      </c>
    </row>
    <row r="42" spans="2:9" ht="15.75" x14ac:dyDescent="0.25">
      <c r="B42" s="17"/>
      <c r="C42" s="17"/>
      <c r="E42" s="22"/>
      <c r="F42" s="19"/>
      <c r="G42" s="22"/>
      <c r="H42" s="19"/>
    </row>
    <row r="43" spans="2:9" x14ac:dyDescent="0.2">
      <c r="C43" s="19"/>
      <c r="E43" s="19"/>
      <c r="F43" s="19"/>
      <c r="G43" s="19"/>
      <c r="H43" s="19"/>
    </row>
    <row r="44" spans="2:9" ht="15.75" x14ac:dyDescent="0.25">
      <c r="B44" s="20"/>
      <c r="C44" s="19"/>
      <c r="E44" s="19"/>
      <c r="F44" s="19"/>
      <c r="G44" s="19"/>
      <c r="H44" s="19"/>
    </row>
    <row r="45" spans="2:9" ht="25.5" x14ac:dyDescent="0.2">
      <c r="B45" s="145" t="s">
        <v>120</v>
      </c>
      <c r="C45" s="144" t="s">
        <v>210</v>
      </c>
      <c r="E45" s="144" t="s">
        <v>236</v>
      </c>
      <c r="G45" s="144" t="s">
        <v>237</v>
      </c>
      <c r="I45" s="144" t="s">
        <v>238</v>
      </c>
    </row>
    <row r="46" spans="2:9" x14ac:dyDescent="0.2">
      <c r="B46" s="19"/>
      <c r="C46" s="19"/>
      <c r="E46" s="19"/>
      <c r="F46" s="19"/>
      <c r="G46" s="19"/>
      <c r="H46" s="19"/>
    </row>
    <row r="47" spans="2:9" ht="16.5" x14ac:dyDescent="0.3">
      <c r="B47" s="1" t="s">
        <v>114</v>
      </c>
      <c r="C47" s="1"/>
      <c r="D47" s="26"/>
      <c r="E47" s="27" t="s">
        <v>115</v>
      </c>
      <c r="F47" s="28"/>
      <c r="G47" s="27" t="s">
        <v>115</v>
      </c>
      <c r="H47" s="19"/>
      <c r="I47" s="27" t="s">
        <v>115</v>
      </c>
    </row>
    <row r="48" spans="2:9" x14ac:dyDescent="0.2">
      <c r="B48" s="19"/>
      <c r="C48" s="19"/>
      <c r="E48" s="19"/>
      <c r="F48" s="19"/>
      <c r="G48" s="19"/>
      <c r="H48" s="19"/>
    </row>
    <row r="49" spans="2:9" ht="17.25" x14ac:dyDescent="0.3">
      <c r="B49" s="35" t="s">
        <v>121</v>
      </c>
      <c r="C49" s="33" t="s">
        <v>113</v>
      </c>
      <c r="D49" s="36"/>
      <c r="E49" s="38">
        <v>4.7E-2</v>
      </c>
      <c r="F49" s="31"/>
      <c r="G49" s="38">
        <v>0</v>
      </c>
      <c r="H49" s="23"/>
      <c r="I49" s="38">
        <v>0</v>
      </c>
    </row>
    <row r="50" spans="2:9" ht="15.75" x14ac:dyDescent="0.25">
      <c r="B50" s="17"/>
      <c r="C50" s="17"/>
      <c r="D50" s="37"/>
      <c r="E50" s="24"/>
      <c r="F50" s="25"/>
      <c r="G50" s="24"/>
      <c r="H50" s="23"/>
      <c r="I50" s="24"/>
    </row>
    <row r="51" spans="2:9" ht="17.25" x14ac:dyDescent="0.3">
      <c r="B51" s="35" t="s">
        <v>122</v>
      </c>
      <c r="C51" s="33" t="s">
        <v>113</v>
      </c>
      <c r="D51" s="36"/>
      <c r="E51" s="38">
        <v>-2.5000000000000001E-2</v>
      </c>
      <c r="F51" s="31"/>
      <c r="G51" s="38">
        <v>0</v>
      </c>
      <c r="H51" s="23"/>
      <c r="I51" s="38">
        <v>0</v>
      </c>
    </row>
    <row r="52" spans="2:9" ht="15.75" x14ac:dyDescent="0.25">
      <c r="B52" s="17"/>
      <c r="C52" s="17"/>
      <c r="D52" s="37"/>
      <c r="E52" s="24"/>
      <c r="F52" s="25"/>
      <c r="G52" s="24"/>
      <c r="H52" s="23"/>
      <c r="I52" s="24"/>
    </row>
    <row r="53" spans="2:9" ht="17.25" x14ac:dyDescent="0.3">
      <c r="B53" s="35" t="s">
        <v>123</v>
      </c>
      <c r="C53" s="33" t="s">
        <v>113</v>
      </c>
      <c r="D53" s="36"/>
      <c r="E53" s="38">
        <v>5.8000000000000003E-2</v>
      </c>
      <c r="F53" s="34"/>
      <c r="G53" s="38">
        <v>0</v>
      </c>
      <c r="H53" s="23"/>
      <c r="I53" s="38">
        <v>0</v>
      </c>
    </row>
    <row r="54" spans="2:9" ht="17.25" x14ac:dyDescent="0.3">
      <c r="B54" s="31"/>
      <c r="C54" s="31"/>
      <c r="D54" s="36"/>
      <c r="E54" s="34"/>
      <c r="F54" s="34"/>
      <c r="G54" s="34"/>
      <c r="H54" s="23"/>
      <c r="I54" s="34"/>
    </row>
    <row r="55" spans="2:9" ht="17.25" x14ac:dyDescent="0.3">
      <c r="B55" s="35" t="s">
        <v>124</v>
      </c>
      <c r="C55" s="33" t="s">
        <v>113</v>
      </c>
      <c r="D55" s="36"/>
      <c r="E55" s="38">
        <v>-7.4999999999999997E-2</v>
      </c>
      <c r="F55" s="34"/>
      <c r="G55" s="38">
        <v>0</v>
      </c>
      <c r="H55" s="23"/>
      <c r="I55" s="38">
        <v>0</v>
      </c>
    </row>
    <row r="56" spans="2:9" ht="17.25" x14ac:dyDescent="0.3">
      <c r="B56" s="31"/>
      <c r="C56" s="33"/>
      <c r="D56" s="36"/>
      <c r="E56" s="34"/>
      <c r="F56" s="34"/>
      <c r="G56" s="34"/>
      <c r="H56" s="25"/>
      <c r="I56" s="34"/>
    </row>
    <row r="57" spans="2:9" ht="18" thickBot="1" x14ac:dyDescent="0.35">
      <c r="B57" s="35" t="s">
        <v>120</v>
      </c>
      <c r="C57" s="33" t="s">
        <v>113</v>
      </c>
      <c r="D57" s="36"/>
      <c r="E57" s="39">
        <f>SUM(E49:E55)</f>
        <v>5.0000000000000044E-3</v>
      </c>
      <c r="F57" s="34"/>
      <c r="G57" s="39">
        <f>SUM(G49:G55)</f>
        <v>0</v>
      </c>
      <c r="H57" s="23"/>
      <c r="I57" s="39">
        <f>SUM(I49:I55)</f>
        <v>0</v>
      </c>
    </row>
    <row r="58" spans="2:9" x14ac:dyDescent="0.2">
      <c r="B58" s="17"/>
      <c r="C58" s="17"/>
      <c r="D58" s="18"/>
      <c r="E58" s="17"/>
      <c r="F58" s="17"/>
      <c r="G58" s="17"/>
      <c r="H58" s="17"/>
    </row>
  </sheetData>
  <sheetProtection password="F8BD" sheet="1" objects="1" scenarios="1"/>
  <phoneticPr fontId="21" type="noConversion"/>
  <pageMargins left="0.75" right="0.75" top="1" bottom="1" header="0.5" footer="0.5"/>
  <pageSetup scale="5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topLeftCell="B1" zoomScaleNormal="100" workbookViewId="0">
      <pane ySplit="16" topLeftCell="A29" activePane="bottomLeft" state="frozenSplit"/>
      <selection activeCell="I48" sqref="I48"/>
      <selection pane="bottomLeft" activeCell="B17" sqref="B17"/>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3" t="s">
        <v>228</v>
      </c>
      <c r="C21" s="142"/>
      <c r="D21" s="177" t="s">
        <v>229</v>
      </c>
      <c r="E21" s="177"/>
      <c r="F21" s="177"/>
      <c r="G21" s="142"/>
      <c r="H21" s="177" t="s">
        <v>232</v>
      </c>
      <c r="I21" s="177"/>
      <c r="J21" s="177"/>
      <c r="K21" s="142"/>
      <c r="L21" s="177" t="s">
        <v>231</v>
      </c>
      <c r="M21" s="177"/>
      <c r="N21" s="177"/>
      <c r="O21" s="142"/>
      <c r="P21" s="143" t="s">
        <v>230</v>
      </c>
      <c r="Q21" s="41"/>
    </row>
    <row r="22" spans="2:17" ht="33"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156">
        <v>99142</v>
      </c>
      <c r="E24" s="157">
        <f t="shared" ref="E24:E35" si="0">IF(D24&lt;&gt;0,F24/D24,0)</f>
        <v>3.2199999999999998</v>
      </c>
      <c r="F24" s="158">
        <v>319237.24</v>
      </c>
      <c r="G24" s="17"/>
      <c r="H24" s="156">
        <v>99735</v>
      </c>
      <c r="I24" s="157">
        <f t="shared" ref="I24:I35" si="1">IF(H24&lt;&gt;0,J24/H24,0)</f>
        <v>0.78999999999999992</v>
      </c>
      <c r="J24" s="159">
        <v>78790.649999999994</v>
      </c>
      <c r="K24" s="17"/>
      <c r="L24" s="156">
        <v>99735</v>
      </c>
      <c r="M24" s="157">
        <f t="shared" ref="M24:M35" si="2">IF(L24&lt;&gt;0,N24/L24,0)</f>
        <v>1.77</v>
      </c>
      <c r="N24" s="158">
        <v>176530.95</v>
      </c>
      <c r="O24" s="17"/>
      <c r="P24" s="47">
        <f t="shared" ref="P24:P35" si="3">J24+N24</f>
        <v>255321.60000000001</v>
      </c>
      <c r="Q24" s="17"/>
    </row>
    <row r="25" spans="2:17" ht="15.75" x14ac:dyDescent="0.25">
      <c r="B25" s="48" t="s">
        <v>129</v>
      </c>
      <c r="C25" s="17"/>
      <c r="D25" s="156">
        <v>99111</v>
      </c>
      <c r="E25" s="157">
        <f t="shared" si="0"/>
        <v>3.2199999999999998</v>
      </c>
      <c r="F25" s="158">
        <v>319137.42</v>
      </c>
      <c r="G25" s="17"/>
      <c r="H25" s="156">
        <v>99745</v>
      </c>
      <c r="I25" s="157">
        <f t="shared" si="1"/>
        <v>0.79</v>
      </c>
      <c r="J25" s="159">
        <v>78798.55</v>
      </c>
      <c r="K25" s="17"/>
      <c r="L25" s="156">
        <v>99745</v>
      </c>
      <c r="M25" s="157">
        <f t="shared" si="2"/>
        <v>1.77</v>
      </c>
      <c r="N25" s="158">
        <v>176548.65</v>
      </c>
      <c r="O25" s="17"/>
      <c r="P25" s="47">
        <f t="shared" si="3"/>
        <v>255347.20000000001</v>
      </c>
      <c r="Q25" s="17"/>
    </row>
    <row r="26" spans="2:17" ht="15.75" x14ac:dyDescent="0.25">
      <c r="B26" s="48" t="s">
        <v>130</v>
      </c>
      <c r="C26" s="17"/>
      <c r="D26" s="156">
        <v>95885</v>
      </c>
      <c r="E26" s="157">
        <f t="shared" si="0"/>
        <v>3.22</v>
      </c>
      <c r="F26" s="158">
        <v>308749.7</v>
      </c>
      <c r="G26" s="17"/>
      <c r="H26" s="156">
        <v>100542</v>
      </c>
      <c r="I26" s="157">
        <f t="shared" si="1"/>
        <v>0.78999999999999992</v>
      </c>
      <c r="J26" s="159">
        <v>79428.179999999993</v>
      </c>
      <c r="K26" s="17"/>
      <c r="L26" s="156">
        <v>100542</v>
      </c>
      <c r="M26" s="157">
        <f t="shared" si="2"/>
        <v>1.77</v>
      </c>
      <c r="N26" s="158">
        <v>177959.34</v>
      </c>
      <c r="O26" s="17"/>
      <c r="P26" s="47">
        <f t="shared" si="3"/>
        <v>257387.51999999999</v>
      </c>
      <c r="Q26" s="17"/>
    </row>
    <row r="27" spans="2:17" ht="15.75" x14ac:dyDescent="0.25">
      <c r="B27" s="48" t="s">
        <v>131</v>
      </c>
      <c r="C27" s="17"/>
      <c r="D27" s="156">
        <v>90987</v>
      </c>
      <c r="E27" s="157">
        <f t="shared" si="0"/>
        <v>3.22</v>
      </c>
      <c r="F27" s="158">
        <v>292978.14</v>
      </c>
      <c r="G27" s="17"/>
      <c r="H27" s="156">
        <v>95837</v>
      </c>
      <c r="I27" s="157">
        <f t="shared" si="1"/>
        <v>0.78999999999999992</v>
      </c>
      <c r="J27" s="159">
        <v>75711.23</v>
      </c>
      <c r="K27" s="17"/>
      <c r="L27" s="156">
        <v>95837</v>
      </c>
      <c r="M27" s="157">
        <f t="shared" si="2"/>
        <v>1.7699999999999998</v>
      </c>
      <c r="N27" s="158">
        <v>169631.49</v>
      </c>
      <c r="O27" s="17"/>
      <c r="P27" s="47">
        <f t="shared" si="3"/>
        <v>245342.71999999997</v>
      </c>
      <c r="Q27" s="17"/>
    </row>
    <row r="28" spans="2:17" ht="15.75" x14ac:dyDescent="0.25">
      <c r="B28" s="48" t="s">
        <v>132</v>
      </c>
      <c r="C28" s="17"/>
      <c r="D28" s="156">
        <v>103690</v>
      </c>
      <c r="E28" s="157">
        <f t="shared" si="0"/>
        <v>3.2199999999999998</v>
      </c>
      <c r="F28" s="158">
        <v>333881.8</v>
      </c>
      <c r="G28" s="17"/>
      <c r="H28" s="156">
        <v>104753</v>
      </c>
      <c r="I28" s="157">
        <f t="shared" si="1"/>
        <v>0.78999999999999992</v>
      </c>
      <c r="J28" s="159">
        <v>82754.87</v>
      </c>
      <c r="K28" s="17"/>
      <c r="L28" s="156">
        <v>104753</v>
      </c>
      <c r="M28" s="157">
        <f t="shared" si="2"/>
        <v>1.77</v>
      </c>
      <c r="N28" s="158">
        <v>185412.81</v>
      </c>
      <c r="O28" s="17"/>
      <c r="P28" s="47">
        <f t="shared" si="3"/>
        <v>268167.67999999999</v>
      </c>
      <c r="Q28" s="17"/>
    </row>
    <row r="29" spans="2:17" ht="15.75" x14ac:dyDescent="0.25">
      <c r="B29" s="48" t="s">
        <v>133</v>
      </c>
      <c r="C29" s="17"/>
      <c r="D29" s="156">
        <v>121411</v>
      </c>
      <c r="E29" s="157">
        <f t="shared" si="0"/>
        <v>3.2199999999999998</v>
      </c>
      <c r="F29" s="158">
        <v>390943.42</v>
      </c>
      <c r="G29" s="17"/>
      <c r="H29" s="156">
        <v>122947</v>
      </c>
      <c r="I29" s="157">
        <f t="shared" si="1"/>
        <v>0.79</v>
      </c>
      <c r="J29" s="159">
        <v>97128.13</v>
      </c>
      <c r="K29" s="17"/>
      <c r="L29" s="156">
        <v>122947</v>
      </c>
      <c r="M29" s="157">
        <f t="shared" si="2"/>
        <v>1.77</v>
      </c>
      <c r="N29" s="158">
        <v>217616.19</v>
      </c>
      <c r="O29" s="17"/>
      <c r="P29" s="47">
        <f t="shared" si="3"/>
        <v>314744.32000000001</v>
      </c>
      <c r="Q29" s="17"/>
    </row>
    <row r="30" spans="2:17" ht="15.75" x14ac:dyDescent="0.25">
      <c r="B30" s="48" t="s">
        <v>134</v>
      </c>
      <c r="C30" s="17"/>
      <c r="D30" s="156">
        <v>141455</v>
      </c>
      <c r="E30" s="157">
        <f t="shared" si="0"/>
        <v>3.2199999999999998</v>
      </c>
      <c r="F30" s="158">
        <v>455485.1</v>
      </c>
      <c r="G30" s="17"/>
      <c r="H30" s="156">
        <v>148628</v>
      </c>
      <c r="I30" s="157">
        <f t="shared" si="1"/>
        <v>0.78999999999999992</v>
      </c>
      <c r="J30" s="159">
        <v>117416.12</v>
      </c>
      <c r="K30" s="17"/>
      <c r="L30" s="156">
        <v>148628</v>
      </c>
      <c r="M30" s="157">
        <f t="shared" si="2"/>
        <v>1.77</v>
      </c>
      <c r="N30" s="158">
        <v>263071.56</v>
      </c>
      <c r="O30" s="17"/>
      <c r="P30" s="47">
        <f t="shared" si="3"/>
        <v>380487.67999999999</v>
      </c>
      <c r="Q30" s="17"/>
    </row>
    <row r="31" spans="2:17" ht="15.75" x14ac:dyDescent="0.25">
      <c r="B31" s="48" t="s">
        <v>135</v>
      </c>
      <c r="C31" s="17"/>
      <c r="D31" s="156">
        <v>121171</v>
      </c>
      <c r="E31" s="157">
        <f t="shared" si="0"/>
        <v>3.2199999999999998</v>
      </c>
      <c r="F31" s="158">
        <v>390170.62</v>
      </c>
      <c r="G31" s="17"/>
      <c r="H31" s="156">
        <v>121608</v>
      </c>
      <c r="I31" s="157">
        <f t="shared" si="1"/>
        <v>0.79</v>
      </c>
      <c r="J31" s="159">
        <v>96070.32</v>
      </c>
      <c r="K31" s="17"/>
      <c r="L31" s="156">
        <v>121608</v>
      </c>
      <c r="M31" s="157">
        <f t="shared" si="2"/>
        <v>1.77</v>
      </c>
      <c r="N31" s="158">
        <v>215246.16</v>
      </c>
      <c r="O31" s="17"/>
      <c r="P31" s="47">
        <f t="shared" si="3"/>
        <v>311316.47999999998</v>
      </c>
      <c r="Q31" s="17"/>
    </row>
    <row r="32" spans="2:17" ht="15.75" x14ac:dyDescent="0.25">
      <c r="B32" s="48" t="s">
        <v>136</v>
      </c>
      <c r="C32" s="17"/>
      <c r="D32" s="156">
        <v>114324</v>
      </c>
      <c r="E32" s="157">
        <f t="shared" si="0"/>
        <v>3.22</v>
      </c>
      <c r="F32" s="158">
        <v>368123.28</v>
      </c>
      <c r="G32" s="17"/>
      <c r="H32" s="156">
        <v>114324</v>
      </c>
      <c r="I32" s="157">
        <f t="shared" si="1"/>
        <v>0.79</v>
      </c>
      <c r="J32" s="159">
        <v>90315.96</v>
      </c>
      <c r="K32" s="17"/>
      <c r="L32" s="156">
        <v>114324</v>
      </c>
      <c r="M32" s="157">
        <f t="shared" si="2"/>
        <v>1.77</v>
      </c>
      <c r="N32" s="158">
        <v>202353.48</v>
      </c>
      <c r="O32" s="17"/>
      <c r="P32" s="47">
        <f t="shared" si="3"/>
        <v>292669.44</v>
      </c>
      <c r="Q32" s="17"/>
    </row>
    <row r="33" spans="2:17" ht="15.75" x14ac:dyDescent="0.25">
      <c r="B33" s="48" t="s">
        <v>137</v>
      </c>
      <c r="C33" s="17"/>
      <c r="D33" s="156">
        <v>93299</v>
      </c>
      <c r="E33" s="157">
        <f t="shared" si="0"/>
        <v>3.22</v>
      </c>
      <c r="F33" s="158">
        <v>300422.78000000003</v>
      </c>
      <c r="G33" s="17"/>
      <c r="H33" s="156">
        <v>93818</v>
      </c>
      <c r="I33" s="157">
        <f t="shared" si="1"/>
        <v>0.79</v>
      </c>
      <c r="J33" s="159">
        <v>74116.22</v>
      </c>
      <c r="K33" s="17"/>
      <c r="L33" s="156">
        <v>93818</v>
      </c>
      <c r="M33" s="157">
        <f t="shared" si="2"/>
        <v>1.7699999999999998</v>
      </c>
      <c r="N33" s="158">
        <v>166057.85999999999</v>
      </c>
      <c r="O33" s="17"/>
      <c r="P33" s="47">
        <f t="shared" si="3"/>
        <v>240174.07999999999</v>
      </c>
      <c r="Q33" s="17"/>
    </row>
    <row r="34" spans="2:17" ht="15.75" x14ac:dyDescent="0.25">
      <c r="B34" s="48" t="s">
        <v>138</v>
      </c>
      <c r="C34" s="17"/>
      <c r="D34" s="156">
        <v>101876</v>
      </c>
      <c r="E34" s="157">
        <f t="shared" si="0"/>
        <v>3.2199999999999998</v>
      </c>
      <c r="F34" s="158">
        <v>328040.71999999997</v>
      </c>
      <c r="G34" s="17"/>
      <c r="H34" s="156">
        <v>104121</v>
      </c>
      <c r="I34" s="157">
        <f t="shared" si="1"/>
        <v>0.78999999999999992</v>
      </c>
      <c r="J34" s="159">
        <v>82255.59</v>
      </c>
      <c r="K34" s="17"/>
      <c r="L34" s="156">
        <v>104121</v>
      </c>
      <c r="M34" s="157">
        <f t="shared" si="2"/>
        <v>1.77</v>
      </c>
      <c r="N34" s="158">
        <v>184294.17</v>
      </c>
      <c r="O34" s="17"/>
      <c r="P34" s="47">
        <f t="shared" si="3"/>
        <v>266549.76000000001</v>
      </c>
      <c r="Q34" s="17"/>
    </row>
    <row r="35" spans="2:17" ht="15.75" x14ac:dyDescent="0.25">
      <c r="B35" s="48" t="s">
        <v>139</v>
      </c>
      <c r="C35" s="17"/>
      <c r="D35" s="156">
        <v>104083</v>
      </c>
      <c r="E35" s="157">
        <f t="shared" si="0"/>
        <v>3.22</v>
      </c>
      <c r="F35" s="158">
        <v>335147.26</v>
      </c>
      <c r="G35" s="17"/>
      <c r="H35" s="156">
        <v>104083</v>
      </c>
      <c r="I35" s="157">
        <f t="shared" si="1"/>
        <v>0.79</v>
      </c>
      <c r="J35" s="159">
        <v>82225.570000000007</v>
      </c>
      <c r="K35" s="17"/>
      <c r="L35" s="156">
        <v>104083</v>
      </c>
      <c r="M35" s="157">
        <f t="shared" si="2"/>
        <v>1.77</v>
      </c>
      <c r="N35" s="158">
        <v>184226.91</v>
      </c>
      <c r="O35" s="17"/>
      <c r="P35" s="47">
        <f t="shared" si="3"/>
        <v>266452.47999999998</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1286434</v>
      </c>
      <c r="E37" s="51">
        <f>IF(D37&lt;&gt;0,F37/D37,0)</f>
        <v>3.2199999999999998</v>
      </c>
      <c r="F37" s="52">
        <f>SUM(F24:F35)</f>
        <v>4142317.4799999995</v>
      </c>
      <c r="G37" s="17"/>
      <c r="H37" s="50">
        <f>SUM(H24:H35)</f>
        <v>1310141</v>
      </c>
      <c r="I37" s="51">
        <f>IF(H37&lt;&gt;0,J37/H37,0)</f>
        <v>0.78999999999999992</v>
      </c>
      <c r="J37" s="52">
        <f>SUM(J24:J35)</f>
        <v>1035011.3899999999</v>
      </c>
      <c r="K37" s="17"/>
      <c r="L37" s="50">
        <f>SUM(L24:L35)</f>
        <v>1310141</v>
      </c>
      <c r="M37" s="51">
        <f>IF(L37&lt;&gt;0,N37/L37,0)</f>
        <v>1.7699999999999998</v>
      </c>
      <c r="N37" s="52">
        <f>SUM(N24:N35)</f>
        <v>2318949.5699999998</v>
      </c>
      <c r="O37" s="17"/>
      <c r="P37" s="52">
        <f>SUM(P24:P35)</f>
        <v>3353960.9600000004</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156">
        <v>19660</v>
      </c>
      <c r="E43" s="157">
        <f t="shared" ref="E43:E54" si="4">IF(D43&lt;&gt;0,F43/D43,0)</f>
        <v>2.65</v>
      </c>
      <c r="F43" s="158">
        <v>52099</v>
      </c>
      <c r="G43" s="17"/>
      <c r="H43" s="156">
        <v>20198</v>
      </c>
      <c r="I43" s="157">
        <f t="shared" ref="I43:I54" si="5">IF(H43&lt;&gt;0,J43/H43,0)</f>
        <v>0.64</v>
      </c>
      <c r="J43" s="158">
        <v>12926.72</v>
      </c>
      <c r="K43" s="17"/>
      <c r="L43" s="156">
        <v>20198</v>
      </c>
      <c r="M43" s="157">
        <f t="shared" ref="M43:M54" si="6">IF(L43&lt;&gt;0,N43/L43,0)</f>
        <v>1.5</v>
      </c>
      <c r="N43" s="158">
        <v>30297</v>
      </c>
      <c r="O43" s="17"/>
      <c r="P43" s="47">
        <f t="shared" ref="P43:P54" si="7">J43+N43</f>
        <v>43223.72</v>
      </c>
      <c r="Q43" s="17"/>
    </row>
    <row r="44" spans="2:17" ht="15.75" x14ac:dyDescent="0.25">
      <c r="B44" s="48" t="s">
        <v>129</v>
      </c>
      <c r="C44" s="17"/>
      <c r="D44" s="156">
        <v>19070</v>
      </c>
      <c r="E44" s="157">
        <f t="shared" si="4"/>
        <v>2.65</v>
      </c>
      <c r="F44" s="158">
        <v>50535.5</v>
      </c>
      <c r="G44" s="17"/>
      <c r="H44" s="156">
        <v>19070</v>
      </c>
      <c r="I44" s="157">
        <f t="shared" si="5"/>
        <v>0.64</v>
      </c>
      <c r="J44" s="158">
        <v>12204.8</v>
      </c>
      <c r="K44" s="17"/>
      <c r="L44" s="156">
        <v>19070</v>
      </c>
      <c r="M44" s="157">
        <f t="shared" si="6"/>
        <v>1.5</v>
      </c>
      <c r="N44" s="158">
        <v>28605</v>
      </c>
      <c r="O44" s="17"/>
      <c r="P44" s="47">
        <f t="shared" si="7"/>
        <v>40809.800000000003</v>
      </c>
      <c r="Q44" s="17"/>
    </row>
    <row r="45" spans="2:17" ht="15.75" x14ac:dyDescent="0.25">
      <c r="B45" s="48" t="s">
        <v>130</v>
      </c>
      <c r="C45" s="17"/>
      <c r="D45" s="156">
        <v>16237</v>
      </c>
      <c r="E45" s="157">
        <f t="shared" si="4"/>
        <v>2.6500000000000004</v>
      </c>
      <c r="F45" s="158">
        <v>43028.05</v>
      </c>
      <c r="G45" s="17"/>
      <c r="H45" s="156">
        <v>16464</v>
      </c>
      <c r="I45" s="157">
        <f t="shared" si="5"/>
        <v>0.6399999999999999</v>
      </c>
      <c r="J45" s="158">
        <v>10536.96</v>
      </c>
      <c r="K45" s="17"/>
      <c r="L45" s="156">
        <v>16464</v>
      </c>
      <c r="M45" s="157">
        <f t="shared" si="6"/>
        <v>1.5</v>
      </c>
      <c r="N45" s="158">
        <v>24696</v>
      </c>
      <c r="O45" s="17"/>
      <c r="P45" s="47">
        <f t="shared" si="7"/>
        <v>35232.959999999999</v>
      </c>
      <c r="Q45" s="17"/>
    </row>
    <row r="46" spans="2:17" ht="15.75" x14ac:dyDescent="0.25">
      <c r="B46" s="48" t="s">
        <v>131</v>
      </c>
      <c r="C46" s="17"/>
      <c r="D46" s="156">
        <v>15454</v>
      </c>
      <c r="E46" s="157">
        <f t="shared" si="4"/>
        <v>2.65</v>
      </c>
      <c r="F46" s="158">
        <v>40953.1</v>
      </c>
      <c r="G46" s="17"/>
      <c r="H46" s="156">
        <v>17145</v>
      </c>
      <c r="I46" s="157">
        <f t="shared" si="5"/>
        <v>0.6399999999999999</v>
      </c>
      <c r="J46" s="158">
        <v>10972.8</v>
      </c>
      <c r="K46" s="17"/>
      <c r="L46" s="156">
        <v>17145</v>
      </c>
      <c r="M46" s="157">
        <f t="shared" si="6"/>
        <v>1.5</v>
      </c>
      <c r="N46" s="158">
        <v>25717.5</v>
      </c>
      <c r="O46" s="17"/>
      <c r="P46" s="47">
        <f t="shared" si="7"/>
        <v>36690.300000000003</v>
      </c>
      <c r="Q46" s="17"/>
    </row>
    <row r="47" spans="2:17" ht="15.75" x14ac:dyDescent="0.25">
      <c r="B47" s="48" t="s">
        <v>132</v>
      </c>
      <c r="C47" s="17"/>
      <c r="D47" s="156">
        <v>26170</v>
      </c>
      <c r="E47" s="157">
        <f t="shared" si="4"/>
        <v>2.65</v>
      </c>
      <c r="F47" s="158">
        <v>69350.5</v>
      </c>
      <c r="G47" s="17"/>
      <c r="H47" s="156">
        <v>26529</v>
      </c>
      <c r="I47" s="157">
        <f t="shared" si="5"/>
        <v>0.64</v>
      </c>
      <c r="J47" s="158">
        <v>16978.560000000001</v>
      </c>
      <c r="K47" s="17"/>
      <c r="L47" s="156">
        <v>26529</v>
      </c>
      <c r="M47" s="157">
        <f t="shared" si="6"/>
        <v>1.5</v>
      </c>
      <c r="N47" s="158">
        <v>39793.5</v>
      </c>
      <c r="O47" s="17"/>
      <c r="P47" s="47">
        <f t="shared" si="7"/>
        <v>56772.06</v>
      </c>
      <c r="Q47" s="17"/>
    </row>
    <row r="48" spans="2:17" ht="15.75" x14ac:dyDescent="0.25">
      <c r="B48" s="48" t="s">
        <v>133</v>
      </c>
      <c r="C48" s="17"/>
      <c r="D48" s="156">
        <v>26943</v>
      </c>
      <c r="E48" s="157">
        <f t="shared" si="4"/>
        <v>2.65</v>
      </c>
      <c r="F48" s="158">
        <v>71398.95</v>
      </c>
      <c r="G48" s="17"/>
      <c r="H48" s="156">
        <v>26996</v>
      </c>
      <c r="I48" s="157">
        <f t="shared" si="5"/>
        <v>0.6399999999999999</v>
      </c>
      <c r="J48" s="158">
        <v>17277.439999999999</v>
      </c>
      <c r="K48" s="17"/>
      <c r="L48" s="156">
        <v>26996</v>
      </c>
      <c r="M48" s="157">
        <f t="shared" si="6"/>
        <v>1.5</v>
      </c>
      <c r="N48" s="158">
        <v>40494</v>
      </c>
      <c r="O48" s="17"/>
      <c r="P48" s="47">
        <f t="shared" si="7"/>
        <v>57771.44</v>
      </c>
      <c r="Q48" s="17"/>
    </row>
    <row r="49" spans="2:17" ht="15.75" x14ac:dyDescent="0.25">
      <c r="B49" s="48" t="s">
        <v>134</v>
      </c>
      <c r="C49" s="17"/>
      <c r="D49" s="156">
        <v>20740</v>
      </c>
      <c r="E49" s="157">
        <f t="shared" si="4"/>
        <v>2.65</v>
      </c>
      <c r="F49" s="158">
        <v>54961</v>
      </c>
      <c r="G49" s="17"/>
      <c r="H49" s="156">
        <v>20801</v>
      </c>
      <c r="I49" s="157">
        <f t="shared" si="5"/>
        <v>0.64</v>
      </c>
      <c r="J49" s="158">
        <v>13312.64</v>
      </c>
      <c r="K49" s="17"/>
      <c r="L49" s="156">
        <v>20801</v>
      </c>
      <c r="M49" s="157">
        <f t="shared" si="6"/>
        <v>1.5</v>
      </c>
      <c r="N49" s="158">
        <v>31201.5</v>
      </c>
      <c r="O49" s="17"/>
      <c r="P49" s="47">
        <f t="shared" si="7"/>
        <v>44514.14</v>
      </c>
      <c r="Q49" s="17"/>
    </row>
    <row r="50" spans="2:17" ht="15.75" x14ac:dyDescent="0.25">
      <c r="B50" s="48" t="s">
        <v>135</v>
      </c>
      <c r="C50" s="17"/>
      <c r="D50" s="156">
        <v>15231</v>
      </c>
      <c r="E50" s="157">
        <f t="shared" si="4"/>
        <v>2.65</v>
      </c>
      <c r="F50" s="158">
        <v>40362.15</v>
      </c>
      <c r="G50" s="17"/>
      <c r="H50" s="156">
        <v>16505</v>
      </c>
      <c r="I50" s="157">
        <f t="shared" si="5"/>
        <v>0.64</v>
      </c>
      <c r="J50" s="158">
        <v>10563.2</v>
      </c>
      <c r="K50" s="17"/>
      <c r="L50" s="156">
        <v>16505</v>
      </c>
      <c r="M50" s="157">
        <f t="shared" si="6"/>
        <v>1.5</v>
      </c>
      <c r="N50" s="158">
        <v>24757.5</v>
      </c>
      <c r="O50" s="17"/>
      <c r="P50" s="47">
        <f t="shared" si="7"/>
        <v>35320.699999999997</v>
      </c>
      <c r="Q50" s="17"/>
    </row>
    <row r="51" spans="2:17" ht="15.75" x14ac:dyDescent="0.25">
      <c r="B51" s="48" t="s">
        <v>136</v>
      </c>
      <c r="C51" s="17"/>
      <c r="D51" s="156">
        <v>19715</v>
      </c>
      <c r="E51" s="157">
        <f t="shared" si="4"/>
        <v>2.65</v>
      </c>
      <c r="F51" s="158">
        <v>52244.75</v>
      </c>
      <c r="G51" s="17"/>
      <c r="H51" s="156">
        <v>23402</v>
      </c>
      <c r="I51" s="157">
        <f t="shared" si="5"/>
        <v>0.64</v>
      </c>
      <c r="J51" s="158">
        <v>14977.28</v>
      </c>
      <c r="K51" s="17"/>
      <c r="L51" s="156">
        <v>23402</v>
      </c>
      <c r="M51" s="157">
        <f t="shared" si="6"/>
        <v>1.5</v>
      </c>
      <c r="N51" s="158">
        <v>35103</v>
      </c>
      <c r="O51" s="17"/>
      <c r="P51" s="47">
        <f t="shared" si="7"/>
        <v>50080.28</v>
      </c>
      <c r="Q51" s="17"/>
    </row>
    <row r="52" spans="2:17" ht="15.75" x14ac:dyDescent="0.25">
      <c r="B52" s="48" t="s">
        <v>137</v>
      </c>
      <c r="C52" s="17"/>
      <c r="D52" s="156">
        <v>24081</v>
      </c>
      <c r="E52" s="157">
        <f t="shared" si="4"/>
        <v>2.65</v>
      </c>
      <c r="F52" s="158">
        <v>63814.65</v>
      </c>
      <c r="G52" s="17"/>
      <c r="H52" s="156">
        <v>26910</v>
      </c>
      <c r="I52" s="157">
        <f t="shared" si="5"/>
        <v>0.64</v>
      </c>
      <c r="J52" s="158">
        <v>17222.400000000001</v>
      </c>
      <c r="K52" s="17"/>
      <c r="L52" s="156">
        <v>26910</v>
      </c>
      <c r="M52" s="157">
        <f t="shared" si="6"/>
        <v>1.5</v>
      </c>
      <c r="N52" s="158">
        <v>40365</v>
      </c>
      <c r="O52" s="17"/>
      <c r="P52" s="47">
        <f t="shared" si="7"/>
        <v>57587.4</v>
      </c>
      <c r="Q52" s="17"/>
    </row>
    <row r="53" spans="2:17" ht="15.75" x14ac:dyDescent="0.25">
      <c r="B53" s="48" t="s">
        <v>138</v>
      </c>
      <c r="C53" s="17"/>
      <c r="D53" s="156">
        <v>24964</v>
      </c>
      <c r="E53" s="157">
        <f t="shared" si="4"/>
        <v>2.6500000000000004</v>
      </c>
      <c r="F53" s="158">
        <v>66154.600000000006</v>
      </c>
      <c r="G53" s="17"/>
      <c r="H53" s="156">
        <v>24971</v>
      </c>
      <c r="I53" s="157">
        <f t="shared" si="5"/>
        <v>0.64</v>
      </c>
      <c r="J53" s="158">
        <v>15981.44</v>
      </c>
      <c r="K53" s="17"/>
      <c r="L53" s="156">
        <v>24971</v>
      </c>
      <c r="M53" s="157">
        <f t="shared" si="6"/>
        <v>1.5</v>
      </c>
      <c r="N53" s="158">
        <v>37456.5</v>
      </c>
      <c r="O53" s="17"/>
      <c r="P53" s="47">
        <f t="shared" si="7"/>
        <v>53437.94</v>
      </c>
      <c r="Q53" s="17"/>
    </row>
    <row r="54" spans="2:17" ht="15.75" x14ac:dyDescent="0.25">
      <c r="B54" s="48" t="s">
        <v>139</v>
      </c>
      <c r="C54" s="17"/>
      <c r="D54" s="156">
        <v>15387</v>
      </c>
      <c r="E54" s="157">
        <f t="shared" si="4"/>
        <v>2.6500000000000004</v>
      </c>
      <c r="F54" s="158">
        <v>40775.550000000003</v>
      </c>
      <c r="G54" s="17"/>
      <c r="H54" s="156">
        <v>15437</v>
      </c>
      <c r="I54" s="157">
        <f t="shared" si="5"/>
        <v>0.64</v>
      </c>
      <c r="J54" s="158">
        <v>9879.68</v>
      </c>
      <c r="K54" s="17"/>
      <c r="L54" s="156">
        <v>15437</v>
      </c>
      <c r="M54" s="157">
        <f t="shared" si="6"/>
        <v>1.5</v>
      </c>
      <c r="N54" s="158">
        <v>23155.5</v>
      </c>
      <c r="O54" s="17"/>
      <c r="P54" s="47">
        <f t="shared" si="7"/>
        <v>33035.18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243652</v>
      </c>
      <c r="E56" s="51">
        <f>IF(D56&lt;&gt;0,F56/D56,0)</f>
        <v>2.6500000000000004</v>
      </c>
      <c r="F56" s="52">
        <f>SUM(F43:F54)</f>
        <v>645677.80000000005</v>
      </c>
      <c r="G56" s="17"/>
      <c r="H56" s="50">
        <f>SUM(H43:H54)</f>
        <v>254428</v>
      </c>
      <c r="I56" s="51">
        <f>IF(H56&lt;&gt;0,J56/H56,0)</f>
        <v>0.6399999999999999</v>
      </c>
      <c r="J56" s="52">
        <f>SUM(J43:J54)</f>
        <v>162833.91999999998</v>
      </c>
      <c r="K56" s="17"/>
      <c r="L56" s="50">
        <f>SUM(L43:L54)</f>
        <v>254428</v>
      </c>
      <c r="M56" s="51">
        <f>IF(L56&lt;&gt;0,N56/L56,0)</f>
        <v>1.5</v>
      </c>
      <c r="N56" s="52">
        <f>SUM(N43:N54)</f>
        <v>381642</v>
      </c>
      <c r="O56" s="17"/>
      <c r="P56" s="52">
        <f>SUM(P43:P54)</f>
        <v>544475.92000000004</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33"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8">D24+D43</f>
        <v>118802</v>
      </c>
      <c r="E62" s="87">
        <f t="shared" ref="E62:E73" si="9">IF(D62&lt;&gt;0,F62/D62,0)</f>
        <v>3.1256733051632128</v>
      </c>
      <c r="F62" s="47">
        <f t="shared" ref="F62:F73" si="10">F24+F43</f>
        <v>371336.24</v>
      </c>
      <c r="G62" s="17"/>
      <c r="H62" s="53">
        <f t="shared" ref="H62:H73" si="11">H24+H43</f>
        <v>119933</v>
      </c>
      <c r="I62" s="87">
        <f t="shared" ref="I62:I73" si="12">IF(H62&lt;&gt;0,J62/H62,0)</f>
        <v>0.76473839560421231</v>
      </c>
      <c r="J62" s="47">
        <f t="shared" ref="J62:J73" si="13">J24+J43</f>
        <v>91717.37</v>
      </c>
      <c r="K62" s="17"/>
      <c r="L62" s="53">
        <f t="shared" ref="L62:L73" si="14">L24+L43</f>
        <v>119933</v>
      </c>
      <c r="M62" s="87">
        <f t="shared" ref="M62:M73" si="15">IF(L62&lt;&gt;0,N62/L62,0)</f>
        <v>1.7245291120875823</v>
      </c>
      <c r="N62" s="47">
        <f t="shared" ref="N62:N73" si="16">N24+N43</f>
        <v>206827.95</v>
      </c>
      <c r="O62" s="17"/>
      <c r="P62" s="47">
        <f t="shared" ref="P62:P73" si="17">J62+N62</f>
        <v>298545.32</v>
      </c>
      <c r="Q62" s="17"/>
    </row>
    <row r="63" spans="2:17" ht="15.75" x14ac:dyDescent="0.25">
      <c r="B63" s="48" t="s">
        <v>129</v>
      </c>
      <c r="C63" s="17"/>
      <c r="D63" s="53">
        <f t="shared" si="8"/>
        <v>118181</v>
      </c>
      <c r="E63" s="87">
        <f t="shared" si="9"/>
        <v>3.128023286315059</v>
      </c>
      <c r="F63" s="47">
        <f t="shared" si="10"/>
        <v>369672.92</v>
      </c>
      <c r="G63" s="17"/>
      <c r="H63" s="53">
        <f t="shared" si="11"/>
        <v>118815</v>
      </c>
      <c r="I63" s="87">
        <f t="shared" si="12"/>
        <v>0.76592475697512941</v>
      </c>
      <c r="J63" s="47">
        <f t="shared" si="13"/>
        <v>91003.35</v>
      </c>
      <c r="K63" s="17"/>
      <c r="L63" s="53">
        <f t="shared" si="14"/>
        <v>118815</v>
      </c>
      <c r="M63" s="87">
        <f t="shared" si="15"/>
        <v>1.7266645625552328</v>
      </c>
      <c r="N63" s="47">
        <f t="shared" si="16"/>
        <v>205153.65</v>
      </c>
      <c r="O63" s="17"/>
      <c r="P63" s="47">
        <f t="shared" si="17"/>
        <v>296157</v>
      </c>
      <c r="Q63" s="17"/>
    </row>
    <row r="64" spans="2:17" ht="15.75" x14ac:dyDescent="0.25">
      <c r="B64" s="48" t="s">
        <v>130</v>
      </c>
      <c r="C64" s="17"/>
      <c r="D64" s="53">
        <f t="shared" si="8"/>
        <v>112122</v>
      </c>
      <c r="E64" s="87">
        <f t="shared" si="9"/>
        <v>3.1374551827473645</v>
      </c>
      <c r="F64" s="47">
        <f t="shared" si="10"/>
        <v>351777.75</v>
      </c>
      <c r="G64" s="17"/>
      <c r="H64" s="53">
        <f t="shared" si="11"/>
        <v>117006</v>
      </c>
      <c r="I64" s="87">
        <f t="shared" si="12"/>
        <v>0.76889339008255975</v>
      </c>
      <c r="J64" s="47">
        <f t="shared" si="13"/>
        <v>89965.139999999985</v>
      </c>
      <c r="K64" s="17"/>
      <c r="L64" s="53">
        <f t="shared" si="14"/>
        <v>117006</v>
      </c>
      <c r="M64" s="87">
        <f t="shared" si="15"/>
        <v>1.7320081021486078</v>
      </c>
      <c r="N64" s="47">
        <f t="shared" si="16"/>
        <v>202655.34</v>
      </c>
      <c r="O64" s="17"/>
      <c r="P64" s="47">
        <f t="shared" si="17"/>
        <v>292620.48</v>
      </c>
      <c r="Q64" s="17"/>
    </row>
    <row r="65" spans="2:17" ht="15.75" x14ac:dyDescent="0.25">
      <c r="B65" s="48" t="s">
        <v>131</v>
      </c>
      <c r="C65" s="17"/>
      <c r="D65" s="53">
        <f t="shared" si="8"/>
        <v>106441</v>
      </c>
      <c r="E65" s="87">
        <f t="shared" si="9"/>
        <v>3.1372426038838417</v>
      </c>
      <c r="F65" s="47">
        <f t="shared" si="10"/>
        <v>333931.24</v>
      </c>
      <c r="G65" s="17"/>
      <c r="H65" s="53">
        <f t="shared" si="11"/>
        <v>112982</v>
      </c>
      <c r="I65" s="87">
        <f t="shared" si="12"/>
        <v>0.76723752456143457</v>
      </c>
      <c r="J65" s="47">
        <f t="shared" si="13"/>
        <v>86684.03</v>
      </c>
      <c r="K65" s="17"/>
      <c r="L65" s="53">
        <f t="shared" si="14"/>
        <v>112982</v>
      </c>
      <c r="M65" s="87">
        <f t="shared" si="15"/>
        <v>1.729027544210582</v>
      </c>
      <c r="N65" s="47">
        <f t="shared" si="16"/>
        <v>195348.99</v>
      </c>
      <c r="O65" s="17"/>
      <c r="P65" s="47">
        <f t="shared" si="17"/>
        <v>282033.02</v>
      </c>
      <c r="Q65" s="17"/>
    </row>
    <row r="66" spans="2:17" ht="15.75" x14ac:dyDescent="0.25">
      <c r="B66" s="48" t="s">
        <v>132</v>
      </c>
      <c r="C66" s="17"/>
      <c r="D66" s="53">
        <f t="shared" si="8"/>
        <v>129860</v>
      </c>
      <c r="E66" s="87">
        <f t="shared" si="9"/>
        <v>3.1051309102109963</v>
      </c>
      <c r="F66" s="47">
        <f t="shared" si="10"/>
        <v>403232.3</v>
      </c>
      <c r="G66" s="17"/>
      <c r="H66" s="53">
        <f t="shared" si="11"/>
        <v>131282</v>
      </c>
      <c r="I66" s="87">
        <f t="shared" si="12"/>
        <v>0.75968853308145823</v>
      </c>
      <c r="J66" s="47">
        <f t="shared" si="13"/>
        <v>99733.43</v>
      </c>
      <c r="K66" s="17"/>
      <c r="L66" s="53">
        <f t="shared" si="14"/>
        <v>131282</v>
      </c>
      <c r="M66" s="87">
        <f t="shared" si="15"/>
        <v>1.7154393595466249</v>
      </c>
      <c r="N66" s="47">
        <f t="shared" si="16"/>
        <v>225206.31</v>
      </c>
      <c r="O66" s="17"/>
      <c r="P66" s="47">
        <f t="shared" si="17"/>
        <v>324939.74</v>
      </c>
      <c r="Q66" s="17"/>
    </row>
    <row r="67" spans="2:17" ht="15.75" x14ac:dyDescent="0.25">
      <c r="B67" s="48" t="s">
        <v>133</v>
      </c>
      <c r="C67" s="17"/>
      <c r="D67" s="53">
        <f t="shared" si="8"/>
        <v>148354</v>
      </c>
      <c r="E67" s="87">
        <f t="shared" si="9"/>
        <v>3.1164806476401039</v>
      </c>
      <c r="F67" s="47">
        <f t="shared" si="10"/>
        <v>462342.37</v>
      </c>
      <c r="G67" s="17"/>
      <c r="H67" s="53">
        <f t="shared" si="11"/>
        <v>149943</v>
      </c>
      <c r="I67" s="87">
        <f t="shared" si="12"/>
        <v>0.76299373762029576</v>
      </c>
      <c r="J67" s="47">
        <f t="shared" si="13"/>
        <v>114405.57</v>
      </c>
      <c r="K67" s="17"/>
      <c r="L67" s="53">
        <f t="shared" si="14"/>
        <v>149943</v>
      </c>
      <c r="M67" s="87">
        <f t="shared" si="15"/>
        <v>1.7213887277165323</v>
      </c>
      <c r="N67" s="47">
        <f t="shared" si="16"/>
        <v>258110.19</v>
      </c>
      <c r="O67" s="17"/>
      <c r="P67" s="47">
        <f t="shared" si="17"/>
        <v>372515.76</v>
      </c>
      <c r="Q67" s="17"/>
    </row>
    <row r="68" spans="2:17" ht="15.75" x14ac:dyDescent="0.25">
      <c r="B68" s="48" t="s">
        <v>134</v>
      </c>
      <c r="C68" s="17"/>
      <c r="D68" s="53">
        <f t="shared" si="8"/>
        <v>162195</v>
      </c>
      <c r="E68" s="87">
        <f t="shared" si="9"/>
        <v>3.1471136594839542</v>
      </c>
      <c r="F68" s="47">
        <f t="shared" si="10"/>
        <v>510446.1</v>
      </c>
      <c r="G68" s="17"/>
      <c r="H68" s="53">
        <f t="shared" si="11"/>
        <v>169429</v>
      </c>
      <c r="I68" s="87">
        <f t="shared" si="12"/>
        <v>0.77158432145618516</v>
      </c>
      <c r="J68" s="47">
        <f t="shared" si="13"/>
        <v>130728.76</v>
      </c>
      <c r="K68" s="17"/>
      <c r="L68" s="53">
        <f t="shared" si="14"/>
        <v>169429</v>
      </c>
      <c r="M68" s="87">
        <f t="shared" si="15"/>
        <v>1.7368517786211333</v>
      </c>
      <c r="N68" s="47">
        <f t="shared" si="16"/>
        <v>294273.06</v>
      </c>
      <c r="O68" s="17"/>
      <c r="P68" s="47">
        <f t="shared" si="17"/>
        <v>425001.82</v>
      </c>
      <c r="Q68" s="17"/>
    </row>
    <row r="69" spans="2:17" ht="15.75" x14ac:dyDescent="0.25">
      <c r="B69" s="48" t="s">
        <v>135</v>
      </c>
      <c r="C69" s="17"/>
      <c r="D69" s="53">
        <f t="shared" si="8"/>
        <v>136402</v>
      </c>
      <c r="E69" s="87">
        <f t="shared" si="9"/>
        <v>3.1563523262122257</v>
      </c>
      <c r="F69" s="47">
        <f t="shared" si="10"/>
        <v>430532.77</v>
      </c>
      <c r="G69" s="17"/>
      <c r="H69" s="53">
        <f t="shared" si="11"/>
        <v>138113</v>
      </c>
      <c r="I69" s="87">
        <f t="shared" si="12"/>
        <v>0.77207446076763231</v>
      </c>
      <c r="J69" s="47">
        <f t="shared" si="13"/>
        <v>106633.52</v>
      </c>
      <c r="K69" s="17"/>
      <c r="L69" s="53">
        <f t="shared" si="14"/>
        <v>138113</v>
      </c>
      <c r="M69" s="87">
        <f t="shared" si="15"/>
        <v>1.7377340293817383</v>
      </c>
      <c r="N69" s="47">
        <f t="shared" si="16"/>
        <v>240003.66</v>
      </c>
      <c r="O69" s="17"/>
      <c r="P69" s="47">
        <f t="shared" si="17"/>
        <v>346637.18</v>
      </c>
      <c r="Q69" s="17"/>
    </row>
    <row r="70" spans="2:17" ht="15.75" x14ac:dyDescent="0.25">
      <c r="B70" s="48" t="s">
        <v>136</v>
      </c>
      <c r="C70" s="17"/>
      <c r="D70" s="53">
        <f t="shared" si="8"/>
        <v>134039</v>
      </c>
      <c r="E70" s="87">
        <f t="shared" si="9"/>
        <v>3.136162087153739</v>
      </c>
      <c r="F70" s="47">
        <f t="shared" si="10"/>
        <v>420368.03</v>
      </c>
      <c r="G70" s="17"/>
      <c r="H70" s="53">
        <f t="shared" si="11"/>
        <v>137726</v>
      </c>
      <c r="I70" s="87">
        <f t="shared" si="12"/>
        <v>0.76451243773869859</v>
      </c>
      <c r="J70" s="47">
        <f t="shared" si="13"/>
        <v>105293.24</v>
      </c>
      <c r="K70" s="17"/>
      <c r="L70" s="53">
        <f t="shared" si="14"/>
        <v>137726</v>
      </c>
      <c r="M70" s="87">
        <f t="shared" si="15"/>
        <v>1.7241223879296574</v>
      </c>
      <c r="N70" s="47">
        <f t="shared" si="16"/>
        <v>237456.48</v>
      </c>
      <c r="O70" s="17"/>
      <c r="P70" s="47">
        <f t="shared" si="17"/>
        <v>342749.72000000003</v>
      </c>
      <c r="Q70" s="17"/>
    </row>
    <row r="71" spans="2:17" ht="15.75" x14ac:dyDescent="0.25">
      <c r="B71" s="48" t="s">
        <v>137</v>
      </c>
      <c r="C71" s="17"/>
      <c r="D71" s="53">
        <f t="shared" si="8"/>
        <v>117380</v>
      </c>
      <c r="E71" s="87">
        <f t="shared" si="9"/>
        <v>3.1030621059805763</v>
      </c>
      <c r="F71" s="47">
        <f t="shared" si="10"/>
        <v>364237.43000000005</v>
      </c>
      <c r="G71" s="17"/>
      <c r="H71" s="53">
        <f t="shared" si="11"/>
        <v>120728</v>
      </c>
      <c r="I71" s="87">
        <f t="shared" si="12"/>
        <v>0.75656533695580142</v>
      </c>
      <c r="J71" s="47">
        <f t="shared" si="13"/>
        <v>91338.62</v>
      </c>
      <c r="K71" s="17"/>
      <c r="L71" s="53">
        <f t="shared" si="14"/>
        <v>120728</v>
      </c>
      <c r="M71" s="87">
        <f t="shared" si="15"/>
        <v>1.7098176065204425</v>
      </c>
      <c r="N71" s="47">
        <f t="shared" si="16"/>
        <v>206422.86</v>
      </c>
      <c r="O71" s="17"/>
      <c r="P71" s="47">
        <f t="shared" si="17"/>
        <v>297761.48</v>
      </c>
      <c r="Q71" s="17"/>
    </row>
    <row r="72" spans="2:17" ht="15.75" x14ac:dyDescent="0.25">
      <c r="B72" s="48" t="s">
        <v>138</v>
      </c>
      <c r="C72" s="17"/>
      <c r="D72" s="53">
        <f t="shared" si="8"/>
        <v>126840</v>
      </c>
      <c r="E72" s="87">
        <f t="shared" si="9"/>
        <v>3.1078155156102172</v>
      </c>
      <c r="F72" s="47">
        <f t="shared" si="10"/>
        <v>394195.31999999995</v>
      </c>
      <c r="G72" s="17"/>
      <c r="H72" s="53">
        <f t="shared" si="11"/>
        <v>129092</v>
      </c>
      <c r="I72" s="87">
        <f t="shared" si="12"/>
        <v>0.7609846466086202</v>
      </c>
      <c r="J72" s="47">
        <f t="shared" si="13"/>
        <v>98237.03</v>
      </c>
      <c r="K72" s="17"/>
      <c r="L72" s="53">
        <f t="shared" si="14"/>
        <v>129092</v>
      </c>
      <c r="M72" s="87">
        <f t="shared" si="15"/>
        <v>1.7177723638955165</v>
      </c>
      <c r="N72" s="47">
        <f t="shared" si="16"/>
        <v>221750.67</v>
      </c>
      <c r="O72" s="17"/>
      <c r="P72" s="47">
        <f t="shared" si="17"/>
        <v>319987.7</v>
      </c>
      <c r="Q72" s="17"/>
    </row>
    <row r="73" spans="2:17" ht="15.75" x14ac:dyDescent="0.25">
      <c r="B73" s="48" t="s">
        <v>139</v>
      </c>
      <c r="C73" s="17"/>
      <c r="D73" s="53">
        <f t="shared" si="8"/>
        <v>119470</v>
      </c>
      <c r="E73" s="87">
        <f t="shared" si="9"/>
        <v>3.1465875115091655</v>
      </c>
      <c r="F73" s="47">
        <f t="shared" si="10"/>
        <v>375922.81</v>
      </c>
      <c r="G73" s="17"/>
      <c r="H73" s="53">
        <f t="shared" si="11"/>
        <v>119520</v>
      </c>
      <c r="I73" s="87">
        <f t="shared" si="12"/>
        <v>0.77062625502008031</v>
      </c>
      <c r="J73" s="47">
        <f t="shared" si="13"/>
        <v>92105.25</v>
      </c>
      <c r="K73" s="17"/>
      <c r="L73" s="53">
        <f t="shared" si="14"/>
        <v>119520</v>
      </c>
      <c r="M73" s="87">
        <f t="shared" si="15"/>
        <v>1.7351272590361446</v>
      </c>
      <c r="N73" s="47">
        <f t="shared" si="16"/>
        <v>207382.41</v>
      </c>
      <c r="O73" s="17"/>
      <c r="P73" s="47">
        <f t="shared" si="17"/>
        <v>299487.66000000003</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1530086</v>
      </c>
      <c r="E75" s="51">
        <f>IF(D75&lt;&gt;0,F75/D75,0)</f>
        <v>3.1292327882223607</v>
      </c>
      <c r="F75" s="52">
        <f>SUM(F62:F73)</f>
        <v>4787995.2799999993</v>
      </c>
      <c r="G75" s="17"/>
      <c r="H75" s="50">
        <f>SUM(H62:H73)</f>
        <v>1564569</v>
      </c>
      <c r="I75" s="51">
        <f>IF(H75&lt;&gt;0,J75/H75,0)</f>
        <v>0.76560721195421877</v>
      </c>
      <c r="J75" s="52">
        <f>SUM(J62:J73)</f>
        <v>1197845.31</v>
      </c>
      <c r="K75" s="17"/>
      <c r="L75" s="50">
        <f>SUM(L62:L73)</f>
        <v>1564569</v>
      </c>
      <c r="M75" s="51">
        <f>IF(L75&lt;&gt;0,N75/L75,0)</f>
        <v>1.7260929815175936</v>
      </c>
      <c r="N75" s="52">
        <f>SUM(N62:N73)</f>
        <v>2700591.57</v>
      </c>
      <c r="O75" s="17"/>
      <c r="P75" s="52">
        <f>SUM(P62:P73)</f>
        <v>3898436.8800000008</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17" activePane="bottomLeft" state="frozenSplit"/>
      <selection activeCell="I48" sqref="I48"/>
      <selection pane="bottomLeft" activeCell="B17" sqref="B17"/>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179" t="s">
        <v>234</v>
      </c>
      <c r="C13" s="179"/>
      <c r="D13" s="179"/>
      <c r="E13" s="179"/>
      <c r="F13" s="179"/>
      <c r="G13" s="179"/>
      <c r="H13" s="179"/>
      <c r="I13" s="179"/>
      <c r="J13" s="179"/>
      <c r="K13" s="179"/>
      <c r="L13" s="179"/>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99142</v>
      </c>
      <c r="E24" s="89">
        <f>'5. UTRs and Sub-Transmission'!G22</f>
        <v>3.57</v>
      </c>
      <c r="F24" s="90">
        <f>D24*E24</f>
        <v>353936.94</v>
      </c>
      <c r="G24" s="17"/>
      <c r="H24" s="88">
        <f>'6. Historical Wholesale'!H24</f>
        <v>99735</v>
      </c>
      <c r="I24" s="89">
        <f>'5. UTRs and Sub-Transmission'!G24</f>
        <v>0.8</v>
      </c>
      <c r="J24" s="90">
        <f>H24*I24</f>
        <v>79788</v>
      </c>
      <c r="K24" s="17"/>
      <c r="L24" s="88">
        <f>'6. Historical Wholesale'!L24</f>
        <v>99735</v>
      </c>
      <c r="M24" s="89">
        <f>'5. UTRs and Sub-Transmission'!G26</f>
        <v>1.86</v>
      </c>
      <c r="N24" s="90">
        <f>L24*M24</f>
        <v>185507.1</v>
      </c>
      <c r="O24" s="17"/>
      <c r="P24" s="47">
        <f t="shared" ref="P24:P35" si="0">J24+N24</f>
        <v>265295.09999999998</v>
      </c>
      <c r="Q24" s="17"/>
    </row>
    <row r="25" spans="2:17" ht="15.75" x14ac:dyDescent="0.25">
      <c r="B25" s="48" t="s">
        <v>129</v>
      </c>
      <c r="C25" s="17"/>
      <c r="D25" s="88">
        <f>'6. Historical Wholesale'!D25</f>
        <v>99111</v>
      </c>
      <c r="E25" s="89">
        <f>E24</f>
        <v>3.57</v>
      </c>
      <c r="F25" s="90">
        <f t="shared" ref="F25:F35" si="1">D25*E25</f>
        <v>353826.26999999996</v>
      </c>
      <c r="G25" s="17"/>
      <c r="H25" s="88">
        <f>'6. Historical Wholesale'!H25</f>
        <v>99745</v>
      </c>
      <c r="I25" s="89">
        <f>I24</f>
        <v>0.8</v>
      </c>
      <c r="J25" s="90">
        <f t="shared" ref="J25:J35" si="2">H25*I25</f>
        <v>79796</v>
      </c>
      <c r="K25" s="17"/>
      <c r="L25" s="88">
        <f>'6. Historical Wholesale'!L25</f>
        <v>99745</v>
      </c>
      <c r="M25" s="89">
        <f>M24</f>
        <v>1.86</v>
      </c>
      <c r="N25" s="90">
        <f t="shared" ref="N25:N35" si="3">L25*M25</f>
        <v>185525.7</v>
      </c>
      <c r="O25" s="17"/>
      <c r="P25" s="47">
        <f t="shared" si="0"/>
        <v>265321.7</v>
      </c>
      <c r="Q25" s="17"/>
    </row>
    <row r="26" spans="2:17" ht="15.75" x14ac:dyDescent="0.25">
      <c r="B26" s="48" t="s">
        <v>130</v>
      </c>
      <c r="C26" s="17"/>
      <c r="D26" s="88">
        <f>'6. Historical Wholesale'!D26</f>
        <v>95885</v>
      </c>
      <c r="E26" s="89">
        <f t="shared" ref="E26:E35" si="4">E25</f>
        <v>3.57</v>
      </c>
      <c r="F26" s="90">
        <f t="shared" si="1"/>
        <v>342309.45</v>
      </c>
      <c r="G26" s="17"/>
      <c r="H26" s="88">
        <f>'6. Historical Wholesale'!H26</f>
        <v>100542</v>
      </c>
      <c r="I26" s="89">
        <f t="shared" ref="I26:I35" si="5">I25</f>
        <v>0.8</v>
      </c>
      <c r="J26" s="90">
        <f t="shared" si="2"/>
        <v>80433.600000000006</v>
      </c>
      <c r="K26" s="17"/>
      <c r="L26" s="88">
        <f>'6. Historical Wholesale'!L26</f>
        <v>100542</v>
      </c>
      <c r="M26" s="89">
        <f t="shared" ref="M26:M35" si="6">M25</f>
        <v>1.86</v>
      </c>
      <c r="N26" s="90">
        <f t="shared" si="3"/>
        <v>187008.12</v>
      </c>
      <c r="O26" s="17"/>
      <c r="P26" s="47">
        <f t="shared" si="0"/>
        <v>267441.71999999997</v>
      </c>
      <c r="Q26" s="17"/>
    </row>
    <row r="27" spans="2:17" ht="15.75" x14ac:dyDescent="0.25">
      <c r="B27" s="48" t="s">
        <v>131</v>
      </c>
      <c r="C27" s="17"/>
      <c r="D27" s="88">
        <f>'6. Historical Wholesale'!D27</f>
        <v>90987</v>
      </c>
      <c r="E27" s="89">
        <f t="shared" si="4"/>
        <v>3.57</v>
      </c>
      <c r="F27" s="90">
        <f t="shared" si="1"/>
        <v>324823.58999999997</v>
      </c>
      <c r="G27" s="17"/>
      <c r="H27" s="88">
        <f>'6. Historical Wholesale'!H27</f>
        <v>95837</v>
      </c>
      <c r="I27" s="89">
        <f t="shared" si="5"/>
        <v>0.8</v>
      </c>
      <c r="J27" s="90">
        <f t="shared" si="2"/>
        <v>76669.600000000006</v>
      </c>
      <c r="K27" s="17"/>
      <c r="L27" s="88">
        <f>'6. Historical Wholesale'!L27</f>
        <v>95837</v>
      </c>
      <c r="M27" s="89">
        <f t="shared" si="6"/>
        <v>1.86</v>
      </c>
      <c r="N27" s="90">
        <f t="shared" si="3"/>
        <v>178256.82</v>
      </c>
      <c r="O27" s="17"/>
      <c r="P27" s="47">
        <f t="shared" si="0"/>
        <v>254926.42</v>
      </c>
      <c r="Q27" s="17"/>
    </row>
    <row r="28" spans="2:17" ht="15.75" x14ac:dyDescent="0.25">
      <c r="B28" s="48" t="s">
        <v>132</v>
      </c>
      <c r="C28" s="17"/>
      <c r="D28" s="88">
        <f>'6. Historical Wholesale'!D28</f>
        <v>103690</v>
      </c>
      <c r="E28" s="89">
        <f t="shared" si="4"/>
        <v>3.57</v>
      </c>
      <c r="F28" s="90">
        <f t="shared" si="1"/>
        <v>370173.3</v>
      </c>
      <c r="G28" s="17"/>
      <c r="H28" s="88">
        <f>'6. Historical Wholesale'!H28</f>
        <v>104753</v>
      </c>
      <c r="I28" s="89">
        <f t="shared" si="5"/>
        <v>0.8</v>
      </c>
      <c r="J28" s="90">
        <f t="shared" si="2"/>
        <v>83802.400000000009</v>
      </c>
      <c r="K28" s="17"/>
      <c r="L28" s="88">
        <f>'6. Historical Wholesale'!L28</f>
        <v>104753</v>
      </c>
      <c r="M28" s="89">
        <f t="shared" si="6"/>
        <v>1.86</v>
      </c>
      <c r="N28" s="90">
        <f t="shared" si="3"/>
        <v>194840.58000000002</v>
      </c>
      <c r="O28" s="17"/>
      <c r="P28" s="47">
        <f t="shared" si="0"/>
        <v>278642.98000000004</v>
      </c>
      <c r="Q28" s="17"/>
    </row>
    <row r="29" spans="2:17" ht="15.75" x14ac:dyDescent="0.25">
      <c r="B29" s="48" t="s">
        <v>133</v>
      </c>
      <c r="C29" s="17"/>
      <c r="D29" s="88">
        <f>'6. Historical Wholesale'!D29</f>
        <v>121411</v>
      </c>
      <c r="E29" s="89">
        <f t="shared" si="4"/>
        <v>3.57</v>
      </c>
      <c r="F29" s="90">
        <f t="shared" si="1"/>
        <v>433437.26999999996</v>
      </c>
      <c r="G29" s="17"/>
      <c r="H29" s="88">
        <f>'6. Historical Wholesale'!H29</f>
        <v>122947</v>
      </c>
      <c r="I29" s="89">
        <f t="shared" si="5"/>
        <v>0.8</v>
      </c>
      <c r="J29" s="90">
        <f t="shared" si="2"/>
        <v>98357.6</v>
      </c>
      <c r="K29" s="17"/>
      <c r="L29" s="88">
        <f>'6. Historical Wholesale'!L29</f>
        <v>122947</v>
      </c>
      <c r="M29" s="89">
        <f t="shared" si="6"/>
        <v>1.86</v>
      </c>
      <c r="N29" s="90">
        <f t="shared" si="3"/>
        <v>228681.42</v>
      </c>
      <c r="O29" s="17"/>
      <c r="P29" s="47">
        <f t="shared" si="0"/>
        <v>327039.02</v>
      </c>
      <c r="Q29" s="17"/>
    </row>
    <row r="30" spans="2:17" ht="15.75" x14ac:dyDescent="0.25">
      <c r="B30" s="48" t="s">
        <v>134</v>
      </c>
      <c r="C30" s="17"/>
      <c r="D30" s="88">
        <f>'6. Historical Wholesale'!D30</f>
        <v>141455</v>
      </c>
      <c r="E30" s="89">
        <f t="shared" si="4"/>
        <v>3.57</v>
      </c>
      <c r="F30" s="90">
        <f t="shared" si="1"/>
        <v>504994.35</v>
      </c>
      <c r="G30" s="17"/>
      <c r="H30" s="88">
        <f>'6. Historical Wholesale'!H30</f>
        <v>148628</v>
      </c>
      <c r="I30" s="89">
        <f t="shared" si="5"/>
        <v>0.8</v>
      </c>
      <c r="J30" s="90">
        <f t="shared" si="2"/>
        <v>118902.40000000001</v>
      </c>
      <c r="K30" s="17"/>
      <c r="L30" s="88">
        <f>'6. Historical Wholesale'!L30</f>
        <v>148628</v>
      </c>
      <c r="M30" s="89">
        <f t="shared" si="6"/>
        <v>1.86</v>
      </c>
      <c r="N30" s="90">
        <f t="shared" si="3"/>
        <v>276448.08</v>
      </c>
      <c r="O30" s="17"/>
      <c r="P30" s="47">
        <f t="shared" si="0"/>
        <v>395350.48000000004</v>
      </c>
      <c r="Q30" s="17"/>
    </row>
    <row r="31" spans="2:17" ht="15.75" x14ac:dyDescent="0.25">
      <c r="B31" s="48" t="s">
        <v>135</v>
      </c>
      <c r="C31" s="17"/>
      <c r="D31" s="88">
        <f>'6. Historical Wholesale'!D31</f>
        <v>121171</v>
      </c>
      <c r="E31" s="89">
        <f t="shared" si="4"/>
        <v>3.57</v>
      </c>
      <c r="F31" s="90">
        <f t="shared" si="1"/>
        <v>432580.47</v>
      </c>
      <c r="G31" s="17"/>
      <c r="H31" s="88">
        <f>'6. Historical Wholesale'!H31</f>
        <v>121608</v>
      </c>
      <c r="I31" s="89">
        <f t="shared" si="5"/>
        <v>0.8</v>
      </c>
      <c r="J31" s="90">
        <f t="shared" si="2"/>
        <v>97286.400000000009</v>
      </c>
      <c r="K31" s="17"/>
      <c r="L31" s="88">
        <f>'6. Historical Wholesale'!L31</f>
        <v>121608</v>
      </c>
      <c r="M31" s="89">
        <f t="shared" si="6"/>
        <v>1.86</v>
      </c>
      <c r="N31" s="90">
        <f t="shared" si="3"/>
        <v>226190.88</v>
      </c>
      <c r="O31" s="17"/>
      <c r="P31" s="47">
        <f t="shared" si="0"/>
        <v>323477.28000000003</v>
      </c>
      <c r="Q31" s="17"/>
    </row>
    <row r="32" spans="2:17" ht="15.75" x14ac:dyDescent="0.25">
      <c r="B32" s="48" t="s">
        <v>136</v>
      </c>
      <c r="C32" s="17"/>
      <c r="D32" s="88">
        <f>'6. Historical Wholesale'!D32</f>
        <v>114324</v>
      </c>
      <c r="E32" s="89">
        <f t="shared" si="4"/>
        <v>3.57</v>
      </c>
      <c r="F32" s="90">
        <f t="shared" si="1"/>
        <v>408136.68</v>
      </c>
      <c r="G32" s="17"/>
      <c r="H32" s="88">
        <f>'6. Historical Wholesale'!H32</f>
        <v>114324</v>
      </c>
      <c r="I32" s="89">
        <f t="shared" si="5"/>
        <v>0.8</v>
      </c>
      <c r="J32" s="90">
        <f t="shared" si="2"/>
        <v>91459.200000000012</v>
      </c>
      <c r="K32" s="17"/>
      <c r="L32" s="88">
        <f>'6. Historical Wholesale'!L32</f>
        <v>114324</v>
      </c>
      <c r="M32" s="89">
        <f t="shared" si="6"/>
        <v>1.86</v>
      </c>
      <c r="N32" s="90">
        <f t="shared" si="3"/>
        <v>212642.64</v>
      </c>
      <c r="O32" s="17"/>
      <c r="P32" s="47">
        <f t="shared" si="0"/>
        <v>304101.84000000003</v>
      </c>
      <c r="Q32" s="17"/>
    </row>
    <row r="33" spans="2:17" ht="15.75" x14ac:dyDescent="0.25">
      <c r="B33" s="48" t="s">
        <v>137</v>
      </c>
      <c r="C33" s="17"/>
      <c r="D33" s="88">
        <f>'6. Historical Wholesale'!D33</f>
        <v>93299</v>
      </c>
      <c r="E33" s="89">
        <f t="shared" si="4"/>
        <v>3.57</v>
      </c>
      <c r="F33" s="90">
        <f t="shared" si="1"/>
        <v>333077.43</v>
      </c>
      <c r="G33" s="17"/>
      <c r="H33" s="88">
        <f>'6. Historical Wholesale'!H33</f>
        <v>93818</v>
      </c>
      <c r="I33" s="89">
        <f t="shared" si="5"/>
        <v>0.8</v>
      </c>
      <c r="J33" s="90">
        <f t="shared" si="2"/>
        <v>75054.400000000009</v>
      </c>
      <c r="K33" s="17"/>
      <c r="L33" s="88">
        <f>'6. Historical Wholesale'!L33</f>
        <v>93818</v>
      </c>
      <c r="M33" s="89">
        <f t="shared" si="6"/>
        <v>1.86</v>
      </c>
      <c r="N33" s="90">
        <f t="shared" si="3"/>
        <v>174501.48</v>
      </c>
      <c r="O33" s="17"/>
      <c r="P33" s="47">
        <f t="shared" si="0"/>
        <v>249555.88</v>
      </c>
      <c r="Q33" s="17"/>
    </row>
    <row r="34" spans="2:17" ht="15.75" x14ac:dyDescent="0.25">
      <c r="B34" s="48" t="s">
        <v>138</v>
      </c>
      <c r="C34" s="17"/>
      <c r="D34" s="88">
        <f>'6. Historical Wholesale'!D34</f>
        <v>101876</v>
      </c>
      <c r="E34" s="89">
        <f t="shared" si="4"/>
        <v>3.57</v>
      </c>
      <c r="F34" s="90">
        <f t="shared" si="1"/>
        <v>363697.32</v>
      </c>
      <c r="G34" s="17"/>
      <c r="H34" s="88">
        <f>'6. Historical Wholesale'!H34</f>
        <v>104121</v>
      </c>
      <c r="I34" s="89">
        <f t="shared" si="5"/>
        <v>0.8</v>
      </c>
      <c r="J34" s="90">
        <f t="shared" si="2"/>
        <v>83296.800000000003</v>
      </c>
      <c r="K34" s="17"/>
      <c r="L34" s="88">
        <f>'6. Historical Wholesale'!L34</f>
        <v>104121</v>
      </c>
      <c r="M34" s="89">
        <f t="shared" si="6"/>
        <v>1.86</v>
      </c>
      <c r="N34" s="90">
        <f t="shared" si="3"/>
        <v>193665.06</v>
      </c>
      <c r="O34" s="17"/>
      <c r="P34" s="47">
        <f t="shared" si="0"/>
        <v>276961.86</v>
      </c>
      <c r="Q34" s="17"/>
    </row>
    <row r="35" spans="2:17" ht="15.75" x14ac:dyDescent="0.25">
      <c r="B35" s="48" t="s">
        <v>139</v>
      </c>
      <c r="C35" s="17"/>
      <c r="D35" s="88">
        <f>'6. Historical Wholesale'!D35</f>
        <v>104083</v>
      </c>
      <c r="E35" s="89">
        <f t="shared" si="4"/>
        <v>3.57</v>
      </c>
      <c r="F35" s="90">
        <f t="shared" si="1"/>
        <v>371576.31</v>
      </c>
      <c r="G35" s="17"/>
      <c r="H35" s="88">
        <f>'6. Historical Wholesale'!H35</f>
        <v>104083</v>
      </c>
      <c r="I35" s="89">
        <f t="shared" si="5"/>
        <v>0.8</v>
      </c>
      <c r="J35" s="90">
        <f t="shared" si="2"/>
        <v>83266.400000000009</v>
      </c>
      <c r="K35" s="17"/>
      <c r="L35" s="88">
        <f>'6. Historical Wholesale'!L35</f>
        <v>104083</v>
      </c>
      <c r="M35" s="89">
        <f t="shared" si="6"/>
        <v>1.86</v>
      </c>
      <c r="N35" s="90">
        <f t="shared" si="3"/>
        <v>193594.38</v>
      </c>
      <c r="O35" s="17"/>
      <c r="P35" s="47">
        <f t="shared" si="0"/>
        <v>276860.78000000003</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1286434</v>
      </c>
      <c r="E37" s="51">
        <f>IF(D37&lt;&gt;0,F37/D37,0)</f>
        <v>3.57</v>
      </c>
      <c r="F37" s="52">
        <f>SUM(F24:F35)</f>
        <v>4592569.38</v>
      </c>
      <c r="G37" s="17"/>
      <c r="H37" s="50">
        <f>SUM(H24:H35)</f>
        <v>1310141</v>
      </c>
      <c r="I37" s="51">
        <f>IF(H37&lt;&gt;0,J37/H37,0)</f>
        <v>0.80000000000000027</v>
      </c>
      <c r="J37" s="52">
        <f>SUM(J24:J35)</f>
        <v>1048112.8000000003</v>
      </c>
      <c r="K37" s="17"/>
      <c r="L37" s="50">
        <f>SUM(L24:L35)</f>
        <v>1310141</v>
      </c>
      <c r="M37" s="51">
        <f>IF(L37&lt;&gt;0,N37/L37,0)</f>
        <v>1.86</v>
      </c>
      <c r="N37" s="52">
        <f>SUM(N24:N35)</f>
        <v>2436862.2600000002</v>
      </c>
      <c r="O37" s="17"/>
      <c r="P37" s="52">
        <f>SUM(P24:P35)</f>
        <v>3484975.0599999996</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19660</v>
      </c>
      <c r="E43" s="89">
        <f>'5. UTRs and Sub-Transmission'!G35+'5. UTRs and Sub-Transmission'!G49</f>
        <v>2.65</v>
      </c>
      <c r="F43" s="90">
        <f>D43*E43</f>
        <v>52099</v>
      </c>
      <c r="G43" s="17"/>
      <c r="H43" s="88">
        <f>'6. Historical Wholesale'!H43</f>
        <v>20198</v>
      </c>
      <c r="I43" s="89">
        <f>'5. UTRs and Sub-Transmission'!G37+'5. UTRs and Sub-Transmission'!G51</f>
        <v>0.64</v>
      </c>
      <c r="J43" s="90">
        <f>H43*I43</f>
        <v>12926.720000000001</v>
      </c>
      <c r="K43" s="17"/>
      <c r="L43" s="88">
        <f>'6. Historical Wholesale'!L43</f>
        <v>20198</v>
      </c>
      <c r="M43" s="89">
        <f>'5. UTRs and Sub-Transmission'!G39</f>
        <v>1.5</v>
      </c>
      <c r="N43" s="90">
        <f>L43*M43</f>
        <v>30297</v>
      </c>
      <c r="O43" s="17"/>
      <c r="P43" s="47">
        <f t="shared" ref="P43:P54" si="7">J43+N43</f>
        <v>43223.72</v>
      </c>
      <c r="Q43" s="17"/>
    </row>
    <row r="44" spans="2:17" ht="15.75" x14ac:dyDescent="0.25">
      <c r="B44" s="48" t="s">
        <v>129</v>
      </c>
      <c r="C44" s="17"/>
      <c r="D44" s="88">
        <f>'6. Historical Wholesale'!D44</f>
        <v>19070</v>
      </c>
      <c r="E44" s="89">
        <f>E43</f>
        <v>2.65</v>
      </c>
      <c r="F44" s="90">
        <f t="shared" ref="F44:F54" si="8">D44*E44</f>
        <v>50535.5</v>
      </c>
      <c r="G44" s="17"/>
      <c r="H44" s="88">
        <f>'6. Historical Wholesale'!H44</f>
        <v>19070</v>
      </c>
      <c r="I44" s="89">
        <f>I43</f>
        <v>0.64</v>
      </c>
      <c r="J44" s="90">
        <f t="shared" ref="J44:J54" si="9">H44*I44</f>
        <v>12204.800000000001</v>
      </c>
      <c r="K44" s="17"/>
      <c r="L44" s="88">
        <f>'6. Historical Wholesale'!L44</f>
        <v>19070</v>
      </c>
      <c r="M44" s="89">
        <f>M43</f>
        <v>1.5</v>
      </c>
      <c r="N44" s="90">
        <f t="shared" ref="N44:N54" si="10">L44*M44</f>
        <v>28605</v>
      </c>
      <c r="O44" s="17"/>
      <c r="P44" s="47">
        <f t="shared" si="7"/>
        <v>40809.800000000003</v>
      </c>
      <c r="Q44" s="17"/>
    </row>
    <row r="45" spans="2:17" ht="15.75" x14ac:dyDescent="0.25">
      <c r="B45" s="48" t="s">
        <v>130</v>
      </c>
      <c r="C45" s="17"/>
      <c r="D45" s="88">
        <f>'6. Historical Wholesale'!D45</f>
        <v>16237</v>
      </c>
      <c r="E45" s="89">
        <f t="shared" ref="E45:E54" si="11">E44</f>
        <v>2.65</v>
      </c>
      <c r="F45" s="90">
        <f t="shared" si="8"/>
        <v>43028.049999999996</v>
      </c>
      <c r="G45" s="17"/>
      <c r="H45" s="88">
        <f>'6. Historical Wholesale'!H45</f>
        <v>16464</v>
      </c>
      <c r="I45" s="89">
        <f t="shared" ref="I45:I54" si="12">I44</f>
        <v>0.64</v>
      </c>
      <c r="J45" s="90">
        <f t="shared" si="9"/>
        <v>10536.960000000001</v>
      </c>
      <c r="K45" s="17"/>
      <c r="L45" s="88">
        <f>'6. Historical Wholesale'!L45</f>
        <v>16464</v>
      </c>
      <c r="M45" s="89">
        <f>M44</f>
        <v>1.5</v>
      </c>
      <c r="N45" s="90">
        <f t="shared" si="10"/>
        <v>24696</v>
      </c>
      <c r="O45" s="17"/>
      <c r="P45" s="47">
        <f t="shared" si="7"/>
        <v>35232.959999999999</v>
      </c>
      <c r="Q45" s="17"/>
    </row>
    <row r="46" spans="2:17" ht="15.75" x14ac:dyDescent="0.25">
      <c r="B46" s="48" t="s">
        <v>131</v>
      </c>
      <c r="C46" s="17"/>
      <c r="D46" s="88">
        <f>'6. Historical Wholesale'!D46</f>
        <v>15454</v>
      </c>
      <c r="E46" s="89">
        <f t="shared" si="11"/>
        <v>2.65</v>
      </c>
      <c r="F46" s="90">
        <f t="shared" si="8"/>
        <v>40953.1</v>
      </c>
      <c r="G46" s="17"/>
      <c r="H46" s="88">
        <f>'6. Historical Wholesale'!H46</f>
        <v>17145</v>
      </c>
      <c r="I46" s="89">
        <f t="shared" si="12"/>
        <v>0.64</v>
      </c>
      <c r="J46" s="90">
        <f t="shared" si="9"/>
        <v>10972.800000000001</v>
      </c>
      <c r="K46" s="17"/>
      <c r="L46" s="88">
        <f>'6. Historical Wholesale'!L46</f>
        <v>17145</v>
      </c>
      <c r="M46" s="89">
        <f t="shared" ref="M46:M54" si="13">M45</f>
        <v>1.5</v>
      </c>
      <c r="N46" s="90">
        <f t="shared" si="10"/>
        <v>25717.5</v>
      </c>
      <c r="O46" s="17"/>
      <c r="P46" s="47">
        <f t="shared" si="7"/>
        <v>36690.300000000003</v>
      </c>
      <c r="Q46" s="17"/>
    </row>
    <row r="47" spans="2:17" ht="15.75" x14ac:dyDescent="0.25">
      <c r="B47" s="48" t="s">
        <v>132</v>
      </c>
      <c r="C47" s="17"/>
      <c r="D47" s="88">
        <f>'6. Historical Wholesale'!D47</f>
        <v>26170</v>
      </c>
      <c r="E47" s="89">
        <f t="shared" si="11"/>
        <v>2.65</v>
      </c>
      <c r="F47" s="90">
        <f t="shared" si="8"/>
        <v>69350.5</v>
      </c>
      <c r="G47" s="17"/>
      <c r="H47" s="88">
        <f>'6. Historical Wholesale'!H47</f>
        <v>26529</v>
      </c>
      <c r="I47" s="89">
        <f t="shared" si="12"/>
        <v>0.64</v>
      </c>
      <c r="J47" s="90">
        <f t="shared" si="9"/>
        <v>16978.560000000001</v>
      </c>
      <c r="K47" s="17"/>
      <c r="L47" s="88">
        <f>'6. Historical Wholesale'!L47</f>
        <v>26529</v>
      </c>
      <c r="M47" s="89">
        <f t="shared" si="13"/>
        <v>1.5</v>
      </c>
      <c r="N47" s="90">
        <f t="shared" si="10"/>
        <v>39793.5</v>
      </c>
      <c r="O47" s="17"/>
      <c r="P47" s="47">
        <f t="shared" si="7"/>
        <v>56772.06</v>
      </c>
      <c r="Q47" s="17"/>
    </row>
    <row r="48" spans="2:17" ht="15.75" x14ac:dyDescent="0.25">
      <c r="B48" s="48" t="s">
        <v>133</v>
      </c>
      <c r="C48" s="17"/>
      <c r="D48" s="88">
        <f>'6. Historical Wholesale'!D48</f>
        <v>26943</v>
      </c>
      <c r="E48" s="89">
        <f t="shared" si="11"/>
        <v>2.65</v>
      </c>
      <c r="F48" s="90">
        <f t="shared" si="8"/>
        <v>71398.95</v>
      </c>
      <c r="G48" s="17"/>
      <c r="H48" s="88">
        <f>'6. Historical Wholesale'!H48</f>
        <v>26996</v>
      </c>
      <c r="I48" s="89">
        <f t="shared" si="12"/>
        <v>0.64</v>
      </c>
      <c r="J48" s="90">
        <f t="shared" si="9"/>
        <v>17277.439999999999</v>
      </c>
      <c r="K48" s="17"/>
      <c r="L48" s="88">
        <f>'6. Historical Wholesale'!L48</f>
        <v>26996</v>
      </c>
      <c r="M48" s="89">
        <f t="shared" si="13"/>
        <v>1.5</v>
      </c>
      <c r="N48" s="90">
        <f t="shared" si="10"/>
        <v>40494</v>
      </c>
      <c r="O48" s="17"/>
      <c r="P48" s="47">
        <f t="shared" si="7"/>
        <v>57771.44</v>
      </c>
      <c r="Q48" s="17"/>
    </row>
    <row r="49" spans="2:17" ht="15.75" x14ac:dyDescent="0.25">
      <c r="B49" s="48" t="s">
        <v>134</v>
      </c>
      <c r="C49" s="17"/>
      <c r="D49" s="88">
        <f>'6. Historical Wholesale'!D49</f>
        <v>20740</v>
      </c>
      <c r="E49" s="89">
        <f t="shared" si="11"/>
        <v>2.65</v>
      </c>
      <c r="F49" s="90">
        <f t="shared" si="8"/>
        <v>54961</v>
      </c>
      <c r="G49" s="17"/>
      <c r="H49" s="88">
        <f>'6. Historical Wholesale'!H49</f>
        <v>20801</v>
      </c>
      <c r="I49" s="89">
        <f t="shared" si="12"/>
        <v>0.64</v>
      </c>
      <c r="J49" s="90">
        <f t="shared" si="9"/>
        <v>13312.64</v>
      </c>
      <c r="K49" s="17"/>
      <c r="L49" s="88">
        <f>'6. Historical Wholesale'!L49</f>
        <v>20801</v>
      </c>
      <c r="M49" s="89">
        <f t="shared" si="13"/>
        <v>1.5</v>
      </c>
      <c r="N49" s="90">
        <f t="shared" si="10"/>
        <v>31201.5</v>
      </c>
      <c r="O49" s="17"/>
      <c r="P49" s="47">
        <f t="shared" si="7"/>
        <v>44514.14</v>
      </c>
      <c r="Q49" s="17"/>
    </row>
    <row r="50" spans="2:17" ht="15.75" x14ac:dyDescent="0.25">
      <c r="B50" s="48" t="s">
        <v>135</v>
      </c>
      <c r="C50" s="17"/>
      <c r="D50" s="88">
        <f>'6. Historical Wholesale'!D50</f>
        <v>15231</v>
      </c>
      <c r="E50" s="89">
        <f t="shared" si="11"/>
        <v>2.65</v>
      </c>
      <c r="F50" s="90">
        <f t="shared" si="8"/>
        <v>40362.15</v>
      </c>
      <c r="G50" s="17"/>
      <c r="H50" s="88">
        <f>'6. Historical Wholesale'!H50</f>
        <v>16505</v>
      </c>
      <c r="I50" s="89">
        <f t="shared" si="12"/>
        <v>0.64</v>
      </c>
      <c r="J50" s="90">
        <f t="shared" si="9"/>
        <v>10563.2</v>
      </c>
      <c r="K50" s="17"/>
      <c r="L50" s="88">
        <f>'6. Historical Wholesale'!L50</f>
        <v>16505</v>
      </c>
      <c r="M50" s="89">
        <f t="shared" si="13"/>
        <v>1.5</v>
      </c>
      <c r="N50" s="90">
        <f t="shared" si="10"/>
        <v>24757.5</v>
      </c>
      <c r="O50" s="17"/>
      <c r="P50" s="47">
        <f t="shared" si="7"/>
        <v>35320.699999999997</v>
      </c>
      <c r="Q50" s="17"/>
    </row>
    <row r="51" spans="2:17" ht="15.75" x14ac:dyDescent="0.25">
      <c r="B51" s="48" t="s">
        <v>136</v>
      </c>
      <c r="C51" s="17"/>
      <c r="D51" s="88">
        <f>'6. Historical Wholesale'!D51</f>
        <v>19715</v>
      </c>
      <c r="E51" s="89">
        <f t="shared" si="11"/>
        <v>2.65</v>
      </c>
      <c r="F51" s="90">
        <f t="shared" si="8"/>
        <v>52244.75</v>
      </c>
      <c r="G51" s="17"/>
      <c r="H51" s="88">
        <f>'6. Historical Wholesale'!H51</f>
        <v>23402</v>
      </c>
      <c r="I51" s="89">
        <f t="shared" si="12"/>
        <v>0.64</v>
      </c>
      <c r="J51" s="90">
        <f t="shared" si="9"/>
        <v>14977.28</v>
      </c>
      <c r="K51" s="17"/>
      <c r="L51" s="88">
        <f>'6. Historical Wholesale'!L51</f>
        <v>23402</v>
      </c>
      <c r="M51" s="89">
        <f t="shared" si="13"/>
        <v>1.5</v>
      </c>
      <c r="N51" s="90">
        <f t="shared" si="10"/>
        <v>35103</v>
      </c>
      <c r="O51" s="17"/>
      <c r="P51" s="47">
        <f t="shared" si="7"/>
        <v>50080.28</v>
      </c>
      <c r="Q51" s="17"/>
    </row>
    <row r="52" spans="2:17" ht="15.75" x14ac:dyDescent="0.25">
      <c r="B52" s="48" t="s">
        <v>137</v>
      </c>
      <c r="C52" s="17"/>
      <c r="D52" s="88">
        <f>'6. Historical Wholesale'!D52</f>
        <v>24081</v>
      </c>
      <c r="E52" s="89">
        <f t="shared" si="11"/>
        <v>2.65</v>
      </c>
      <c r="F52" s="90">
        <f t="shared" si="8"/>
        <v>63814.65</v>
      </c>
      <c r="G52" s="17"/>
      <c r="H52" s="88">
        <f>'6. Historical Wholesale'!H52</f>
        <v>26910</v>
      </c>
      <c r="I52" s="89">
        <f t="shared" si="12"/>
        <v>0.64</v>
      </c>
      <c r="J52" s="90">
        <f t="shared" si="9"/>
        <v>17222.400000000001</v>
      </c>
      <c r="K52" s="17"/>
      <c r="L52" s="88">
        <f>'6. Historical Wholesale'!L52</f>
        <v>26910</v>
      </c>
      <c r="M52" s="89">
        <f t="shared" si="13"/>
        <v>1.5</v>
      </c>
      <c r="N52" s="90">
        <f t="shared" si="10"/>
        <v>40365</v>
      </c>
      <c r="O52" s="17"/>
      <c r="P52" s="47">
        <f t="shared" si="7"/>
        <v>57587.4</v>
      </c>
      <c r="Q52" s="17"/>
    </row>
    <row r="53" spans="2:17" ht="15.75" x14ac:dyDescent="0.25">
      <c r="B53" s="48" t="s">
        <v>138</v>
      </c>
      <c r="C53" s="17"/>
      <c r="D53" s="88">
        <f>'6. Historical Wholesale'!D53</f>
        <v>24964</v>
      </c>
      <c r="E53" s="89">
        <f t="shared" si="11"/>
        <v>2.65</v>
      </c>
      <c r="F53" s="90">
        <f t="shared" si="8"/>
        <v>66154.599999999991</v>
      </c>
      <c r="G53" s="17"/>
      <c r="H53" s="88">
        <f>'6. Historical Wholesale'!H53</f>
        <v>24971</v>
      </c>
      <c r="I53" s="89">
        <f t="shared" si="12"/>
        <v>0.64</v>
      </c>
      <c r="J53" s="90">
        <f t="shared" si="9"/>
        <v>15981.44</v>
      </c>
      <c r="K53" s="17"/>
      <c r="L53" s="88">
        <f>'6. Historical Wholesale'!L53</f>
        <v>24971</v>
      </c>
      <c r="M53" s="89">
        <f t="shared" si="13"/>
        <v>1.5</v>
      </c>
      <c r="N53" s="90">
        <f t="shared" si="10"/>
        <v>37456.5</v>
      </c>
      <c r="O53" s="17"/>
      <c r="P53" s="47">
        <f t="shared" si="7"/>
        <v>53437.94</v>
      </c>
      <c r="Q53" s="17"/>
    </row>
    <row r="54" spans="2:17" ht="15.75" x14ac:dyDescent="0.25">
      <c r="B54" s="48" t="s">
        <v>139</v>
      </c>
      <c r="C54" s="17"/>
      <c r="D54" s="88">
        <f>'6. Historical Wholesale'!D54</f>
        <v>15387</v>
      </c>
      <c r="E54" s="89">
        <f t="shared" si="11"/>
        <v>2.65</v>
      </c>
      <c r="F54" s="90">
        <f t="shared" si="8"/>
        <v>40775.549999999996</v>
      </c>
      <c r="G54" s="17"/>
      <c r="H54" s="88">
        <f>'6. Historical Wholesale'!H54</f>
        <v>15437</v>
      </c>
      <c r="I54" s="89">
        <f t="shared" si="12"/>
        <v>0.64</v>
      </c>
      <c r="J54" s="90">
        <f t="shared" si="9"/>
        <v>9879.68</v>
      </c>
      <c r="K54" s="17"/>
      <c r="L54" s="88">
        <f>'6. Historical Wholesale'!L54</f>
        <v>15437</v>
      </c>
      <c r="M54" s="89">
        <f t="shared" si="13"/>
        <v>1.5</v>
      </c>
      <c r="N54" s="90">
        <f t="shared" si="10"/>
        <v>23155.5</v>
      </c>
      <c r="O54" s="17"/>
      <c r="P54" s="47">
        <f t="shared" si="7"/>
        <v>33035.18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243652</v>
      </c>
      <c r="E56" s="51">
        <f>IF(D56&lt;&gt;0,F56/D56,0)</f>
        <v>2.6500000000000004</v>
      </c>
      <c r="F56" s="52">
        <f>SUM(F43:F54)</f>
        <v>645677.80000000005</v>
      </c>
      <c r="G56" s="17"/>
      <c r="H56" s="50">
        <f>SUM(H43:H54)</f>
        <v>254428</v>
      </c>
      <c r="I56" s="51">
        <f>IF(H56&lt;&gt;0,J56/H56,0)</f>
        <v>0.64</v>
      </c>
      <c r="J56" s="52">
        <f>SUM(J43:J54)</f>
        <v>162833.92000000001</v>
      </c>
      <c r="K56" s="17"/>
      <c r="L56" s="50">
        <f>SUM(L43:L54)</f>
        <v>254428</v>
      </c>
      <c r="M56" s="51">
        <f>IF(L56&lt;&gt;0,N56/L56,0)</f>
        <v>1.5</v>
      </c>
      <c r="N56" s="52">
        <f>SUM(N43:N54)</f>
        <v>381642</v>
      </c>
      <c r="O56" s="17"/>
      <c r="P56" s="52">
        <f>SUM(P43:P54)</f>
        <v>544475.92000000004</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118802</v>
      </c>
      <c r="E62" s="54">
        <f t="shared" ref="E62:E73" si="15">IF(D62&lt;&gt;0,F62/D62,0)</f>
        <v>3.4177534048248348</v>
      </c>
      <c r="F62" s="47">
        <f t="shared" ref="F62:F73" si="16">F24+F43</f>
        <v>406035.94</v>
      </c>
      <c r="G62" s="17"/>
      <c r="H62" s="53">
        <f t="shared" ref="H62:H73" si="17">H24+H43</f>
        <v>119933</v>
      </c>
      <c r="I62" s="54">
        <f t="shared" ref="I62:I73" si="18">IF(H62&lt;&gt;0,J62/H62,0)</f>
        <v>0.77305428864449321</v>
      </c>
      <c r="J62" s="47">
        <f t="shared" ref="J62:J73" si="19">J24+J43</f>
        <v>92714.72</v>
      </c>
      <c r="K62" s="17"/>
      <c r="L62" s="53">
        <f t="shared" ref="L62:L73" si="20">L24+L43</f>
        <v>119933</v>
      </c>
      <c r="M62" s="54">
        <f t="shared" ref="M62:M73" si="21">IF(L62&lt;&gt;0,N62/L62,0)</f>
        <v>1.7993721494501096</v>
      </c>
      <c r="N62" s="47">
        <f t="shared" ref="N62:N73" si="22">N24+N43</f>
        <v>215804.1</v>
      </c>
      <c r="O62" s="17"/>
      <c r="P62" s="47">
        <f t="shared" ref="P62:P73" si="23">J62+N62</f>
        <v>308518.82</v>
      </c>
      <c r="Q62" s="17"/>
    </row>
    <row r="63" spans="2:17" ht="15.75" x14ac:dyDescent="0.25">
      <c r="B63" s="48" t="s">
        <v>129</v>
      </c>
      <c r="C63" s="17"/>
      <c r="D63" s="53">
        <f t="shared" si="14"/>
        <v>118181</v>
      </c>
      <c r="E63" s="54">
        <f t="shared" si="15"/>
        <v>3.4215463568593933</v>
      </c>
      <c r="F63" s="47">
        <f t="shared" si="16"/>
        <v>404361.76999999996</v>
      </c>
      <c r="G63" s="17"/>
      <c r="H63" s="53">
        <f t="shared" si="17"/>
        <v>118815</v>
      </c>
      <c r="I63" s="54">
        <f t="shared" si="18"/>
        <v>0.77431974077347143</v>
      </c>
      <c r="J63" s="47">
        <f t="shared" si="19"/>
        <v>92000.8</v>
      </c>
      <c r="K63" s="17"/>
      <c r="L63" s="53">
        <f t="shared" si="20"/>
        <v>118815</v>
      </c>
      <c r="M63" s="54">
        <f t="shared" si="21"/>
        <v>1.8022194167403107</v>
      </c>
      <c r="N63" s="47">
        <f t="shared" si="22"/>
        <v>214130.7</v>
      </c>
      <c r="O63" s="17"/>
      <c r="P63" s="47">
        <f t="shared" si="23"/>
        <v>306131.5</v>
      </c>
      <c r="Q63" s="17"/>
    </row>
    <row r="64" spans="2:17" ht="15.75" x14ac:dyDescent="0.25">
      <c r="B64" s="48" t="s">
        <v>130</v>
      </c>
      <c r="C64" s="17"/>
      <c r="D64" s="53">
        <f t="shared" si="14"/>
        <v>112122</v>
      </c>
      <c r="E64" s="54">
        <f t="shared" si="15"/>
        <v>3.436769768644869</v>
      </c>
      <c r="F64" s="47">
        <f t="shared" si="16"/>
        <v>385337.5</v>
      </c>
      <c r="G64" s="17"/>
      <c r="H64" s="53">
        <f t="shared" si="17"/>
        <v>117006</v>
      </c>
      <c r="I64" s="54">
        <f t="shared" si="18"/>
        <v>0.77748628275473064</v>
      </c>
      <c r="J64" s="47">
        <f t="shared" si="19"/>
        <v>90970.560000000012</v>
      </c>
      <c r="K64" s="17"/>
      <c r="L64" s="53">
        <f t="shared" si="20"/>
        <v>117006</v>
      </c>
      <c r="M64" s="54">
        <f t="shared" si="21"/>
        <v>1.8093441361981437</v>
      </c>
      <c r="N64" s="47">
        <f t="shared" si="22"/>
        <v>211704.12</v>
      </c>
      <c r="O64" s="17"/>
      <c r="P64" s="47">
        <f t="shared" si="23"/>
        <v>302674.68</v>
      </c>
      <c r="Q64" s="17"/>
    </row>
    <row r="65" spans="2:17" ht="15.75" x14ac:dyDescent="0.25">
      <c r="B65" s="48" t="s">
        <v>131</v>
      </c>
      <c r="C65" s="17"/>
      <c r="D65" s="53">
        <f t="shared" si="14"/>
        <v>106441</v>
      </c>
      <c r="E65" s="54">
        <f t="shared" si="15"/>
        <v>3.4364266589002352</v>
      </c>
      <c r="F65" s="47">
        <f t="shared" si="16"/>
        <v>365776.68999999994</v>
      </c>
      <c r="G65" s="17"/>
      <c r="H65" s="53">
        <f t="shared" si="17"/>
        <v>112982</v>
      </c>
      <c r="I65" s="54">
        <f t="shared" si="18"/>
        <v>0.7757200261988636</v>
      </c>
      <c r="J65" s="47">
        <f t="shared" si="19"/>
        <v>87642.400000000009</v>
      </c>
      <c r="K65" s="17"/>
      <c r="L65" s="53">
        <f t="shared" si="20"/>
        <v>112982</v>
      </c>
      <c r="M65" s="54">
        <f t="shared" si="21"/>
        <v>1.8053700589474431</v>
      </c>
      <c r="N65" s="47">
        <f t="shared" si="22"/>
        <v>203974.32</v>
      </c>
      <c r="O65" s="17"/>
      <c r="P65" s="47">
        <f t="shared" si="23"/>
        <v>291616.72000000003</v>
      </c>
      <c r="Q65" s="17"/>
    </row>
    <row r="66" spans="2:17" ht="15.75" x14ac:dyDescent="0.25">
      <c r="B66" s="48" t="s">
        <v>132</v>
      </c>
      <c r="C66" s="17"/>
      <c r="D66" s="53">
        <f t="shared" si="14"/>
        <v>129860</v>
      </c>
      <c r="E66" s="54">
        <f t="shared" si="15"/>
        <v>3.3845972585861697</v>
      </c>
      <c r="F66" s="47">
        <f t="shared" si="16"/>
        <v>439523.8</v>
      </c>
      <c r="G66" s="17"/>
      <c r="H66" s="53">
        <f t="shared" si="17"/>
        <v>131282</v>
      </c>
      <c r="I66" s="54">
        <f t="shared" si="18"/>
        <v>0.76766776862022212</v>
      </c>
      <c r="J66" s="47">
        <f t="shared" si="19"/>
        <v>100780.96</v>
      </c>
      <c r="K66" s="17"/>
      <c r="L66" s="53">
        <f t="shared" si="20"/>
        <v>131282</v>
      </c>
      <c r="M66" s="54">
        <f t="shared" si="21"/>
        <v>1.7872524793954998</v>
      </c>
      <c r="N66" s="47">
        <f t="shared" si="22"/>
        <v>234634.08000000002</v>
      </c>
      <c r="O66" s="17"/>
      <c r="P66" s="47">
        <f t="shared" si="23"/>
        <v>335415.04000000004</v>
      </c>
      <c r="Q66" s="17"/>
    </row>
    <row r="67" spans="2:17" ht="15.75" x14ac:dyDescent="0.25">
      <c r="B67" s="48" t="s">
        <v>133</v>
      </c>
      <c r="C67" s="17"/>
      <c r="D67" s="53">
        <f t="shared" si="14"/>
        <v>148354</v>
      </c>
      <c r="E67" s="54">
        <f t="shared" si="15"/>
        <v>3.4029161330331501</v>
      </c>
      <c r="F67" s="47">
        <f t="shared" si="16"/>
        <v>504836.22</v>
      </c>
      <c r="G67" s="17"/>
      <c r="H67" s="53">
        <f t="shared" si="17"/>
        <v>149943</v>
      </c>
      <c r="I67" s="54">
        <f t="shared" si="18"/>
        <v>0.77119332012831543</v>
      </c>
      <c r="J67" s="47">
        <f t="shared" si="19"/>
        <v>115635.04000000001</v>
      </c>
      <c r="K67" s="17"/>
      <c r="L67" s="53">
        <f t="shared" si="20"/>
        <v>149943</v>
      </c>
      <c r="M67" s="54">
        <f t="shared" si="21"/>
        <v>1.7951849702887099</v>
      </c>
      <c r="N67" s="47">
        <f t="shared" si="22"/>
        <v>269175.42000000004</v>
      </c>
      <c r="O67" s="17"/>
      <c r="P67" s="47">
        <f t="shared" si="23"/>
        <v>384810.46000000008</v>
      </c>
      <c r="Q67" s="17"/>
    </row>
    <row r="68" spans="2:17" ht="15.75" x14ac:dyDescent="0.25">
      <c r="B68" s="48" t="s">
        <v>134</v>
      </c>
      <c r="C68" s="17"/>
      <c r="D68" s="53">
        <f t="shared" si="14"/>
        <v>162195</v>
      </c>
      <c r="E68" s="54">
        <f t="shared" si="15"/>
        <v>3.4523588889916459</v>
      </c>
      <c r="F68" s="47">
        <f t="shared" si="16"/>
        <v>559955.35</v>
      </c>
      <c r="G68" s="17"/>
      <c r="H68" s="53">
        <f t="shared" si="17"/>
        <v>169429</v>
      </c>
      <c r="I68" s="54">
        <f t="shared" si="18"/>
        <v>0.78035660955326425</v>
      </c>
      <c r="J68" s="47">
        <f t="shared" si="19"/>
        <v>132215.04000000001</v>
      </c>
      <c r="K68" s="17"/>
      <c r="L68" s="53">
        <f t="shared" si="20"/>
        <v>169429</v>
      </c>
      <c r="M68" s="54">
        <f t="shared" si="21"/>
        <v>1.8158023714948446</v>
      </c>
      <c r="N68" s="47">
        <f t="shared" si="22"/>
        <v>307649.58</v>
      </c>
      <c r="O68" s="17"/>
      <c r="P68" s="47">
        <f t="shared" si="23"/>
        <v>439864.62</v>
      </c>
      <c r="Q68" s="17"/>
    </row>
    <row r="69" spans="2:17" ht="15.75" x14ac:dyDescent="0.25">
      <c r="B69" s="48" t="s">
        <v>135</v>
      </c>
      <c r="C69" s="17"/>
      <c r="D69" s="53">
        <f t="shared" si="14"/>
        <v>136402</v>
      </c>
      <c r="E69" s="54">
        <f t="shared" si="15"/>
        <v>3.4672704212548204</v>
      </c>
      <c r="F69" s="47">
        <f t="shared" si="16"/>
        <v>472942.62</v>
      </c>
      <c r="G69" s="17"/>
      <c r="H69" s="53">
        <f t="shared" si="17"/>
        <v>138113</v>
      </c>
      <c r="I69" s="54">
        <f t="shared" si="18"/>
        <v>0.78087942481880779</v>
      </c>
      <c r="J69" s="47">
        <f t="shared" si="19"/>
        <v>107849.60000000001</v>
      </c>
      <c r="K69" s="17"/>
      <c r="L69" s="53">
        <f t="shared" si="20"/>
        <v>138113</v>
      </c>
      <c r="M69" s="54">
        <f t="shared" si="21"/>
        <v>1.8169787058423175</v>
      </c>
      <c r="N69" s="47">
        <f t="shared" si="22"/>
        <v>250948.38</v>
      </c>
      <c r="O69" s="17"/>
      <c r="P69" s="47">
        <f t="shared" si="23"/>
        <v>358797.98</v>
      </c>
      <c r="Q69" s="17"/>
    </row>
    <row r="70" spans="2:17" ht="15.75" x14ac:dyDescent="0.25">
      <c r="B70" s="48" t="s">
        <v>136</v>
      </c>
      <c r="C70" s="17"/>
      <c r="D70" s="53">
        <f t="shared" si="14"/>
        <v>134039</v>
      </c>
      <c r="E70" s="54">
        <f t="shared" si="15"/>
        <v>3.4346826669849819</v>
      </c>
      <c r="F70" s="47">
        <f t="shared" si="16"/>
        <v>460381.43</v>
      </c>
      <c r="G70" s="17"/>
      <c r="H70" s="53">
        <f t="shared" si="17"/>
        <v>137726</v>
      </c>
      <c r="I70" s="54">
        <f t="shared" si="18"/>
        <v>0.77281326692127861</v>
      </c>
      <c r="J70" s="47">
        <f t="shared" si="19"/>
        <v>106436.48000000001</v>
      </c>
      <c r="K70" s="17"/>
      <c r="L70" s="53">
        <f t="shared" si="20"/>
        <v>137726</v>
      </c>
      <c r="M70" s="54">
        <f t="shared" si="21"/>
        <v>1.7988298505728766</v>
      </c>
      <c r="N70" s="47">
        <f t="shared" si="22"/>
        <v>247745.64</v>
      </c>
      <c r="O70" s="17"/>
      <c r="P70" s="47">
        <f t="shared" si="23"/>
        <v>354182.12</v>
      </c>
      <c r="Q70" s="17"/>
    </row>
    <row r="71" spans="2:17" ht="15.75" x14ac:dyDescent="0.25">
      <c r="B71" s="48" t="s">
        <v>137</v>
      </c>
      <c r="C71" s="17"/>
      <c r="D71" s="53">
        <f t="shared" si="14"/>
        <v>117380</v>
      </c>
      <c r="E71" s="54">
        <f t="shared" si="15"/>
        <v>3.3812581359686491</v>
      </c>
      <c r="F71" s="47">
        <f t="shared" si="16"/>
        <v>396892.08</v>
      </c>
      <c r="G71" s="17"/>
      <c r="H71" s="53">
        <f t="shared" si="17"/>
        <v>120728</v>
      </c>
      <c r="I71" s="54">
        <f t="shared" si="18"/>
        <v>0.76433635941952172</v>
      </c>
      <c r="J71" s="47">
        <f t="shared" si="19"/>
        <v>92276.800000000017</v>
      </c>
      <c r="K71" s="17"/>
      <c r="L71" s="53">
        <f t="shared" si="20"/>
        <v>120728</v>
      </c>
      <c r="M71" s="54">
        <f t="shared" si="21"/>
        <v>1.7797568086939237</v>
      </c>
      <c r="N71" s="47">
        <f t="shared" si="22"/>
        <v>214866.48</v>
      </c>
      <c r="O71" s="17"/>
      <c r="P71" s="47">
        <f t="shared" si="23"/>
        <v>307143.28000000003</v>
      </c>
      <c r="Q71" s="17"/>
    </row>
    <row r="72" spans="2:17" ht="15.75" x14ac:dyDescent="0.25">
      <c r="B72" s="48" t="s">
        <v>138</v>
      </c>
      <c r="C72" s="17"/>
      <c r="D72" s="53">
        <f t="shared" si="14"/>
        <v>126840</v>
      </c>
      <c r="E72" s="54">
        <f t="shared" si="15"/>
        <v>3.3889303058971931</v>
      </c>
      <c r="F72" s="47">
        <f t="shared" si="16"/>
        <v>429851.92</v>
      </c>
      <c r="G72" s="17"/>
      <c r="H72" s="53">
        <f t="shared" si="17"/>
        <v>129092</v>
      </c>
      <c r="I72" s="54">
        <f t="shared" si="18"/>
        <v>0.76905028971586165</v>
      </c>
      <c r="J72" s="47">
        <f t="shared" si="19"/>
        <v>99278.24</v>
      </c>
      <c r="K72" s="17"/>
      <c r="L72" s="53">
        <f t="shared" si="20"/>
        <v>129092</v>
      </c>
      <c r="M72" s="54">
        <f t="shared" si="21"/>
        <v>1.7903631518606884</v>
      </c>
      <c r="N72" s="47">
        <f t="shared" si="22"/>
        <v>231121.56</v>
      </c>
      <c r="O72" s="17"/>
      <c r="P72" s="47">
        <f t="shared" si="23"/>
        <v>330399.8</v>
      </c>
      <c r="Q72" s="17"/>
    </row>
    <row r="73" spans="2:17" ht="15.75" x14ac:dyDescent="0.25">
      <c r="B73" s="48" t="s">
        <v>139</v>
      </c>
      <c r="C73" s="17"/>
      <c r="D73" s="53">
        <f t="shared" si="14"/>
        <v>119470</v>
      </c>
      <c r="E73" s="54">
        <f t="shared" si="15"/>
        <v>3.4515096676990038</v>
      </c>
      <c r="F73" s="47">
        <f t="shared" si="16"/>
        <v>412351.86</v>
      </c>
      <c r="G73" s="17"/>
      <c r="H73" s="53">
        <f t="shared" si="17"/>
        <v>119520</v>
      </c>
      <c r="I73" s="54">
        <f t="shared" si="18"/>
        <v>0.77933467202141915</v>
      </c>
      <c r="J73" s="47">
        <f t="shared" si="19"/>
        <v>93146.080000000016</v>
      </c>
      <c r="K73" s="17"/>
      <c r="L73" s="53">
        <f t="shared" si="20"/>
        <v>119520</v>
      </c>
      <c r="M73" s="54">
        <f t="shared" si="21"/>
        <v>1.8135030120481928</v>
      </c>
      <c r="N73" s="47">
        <f t="shared" si="22"/>
        <v>216749.88</v>
      </c>
      <c r="O73" s="17"/>
      <c r="P73" s="47">
        <f t="shared" si="23"/>
        <v>309895.96000000002</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1530086</v>
      </c>
      <c r="E75" s="51">
        <f>IF(D75&lt;&gt;0,F75/D75,0)</f>
        <v>3.4234985353764431</v>
      </c>
      <c r="F75" s="52">
        <f>SUM(F62:F73)</f>
        <v>5238247.1800000006</v>
      </c>
      <c r="G75" s="17"/>
      <c r="H75" s="50">
        <f>SUM(H62:H73)</f>
        <v>1564569</v>
      </c>
      <c r="I75" s="51">
        <f>IF(H75&lt;&gt;0,J75/H75,0)</f>
        <v>0.77398102608450003</v>
      </c>
      <c r="J75" s="52">
        <f>SUM(J62:J73)</f>
        <v>1210946.7200000002</v>
      </c>
      <c r="K75" s="17"/>
      <c r="L75" s="50">
        <f>SUM(L62:L73)</f>
        <v>1564569</v>
      </c>
      <c r="M75" s="51">
        <f>IF(L75&lt;&gt;0,N75/L75,0)</f>
        <v>1.8014573086901251</v>
      </c>
      <c r="N75" s="52">
        <f>SUM(N62:N73)</f>
        <v>2818504.2600000002</v>
      </c>
      <c r="O75" s="17"/>
      <c r="P75" s="52">
        <f>SUM(P62:P73)</f>
        <v>4029450.9800000004</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L13"/>
    <mergeCell ref="D20:F20"/>
    <mergeCell ref="H20:J20"/>
    <mergeCell ref="L20:N20"/>
    <mergeCell ref="D39:F39"/>
    <mergeCell ref="H39:J39"/>
    <mergeCell ref="L39:N39"/>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35" activePane="bottomLeft" state="frozenSplit"/>
      <selection activeCell="I48" sqref="I48"/>
      <selection pane="bottomLeft" activeCell="B17" sqref="B17"/>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173" t="s">
        <v>227</v>
      </c>
      <c r="C13" s="173"/>
      <c r="D13" s="173"/>
      <c r="E13" s="173"/>
      <c r="F13" s="173"/>
      <c r="G13" s="173"/>
      <c r="H13" s="173"/>
      <c r="I13" s="173"/>
      <c r="J13" s="173"/>
      <c r="K13" s="173"/>
      <c r="L13" s="173"/>
      <c r="M13" s="173"/>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99142</v>
      </c>
      <c r="E24" s="89">
        <f>'5. UTRs and Sub-Transmission'!I22</f>
        <v>3.63</v>
      </c>
      <c r="F24" s="90">
        <f t="shared" ref="F24:F35" si="0">D24*E24</f>
        <v>359885.45999999996</v>
      </c>
      <c r="G24" s="17"/>
      <c r="H24" s="88">
        <f>'6. Historical Wholesale'!H24</f>
        <v>99735</v>
      </c>
      <c r="I24" s="89">
        <f>'5. UTRs and Sub-Transmission'!I24</f>
        <v>0.75</v>
      </c>
      <c r="J24" s="90">
        <f t="shared" ref="J24:J35" si="1">H24*I24</f>
        <v>74801.25</v>
      </c>
      <c r="K24" s="17"/>
      <c r="L24" s="88">
        <f>'6. Historical Wholesale'!L24</f>
        <v>99735</v>
      </c>
      <c r="M24" s="89">
        <f>'5. UTRs and Sub-Transmission'!I26</f>
        <v>1.85</v>
      </c>
      <c r="N24" s="90">
        <f t="shared" ref="N24:N35" si="2">L24*M24</f>
        <v>184509.75</v>
      </c>
      <c r="O24" s="17"/>
      <c r="P24" s="47">
        <f t="shared" ref="P24:P35" si="3">J24+N24</f>
        <v>259311</v>
      </c>
      <c r="Q24" s="17"/>
    </row>
    <row r="25" spans="2:17" ht="15.75" x14ac:dyDescent="0.25">
      <c r="B25" s="48" t="s">
        <v>129</v>
      </c>
      <c r="C25" s="17"/>
      <c r="D25" s="88">
        <f>'6. Historical Wholesale'!D25</f>
        <v>99111</v>
      </c>
      <c r="E25" s="89">
        <f t="shared" ref="E25:E35" si="4">E24</f>
        <v>3.63</v>
      </c>
      <c r="F25" s="90">
        <f t="shared" si="0"/>
        <v>359772.93</v>
      </c>
      <c r="G25" s="17"/>
      <c r="H25" s="88">
        <f>'6. Historical Wholesale'!H25</f>
        <v>99745</v>
      </c>
      <c r="I25" s="89">
        <f t="shared" ref="I25:I35" si="5">I24</f>
        <v>0.75</v>
      </c>
      <c r="J25" s="90">
        <f t="shared" si="1"/>
        <v>74808.75</v>
      </c>
      <c r="K25" s="17"/>
      <c r="L25" s="88">
        <f>'6. Historical Wholesale'!L25</f>
        <v>99745</v>
      </c>
      <c r="M25" s="89">
        <f t="shared" ref="M25:M35" si="6">M24</f>
        <v>1.85</v>
      </c>
      <c r="N25" s="90">
        <f t="shared" si="2"/>
        <v>184528.25</v>
      </c>
      <c r="O25" s="17"/>
      <c r="P25" s="47">
        <f t="shared" si="3"/>
        <v>259337</v>
      </c>
      <c r="Q25" s="17"/>
    </row>
    <row r="26" spans="2:17" ht="15.75" x14ac:dyDescent="0.25">
      <c r="B26" s="48" t="s">
        <v>130</v>
      </c>
      <c r="C26" s="17"/>
      <c r="D26" s="88">
        <f>'6. Historical Wholesale'!D26</f>
        <v>95885</v>
      </c>
      <c r="E26" s="89">
        <f t="shared" si="4"/>
        <v>3.63</v>
      </c>
      <c r="F26" s="90">
        <f t="shared" si="0"/>
        <v>348062.55</v>
      </c>
      <c r="G26" s="17"/>
      <c r="H26" s="88">
        <f>'6. Historical Wholesale'!H26</f>
        <v>100542</v>
      </c>
      <c r="I26" s="89">
        <f t="shared" si="5"/>
        <v>0.75</v>
      </c>
      <c r="J26" s="90">
        <f t="shared" si="1"/>
        <v>75406.5</v>
      </c>
      <c r="K26" s="17"/>
      <c r="L26" s="88">
        <f>'6. Historical Wholesale'!L26</f>
        <v>100542</v>
      </c>
      <c r="M26" s="89">
        <f t="shared" si="6"/>
        <v>1.85</v>
      </c>
      <c r="N26" s="90">
        <f t="shared" si="2"/>
        <v>186002.7</v>
      </c>
      <c r="O26" s="17"/>
      <c r="P26" s="47">
        <f t="shared" si="3"/>
        <v>261409.2</v>
      </c>
      <c r="Q26" s="17"/>
    </row>
    <row r="27" spans="2:17" ht="15.75" x14ac:dyDescent="0.25">
      <c r="B27" s="48" t="s">
        <v>131</v>
      </c>
      <c r="C27" s="17"/>
      <c r="D27" s="88">
        <f>'6. Historical Wholesale'!D27</f>
        <v>90987</v>
      </c>
      <c r="E27" s="89">
        <f t="shared" si="4"/>
        <v>3.63</v>
      </c>
      <c r="F27" s="90">
        <f t="shared" si="0"/>
        <v>330282.81</v>
      </c>
      <c r="G27" s="17"/>
      <c r="H27" s="88">
        <f>'6. Historical Wholesale'!H27</f>
        <v>95837</v>
      </c>
      <c r="I27" s="89">
        <f t="shared" si="5"/>
        <v>0.75</v>
      </c>
      <c r="J27" s="90">
        <f t="shared" si="1"/>
        <v>71877.75</v>
      </c>
      <c r="K27" s="17"/>
      <c r="L27" s="88">
        <f>'6. Historical Wholesale'!L27</f>
        <v>95837</v>
      </c>
      <c r="M27" s="89">
        <f t="shared" si="6"/>
        <v>1.85</v>
      </c>
      <c r="N27" s="90">
        <f t="shared" si="2"/>
        <v>177298.45</v>
      </c>
      <c r="O27" s="17"/>
      <c r="P27" s="47">
        <f t="shared" si="3"/>
        <v>249176.2</v>
      </c>
      <c r="Q27" s="17"/>
    </row>
    <row r="28" spans="2:17" ht="15.75" x14ac:dyDescent="0.25">
      <c r="B28" s="48" t="s">
        <v>132</v>
      </c>
      <c r="C28" s="17"/>
      <c r="D28" s="88">
        <f>'6. Historical Wholesale'!D28</f>
        <v>103690</v>
      </c>
      <c r="E28" s="89">
        <f t="shared" si="4"/>
        <v>3.63</v>
      </c>
      <c r="F28" s="90">
        <f t="shared" si="0"/>
        <v>376394.7</v>
      </c>
      <c r="G28" s="17"/>
      <c r="H28" s="88">
        <f>'6. Historical Wholesale'!H28</f>
        <v>104753</v>
      </c>
      <c r="I28" s="89">
        <f t="shared" si="5"/>
        <v>0.75</v>
      </c>
      <c r="J28" s="90">
        <f t="shared" si="1"/>
        <v>78564.75</v>
      </c>
      <c r="K28" s="17"/>
      <c r="L28" s="88">
        <f>'6. Historical Wholesale'!L28</f>
        <v>104753</v>
      </c>
      <c r="M28" s="89">
        <f t="shared" si="6"/>
        <v>1.85</v>
      </c>
      <c r="N28" s="90">
        <f t="shared" si="2"/>
        <v>193793.05000000002</v>
      </c>
      <c r="O28" s="17"/>
      <c r="P28" s="47">
        <f t="shared" si="3"/>
        <v>272357.80000000005</v>
      </c>
      <c r="Q28" s="17"/>
    </row>
    <row r="29" spans="2:17" ht="15.75" x14ac:dyDescent="0.25">
      <c r="B29" s="48" t="s">
        <v>133</v>
      </c>
      <c r="C29" s="17"/>
      <c r="D29" s="88">
        <f>'6. Historical Wholesale'!D29</f>
        <v>121411</v>
      </c>
      <c r="E29" s="89">
        <f t="shared" si="4"/>
        <v>3.63</v>
      </c>
      <c r="F29" s="90">
        <f t="shared" si="0"/>
        <v>440721.93</v>
      </c>
      <c r="G29" s="17"/>
      <c r="H29" s="88">
        <f>'6. Historical Wholesale'!H29</f>
        <v>122947</v>
      </c>
      <c r="I29" s="89">
        <f t="shared" si="5"/>
        <v>0.75</v>
      </c>
      <c r="J29" s="90">
        <f t="shared" si="1"/>
        <v>92210.25</v>
      </c>
      <c r="K29" s="17"/>
      <c r="L29" s="88">
        <f>'6. Historical Wholesale'!L29</f>
        <v>122947</v>
      </c>
      <c r="M29" s="89">
        <f t="shared" si="6"/>
        <v>1.85</v>
      </c>
      <c r="N29" s="90">
        <f t="shared" si="2"/>
        <v>227451.95</v>
      </c>
      <c r="O29" s="17"/>
      <c r="P29" s="47">
        <f t="shared" si="3"/>
        <v>319662.2</v>
      </c>
      <c r="Q29" s="17"/>
    </row>
    <row r="30" spans="2:17" ht="15.75" x14ac:dyDescent="0.25">
      <c r="B30" s="48" t="s">
        <v>134</v>
      </c>
      <c r="C30" s="17"/>
      <c r="D30" s="88">
        <f>'6. Historical Wholesale'!D30</f>
        <v>141455</v>
      </c>
      <c r="E30" s="89">
        <f t="shared" si="4"/>
        <v>3.63</v>
      </c>
      <c r="F30" s="90">
        <f t="shared" si="0"/>
        <v>513481.64999999997</v>
      </c>
      <c r="G30" s="17"/>
      <c r="H30" s="88">
        <f>'6. Historical Wholesale'!H30</f>
        <v>148628</v>
      </c>
      <c r="I30" s="89">
        <f t="shared" si="5"/>
        <v>0.75</v>
      </c>
      <c r="J30" s="90">
        <f t="shared" si="1"/>
        <v>111471</v>
      </c>
      <c r="K30" s="17"/>
      <c r="L30" s="88">
        <f>'6. Historical Wholesale'!L30</f>
        <v>148628</v>
      </c>
      <c r="M30" s="89">
        <f t="shared" si="6"/>
        <v>1.85</v>
      </c>
      <c r="N30" s="90">
        <f t="shared" si="2"/>
        <v>274961.8</v>
      </c>
      <c r="O30" s="17"/>
      <c r="P30" s="47">
        <f t="shared" si="3"/>
        <v>386432.8</v>
      </c>
      <c r="Q30" s="17"/>
    </row>
    <row r="31" spans="2:17" ht="15.75" x14ac:dyDescent="0.25">
      <c r="B31" s="48" t="s">
        <v>135</v>
      </c>
      <c r="C31" s="17"/>
      <c r="D31" s="88">
        <f>'6. Historical Wholesale'!D31</f>
        <v>121171</v>
      </c>
      <c r="E31" s="89">
        <f t="shared" si="4"/>
        <v>3.63</v>
      </c>
      <c r="F31" s="90">
        <f t="shared" si="0"/>
        <v>439850.73</v>
      </c>
      <c r="G31" s="17"/>
      <c r="H31" s="88">
        <f>'6. Historical Wholesale'!H31</f>
        <v>121608</v>
      </c>
      <c r="I31" s="89">
        <f t="shared" si="5"/>
        <v>0.75</v>
      </c>
      <c r="J31" s="90">
        <f t="shared" si="1"/>
        <v>91206</v>
      </c>
      <c r="K31" s="17"/>
      <c r="L31" s="88">
        <f>'6. Historical Wholesale'!L31</f>
        <v>121608</v>
      </c>
      <c r="M31" s="89">
        <f t="shared" si="6"/>
        <v>1.85</v>
      </c>
      <c r="N31" s="90">
        <f t="shared" si="2"/>
        <v>224974.80000000002</v>
      </c>
      <c r="O31" s="17"/>
      <c r="P31" s="47">
        <f t="shared" si="3"/>
        <v>316180.80000000005</v>
      </c>
      <c r="Q31" s="17"/>
    </row>
    <row r="32" spans="2:17" ht="15.75" x14ac:dyDescent="0.25">
      <c r="B32" s="48" t="s">
        <v>136</v>
      </c>
      <c r="C32" s="17"/>
      <c r="D32" s="88">
        <f>'6. Historical Wholesale'!D32</f>
        <v>114324</v>
      </c>
      <c r="E32" s="89">
        <f t="shared" si="4"/>
        <v>3.63</v>
      </c>
      <c r="F32" s="90">
        <f t="shared" si="0"/>
        <v>414996.12</v>
      </c>
      <c r="G32" s="17"/>
      <c r="H32" s="88">
        <f>'6. Historical Wholesale'!H32</f>
        <v>114324</v>
      </c>
      <c r="I32" s="89">
        <f t="shared" si="5"/>
        <v>0.75</v>
      </c>
      <c r="J32" s="90">
        <f t="shared" si="1"/>
        <v>85743</v>
      </c>
      <c r="K32" s="17"/>
      <c r="L32" s="88">
        <f>'6. Historical Wholesale'!L32</f>
        <v>114324</v>
      </c>
      <c r="M32" s="89">
        <f t="shared" si="6"/>
        <v>1.85</v>
      </c>
      <c r="N32" s="90">
        <f t="shared" si="2"/>
        <v>211499.40000000002</v>
      </c>
      <c r="O32" s="17"/>
      <c r="P32" s="47">
        <f t="shared" si="3"/>
        <v>297242.40000000002</v>
      </c>
      <c r="Q32" s="17"/>
    </row>
    <row r="33" spans="2:17" ht="15.75" x14ac:dyDescent="0.25">
      <c r="B33" s="48" t="s">
        <v>137</v>
      </c>
      <c r="C33" s="17"/>
      <c r="D33" s="88">
        <f>'6. Historical Wholesale'!D33</f>
        <v>93299</v>
      </c>
      <c r="E33" s="89">
        <f t="shared" si="4"/>
        <v>3.63</v>
      </c>
      <c r="F33" s="90">
        <f t="shared" si="0"/>
        <v>338675.37</v>
      </c>
      <c r="G33" s="17"/>
      <c r="H33" s="88">
        <f>'6. Historical Wholesale'!H33</f>
        <v>93818</v>
      </c>
      <c r="I33" s="89">
        <f t="shared" si="5"/>
        <v>0.75</v>
      </c>
      <c r="J33" s="90">
        <f t="shared" si="1"/>
        <v>70363.5</v>
      </c>
      <c r="K33" s="17"/>
      <c r="L33" s="88">
        <f>'6. Historical Wholesale'!L33</f>
        <v>93818</v>
      </c>
      <c r="M33" s="89">
        <f t="shared" si="6"/>
        <v>1.85</v>
      </c>
      <c r="N33" s="90">
        <f t="shared" si="2"/>
        <v>173563.30000000002</v>
      </c>
      <c r="O33" s="17"/>
      <c r="P33" s="47">
        <f t="shared" si="3"/>
        <v>243926.80000000002</v>
      </c>
      <c r="Q33" s="17"/>
    </row>
    <row r="34" spans="2:17" ht="15.75" x14ac:dyDescent="0.25">
      <c r="B34" s="48" t="s">
        <v>138</v>
      </c>
      <c r="C34" s="17"/>
      <c r="D34" s="88">
        <f>'6. Historical Wholesale'!D34</f>
        <v>101876</v>
      </c>
      <c r="E34" s="89">
        <f t="shared" si="4"/>
        <v>3.63</v>
      </c>
      <c r="F34" s="90">
        <f t="shared" si="0"/>
        <v>369809.88</v>
      </c>
      <c r="G34" s="17"/>
      <c r="H34" s="88">
        <f>'6. Historical Wholesale'!H34</f>
        <v>104121</v>
      </c>
      <c r="I34" s="89">
        <f t="shared" si="5"/>
        <v>0.75</v>
      </c>
      <c r="J34" s="90">
        <f t="shared" si="1"/>
        <v>78090.75</v>
      </c>
      <c r="K34" s="17"/>
      <c r="L34" s="88">
        <f>'6. Historical Wholesale'!L34</f>
        <v>104121</v>
      </c>
      <c r="M34" s="89">
        <f t="shared" si="6"/>
        <v>1.85</v>
      </c>
      <c r="N34" s="90">
        <f t="shared" si="2"/>
        <v>192623.85</v>
      </c>
      <c r="O34" s="17"/>
      <c r="P34" s="47">
        <f t="shared" si="3"/>
        <v>270714.59999999998</v>
      </c>
      <c r="Q34" s="17"/>
    </row>
    <row r="35" spans="2:17" ht="15.75" x14ac:dyDescent="0.25">
      <c r="B35" s="48" t="s">
        <v>139</v>
      </c>
      <c r="C35" s="17"/>
      <c r="D35" s="88">
        <f>'6. Historical Wholesale'!D35</f>
        <v>104083</v>
      </c>
      <c r="E35" s="89">
        <f t="shared" si="4"/>
        <v>3.63</v>
      </c>
      <c r="F35" s="90">
        <f t="shared" si="0"/>
        <v>377821.29</v>
      </c>
      <c r="G35" s="17"/>
      <c r="H35" s="88">
        <f>'6. Historical Wholesale'!H35</f>
        <v>104083</v>
      </c>
      <c r="I35" s="89">
        <f t="shared" si="5"/>
        <v>0.75</v>
      </c>
      <c r="J35" s="90">
        <f t="shared" si="1"/>
        <v>78062.25</v>
      </c>
      <c r="K35" s="17"/>
      <c r="L35" s="88">
        <f>'6. Historical Wholesale'!L35</f>
        <v>104083</v>
      </c>
      <c r="M35" s="89">
        <f t="shared" si="6"/>
        <v>1.85</v>
      </c>
      <c r="N35" s="90">
        <f t="shared" si="2"/>
        <v>192553.55000000002</v>
      </c>
      <c r="O35" s="17"/>
      <c r="P35" s="47">
        <f t="shared" si="3"/>
        <v>270615.80000000005</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1286434</v>
      </c>
      <c r="E37" s="51">
        <f>IF(D37&lt;&gt;0,F37/D37,0)</f>
        <v>3.63</v>
      </c>
      <c r="F37" s="52">
        <f>SUM(F24:F35)</f>
        <v>4669755.42</v>
      </c>
      <c r="G37" s="17"/>
      <c r="H37" s="50">
        <f>SUM(H24:H35)</f>
        <v>1310141</v>
      </c>
      <c r="I37" s="51">
        <f>IF(H37&lt;&gt;0,J37/H37,0)</f>
        <v>0.75</v>
      </c>
      <c r="J37" s="52">
        <f>SUM(J24:J35)</f>
        <v>982605.75</v>
      </c>
      <c r="K37" s="17"/>
      <c r="L37" s="50">
        <f>SUM(L24:L35)</f>
        <v>1310141</v>
      </c>
      <c r="M37" s="51">
        <f>IF(L37&lt;&gt;0,N37/L37,0)</f>
        <v>1.8499999999999996</v>
      </c>
      <c r="N37" s="52">
        <f>SUM(N24:N35)</f>
        <v>2423760.8499999996</v>
      </c>
      <c r="O37" s="17"/>
      <c r="P37" s="52">
        <f>SUM(P24:P35)</f>
        <v>3406366.5999999996</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7"/>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19660</v>
      </c>
      <c r="E43" s="89">
        <f>'5. UTRs and Sub-Transmission'!I35+'5. UTRs and Sub-Transmission'!I49</f>
        <v>3.18</v>
      </c>
      <c r="F43" s="90">
        <f t="shared" ref="F43:F54" si="7">D43*E43</f>
        <v>62518.8</v>
      </c>
      <c r="G43" s="17"/>
      <c r="H43" s="88">
        <f>'6. Historical Wholesale'!H43</f>
        <v>20198</v>
      </c>
      <c r="I43" s="89">
        <f>'5. UTRs and Sub-Transmission'!I37+'5. UTRs and Sub-Transmission'!I51</f>
        <v>0.7</v>
      </c>
      <c r="J43" s="90">
        <f t="shared" ref="J43:J54" si="8">H43*I43</f>
        <v>14138.599999999999</v>
      </c>
      <c r="K43" s="17"/>
      <c r="L43" s="88">
        <f>'6. Historical Wholesale'!L43</f>
        <v>20198</v>
      </c>
      <c r="M43" s="89">
        <f>'5. UTRs and Sub-Transmission'!I39</f>
        <v>1.63</v>
      </c>
      <c r="N43" s="90">
        <f t="shared" ref="N43:N54" si="9">L43*M43</f>
        <v>32922.74</v>
      </c>
      <c r="O43" s="17"/>
      <c r="P43" s="47">
        <f t="shared" ref="P43:P54" si="10">J43+N43</f>
        <v>47061.34</v>
      </c>
      <c r="Q43" s="17"/>
    </row>
    <row r="44" spans="2:17" ht="15.75" x14ac:dyDescent="0.25">
      <c r="B44" s="48" t="s">
        <v>129</v>
      </c>
      <c r="C44" s="17"/>
      <c r="D44" s="88">
        <f>'6. Historical Wholesale'!D44</f>
        <v>19070</v>
      </c>
      <c r="E44" s="89">
        <f t="shared" ref="E44:E54" si="11">E43</f>
        <v>3.18</v>
      </c>
      <c r="F44" s="90">
        <f t="shared" si="7"/>
        <v>60642.600000000006</v>
      </c>
      <c r="G44" s="17"/>
      <c r="H44" s="88">
        <f>'6. Historical Wholesale'!H44</f>
        <v>19070</v>
      </c>
      <c r="I44" s="89">
        <f t="shared" ref="I44:I54" si="12">I43</f>
        <v>0.7</v>
      </c>
      <c r="J44" s="90">
        <f t="shared" si="8"/>
        <v>13349</v>
      </c>
      <c r="K44" s="17"/>
      <c r="L44" s="88">
        <f>'6. Historical Wholesale'!L44</f>
        <v>19070</v>
      </c>
      <c r="M44" s="89">
        <f t="shared" ref="M44:M54" si="13">M43</f>
        <v>1.63</v>
      </c>
      <c r="N44" s="90">
        <f t="shared" si="9"/>
        <v>31084.1</v>
      </c>
      <c r="O44" s="17"/>
      <c r="P44" s="47">
        <f t="shared" si="10"/>
        <v>44433.1</v>
      </c>
      <c r="Q44" s="17"/>
    </row>
    <row r="45" spans="2:17" ht="15.75" x14ac:dyDescent="0.25">
      <c r="B45" s="48" t="s">
        <v>130</v>
      </c>
      <c r="C45" s="17"/>
      <c r="D45" s="88">
        <f>'6. Historical Wholesale'!D45</f>
        <v>16237</v>
      </c>
      <c r="E45" s="89">
        <f t="shared" si="11"/>
        <v>3.18</v>
      </c>
      <c r="F45" s="90">
        <f t="shared" si="7"/>
        <v>51633.66</v>
      </c>
      <c r="G45" s="17"/>
      <c r="H45" s="88">
        <f>'6. Historical Wholesale'!H45</f>
        <v>16464</v>
      </c>
      <c r="I45" s="89">
        <f t="shared" si="12"/>
        <v>0.7</v>
      </c>
      <c r="J45" s="90">
        <f t="shared" si="8"/>
        <v>11524.8</v>
      </c>
      <c r="K45" s="17"/>
      <c r="L45" s="88">
        <f>'6. Historical Wholesale'!L45</f>
        <v>16464</v>
      </c>
      <c r="M45" s="89">
        <f t="shared" si="13"/>
        <v>1.63</v>
      </c>
      <c r="N45" s="90">
        <f t="shared" si="9"/>
        <v>26836.32</v>
      </c>
      <c r="O45" s="17"/>
      <c r="P45" s="47">
        <f t="shared" si="10"/>
        <v>38361.119999999995</v>
      </c>
      <c r="Q45" s="17"/>
    </row>
    <row r="46" spans="2:17" ht="15.75" x14ac:dyDescent="0.25">
      <c r="B46" s="48" t="s">
        <v>131</v>
      </c>
      <c r="C46" s="17"/>
      <c r="D46" s="88">
        <f>'6. Historical Wholesale'!D46</f>
        <v>15454</v>
      </c>
      <c r="E46" s="89">
        <f t="shared" si="11"/>
        <v>3.18</v>
      </c>
      <c r="F46" s="90">
        <f t="shared" si="7"/>
        <v>49143.72</v>
      </c>
      <c r="G46" s="17"/>
      <c r="H46" s="88">
        <f>'6. Historical Wholesale'!H46</f>
        <v>17145</v>
      </c>
      <c r="I46" s="89">
        <f t="shared" si="12"/>
        <v>0.7</v>
      </c>
      <c r="J46" s="90">
        <f t="shared" si="8"/>
        <v>12001.5</v>
      </c>
      <c r="K46" s="17"/>
      <c r="L46" s="88">
        <f>'6. Historical Wholesale'!L46</f>
        <v>17145</v>
      </c>
      <c r="M46" s="89">
        <f t="shared" si="13"/>
        <v>1.63</v>
      </c>
      <c r="N46" s="90">
        <f t="shared" si="9"/>
        <v>27946.35</v>
      </c>
      <c r="O46" s="17"/>
      <c r="P46" s="47">
        <f t="shared" si="10"/>
        <v>39947.85</v>
      </c>
      <c r="Q46" s="17"/>
    </row>
    <row r="47" spans="2:17" ht="15.75" x14ac:dyDescent="0.25">
      <c r="B47" s="48" t="s">
        <v>132</v>
      </c>
      <c r="C47" s="17"/>
      <c r="D47" s="88">
        <f>'6. Historical Wholesale'!D47</f>
        <v>26170</v>
      </c>
      <c r="E47" s="89">
        <f t="shared" si="11"/>
        <v>3.18</v>
      </c>
      <c r="F47" s="90">
        <f t="shared" si="7"/>
        <v>83220.600000000006</v>
      </c>
      <c r="G47" s="17"/>
      <c r="H47" s="88">
        <f>'6. Historical Wholesale'!H47</f>
        <v>26529</v>
      </c>
      <c r="I47" s="89">
        <f t="shared" si="12"/>
        <v>0.7</v>
      </c>
      <c r="J47" s="90">
        <f t="shared" si="8"/>
        <v>18570.3</v>
      </c>
      <c r="K47" s="17"/>
      <c r="L47" s="88">
        <f>'6. Historical Wholesale'!L47</f>
        <v>26529</v>
      </c>
      <c r="M47" s="89">
        <f t="shared" si="13"/>
        <v>1.63</v>
      </c>
      <c r="N47" s="90">
        <f t="shared" si="9"/>
        <v>43242.27</v>
      </c>
      <c r="O47" s="17"/>
      <c r="P47" s="47">
        <f t="shared" si="10"/>
        <v>61812.569999999992</v>
      </c>
      <c r="Q47" s="17"/>
    </row>
    <row r="48" spans="2:17" ht="15.75" x14ac:dyDescent="0.25">
      <c r="B48" s="48" t="s">
        <v>133</v>
      </c>
      <c r="C48" s="17"/>
      <c r="D48" s="88">
        <f>'6. Historical Wholesale'!D48</f>
        <v>26943</v>
      </c>
      <c r="E48" s="89">
        <f t="shared" si="11"/>
        <v>3.18</v>
      </c>
      <c r="F48" s="90">
        <f t="shared" si="7"/>
        <v>85678.74</v>
      </c>
      <c r="G48" s="17"/>
      <c r="H48" s="88">
        <f>'6. Historical Wholesale'!H48</f>
        <v>26996</v>
      </c>
      <c r="I48" s="89">
        <f t="shared" si="12"/>
        <v>0.7</v>
      </c>
      <c r="J48" s="90">
        <f t="shared" si="8"/>
        <v>18897.199999999997</v>
      </c>
      <c r="K48" s="17"/>
      <c r="L48" s="88">
        <f>'6. Historical Wholesale'!L48</f>
        <v>26996</v>
      </c>
      <c r="M48" s="89">
        <f t="shared" si="13"/>
        <v>1.63</v>
      </c>
      <c r="N48" s="90">
        <f t="shared" si="9"/>
        <v>44003.479999999996</v>
      </c>
      <c r="O48" s="17"/>
      <c r="P48" s="47">
        <f t="shared" si="10"/>
        <v>62900.679999999993</v>
      </c>
      <c r="Q48" s="17"/>
    </row>
    <row r="49" spans="2:17" ht="15.75" x14ac:dyDescent="0.25">
      <c r="B49" s="48" t="s">
        <v>134</v>
      </c>
      <c r="C49" s="17"/>
      <c r="D49" s="88">
        <f>'6. Historical Wholesale'!D49</f>
        <v>20740</v>
      </c>
      <c r="E49" s="89">
        <f t="shared" si="11"/>
        <v>3.18</v>
      </c>
      <c r="F49" s="90">
        <f t="shared" si="7"/>
        <v>65953.2</v>
      </c>
      <c r="G49" s="17"/>
      <c r="H49" s="88">
        <f>'6. Historical Wholesale'!H49</f>
        <v>20801</v>
      </c>
      <c r="I49" s="89">
        <f t="shared" si="12"/>
        <v>0.7</v>
      </c>
      <c r="J49" s="90">
        <f t="shared" si="8"/>
        <v>14560.699999999999</v>
      </c>
      <c r="K49" s="17"/>
      <c r="L49" s="88">
        <f>'6. Historical Wholesale'!L49</f>
        <v>20801</v>
      </c>
      <c r="M49" s="89">
        <f t="shared" si="13"/>
        <v>1.63</v>
      </c>
      <c r="N49" s="90">
        <f t="shared" si="9"/>
        <v>33905.629999999997</v>
      </c>
      <c r="O49" s="17"/>
      <c r="P49" s="47">
        <f t="shared" si="10"/>
        <v>48466.329999999994</v>
      </c>
      <c r="Q49" s="17"/>
    </row>
    <row r="50" spans="2:17" ht="15.75" x14ac:dyDescent="0.25">
      <c r="B50" s="48" t="s">
        <v>135</v>
      </c>
      <c r="C50" s="17"/>
      <c r="D50" s="88">
        <f>'6. Historical Wholesale'!D50</f>
        <v>15231</v>
      </c>
      <c r="E50" s="89">
        <f t="shared" si="11"/>
        <v>3.18</v>
      </c>
      <c r="F50" s="90">
        <f t="shared" si="7"/>
        <v>48434.58</v>
      </c>
      <c r="G50" s="17"/>
      <c r="H50" s="88">
        <f>'6. Historical Wholesale'!H50</f>
        <v>16505</v>
      </c>
      <c r="I50" s="89">
        <f t="shared" si="12"/>
        <v>0.7</v>
      </c>
      <c r="J50" s="90">
        <f t="shared" si="8"/>
        <v>11553.5</v>
      </c>
      <c r="K50" s="17"/>
      <c r="L50" s="88">
        <f>'6. Historical Wholesale'!L50</f>
        <v>16505</v>
      </c>
      <c r="M50" s="89">
        <f t="shared" si="13"/>
        <v>1.63</v>
      </c>
      <c r="N50" s="90">
        <f t="shared" si="9"/>
        <v>26903.149999999998</v>
      </c>
      <c r="O50" s="17"/>
      <c r="P50" s="47">
        <f t="shared" si="10"/>
        <v>38456.649999999994</v>
      </c>
      <c r="Q50" s="17"/>
    </row>
    <row r="51" spans="2:17" ht="15.75" x14ac:dyDescent="0.25">
      <c r="B51" s="48" t="s">
        <v>136</v>
      </c>
      <c r="C51" s="17"/>
      <c r="D51" s="88">
        <f>'6. Historical Wholesale'!D51</f>
        <v>19715</v>
      </c>
      <c r="E51" s="89">
        <f t="shared" si="11"/>
        <v>3.18</v>
      </c>
      <c r="F51" s="90">
        <f t="shared" si="7"/>
        <v>62693.700000000004</v>
      </c>
      <c r="G51" s="17"/>
      <c r="H51" s="88">
        <f>'6. Historical Wholesale'!H51</f>
        <v>23402</v>
      </c>
      <c r="I51" s="89">
        <f t="shared" si="12"/>
        <v>0.7</v>
      </c>
      <c r="J51" s="90">
        <f t="shared" si="8"/>
        <v>16381.4</v>
      </c>
      <c r="K51" s="17"/>
      <c r="L51" s="88">
        <f>'6. Historical Wholesale'!L51</f>
        <v>23402</v>
      </c>
      <c r="M51" s="89">
        <f t="shared" si="13"/>
        <v>1.63</v>
      </c>
      <c r="N51" s="90">
        <f t="shared" si="9"/>
        <v>38145.259999999995</v>
      </c>
      <c r="O51" s="17"/>
      <c r="P51" s="47">
        <f t="shared" si="10"/>
        <v>54526.659999999996</v>
      </c>
      <c r="Q51" s="17"/>
    </row>
    <row r="52" spans="2:17" ht="15.75" x14ac:dyDescent="0.25">
      <c r="B52" s="48" t="s">
        <v>137</v>
      </c>
      <c r="C52" s="17"/>
      <c r="D52" s="88">
        <f>'6. Historical Wholesale'!D52</f>
        <v>24081</v>
      </c>
      <c r="E52" s="89">
        <f t="shared" si="11"/>
        <v>3.18</v>
      </c>
      <c r="F52" s="90">
        <f t="shared" si="7"/>
        <v>76577.58</v>
      </c>
      <c r="G52" s="17"/>
      <c r="H52" s="88">
        <f>'6. Historical Wholesale'!H52</f>
        <v>26910</v>
      </c>
      <c r="I52" s="89">
        <f t="shared" si="12"/>
        <v>0.7</v>
      </c>
      <c r="J52" s="90">
        <f t="shared" si="8"/>
        <v>18837</v>
      </c>
      <c r="K52" s="17"/>
      <c r="L52" s="88">
        <f>'6. Historical Wholesale'!L52</f>
        <v>26910</v>
      </c>
      <c r="M52" s="89">
        <f t="shared" si="13"/>
        <v>1.63</v>
      </c>
      <c r="N52" s="90">
        <f t="shared" si="9"/>
        <v>43863.299999999996</v>
      </c>
      <c r="O52" s="17"/>
      <c r="P52" s="47">
        <f t="shared" si="10"/>
        <v>62700.299999999996</v>
      </c>
      <c r="Q52" s="17"/>
    </row>
    <row r="53" spans="2:17" ht="15.75" x14ac:dyDescent="0.25">
      <c r="B53" s="48" t="s">
        <v>138</v>
      </c>
      <c r="C53" s="17"/>
      <c r="D53" s="88">
        <f>'6. Historical Wholesale'!D53</f>
        <v>24964</v>
      </c>
      <c r="E53" s="89">
        <f t="shared" si="11"/>
        <v>3.18</v>
      </c>
      <c r="F53" s="90">
        <f t="shared" si="7"/>
        <v>79385.52</v>
      </c>
      <c r="G53" s="17"/>
      <c r="H53" s="88">
        <f>'6. Historical Wholesale'!H53</f>
        <v>24971</v>
      </c>
      <c r="I53" s="89">
        <f t="shared" si="12"/>
        <v>0.7</v>
      </c>
      <c r="J53" s="90">
        <f t="shared" si="8"/>
        <v>17479.699999999997</v>
      </c>
      <c r="K53" s="17"/>
      <c r="L53" s="88">
        <f>'6. Historical Wholesale'!L53</f>
        <v>24971</v>
      </c>
      <c r="M53" s="89">
        <f t="shared" si="13"/>
        <v>1.63</v>
      </c>
      <c r="N53" s="90">
        <f t="shared" si="9"/>
        <v>40702.729999999996</v>
      </c>
      <c r="O53" s="17"/>
      <c r="P53" s="47">
        <f t="shared" si="10"/>
        <v>58182.429999999993</v>
      </c>
      <c r="Q53" s="17"/>
    </row>
    <row r="54" spans="2:17" ht="15.75" x14ac:dyDescent="0.25">
      <c r="B54" s="48" t="s">
        <v>139</v>
      </c>
      <c r="C54" s="17"/>
      <c r="D54" s="88">
        <f>'6. Historical Wholesale'!D54</f>
        <v>15387</v>
      </c>
      <c r="E54" s="89">
        <f t="shared" si="11"/>
        <v>3.18</v>
      </c>
      <c r="F54" s="90">
        <f t="shared" si="7"/>
        <v>48930.66</v>
      </c>
      <c r="G54" s="17"/>
      <c r="H54" s="88">
        <f>'6. Historical Wholesale'!H54</f>
        <v>15437</v>
      </c>
      <c r="I54" s="89">
        <f t="shared" si="12"/>
        <v>0.7</v>
      </c>
      <c r="J54" s="90">
        <f t="shared" si="8"/>
        <v>10805.9</v>
      </c>
      <c r="K54" s="17"/>
      <c r="L54" s="88">
        <f>'6. Historical Wholesale'!L54</f>
        <v>15437</v>
      </c>
      <c r="M54" s="89">
        <f t="shared" si="13"/>
        <v>1.63</v>
      </c>
      <c r="N54" s="90">
        <f t="shared" si="9"/>
        <v>25162.309999999998</v>
      </c>
      <c r="O54" s="17"/>
      <c r="P54" s="47">
        <f t="shared" si="10"/>
        <v>35968.21</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243652</v>
      </c>
      <c r="E56" s="51">
        <f>IF(D56&lt;&gt;0,F56/D56,0)</f>
        <v>3.18</v>
      </c>
      <c r="F56" s="52">
        <f>SUM(F43:F54)</f>
        <v>774813.36</v>
      </c>
      <c r="G56" s="17"/>
      <c r="H56" s="50">
        <f>SUM(H43:H54)</f>
        <v>254428</v>
      </c>
      <c r="I56" s="51">
        <f>IF(H56&lt;&gt;0,J56/H56,0)</f>
        <v>0.70000000000000007</v>
      </c>
      <c r="J56" s="52">
        <f>SUM(J43:J54)</f>
        <v>178099.6</v>
      </c>
      <c r="K56" s="17"/>
      <c r="L56" s="50">
        <f>SUM(L43:L54)</f>
        <v>254428</v>
      </c>
      <c r="M56" s="51">
        <f>IF(L56&lt;&gt;0,N56/L56,0)</f>
        <v>1.6300000000000001</v>
      </c>
      <c r="N56" s="52">
        <f>SUM(N43:N54)</f>
        <v>414717.64</v>
      </c>
      <c r="O56" s="17"/>
      <c r="P56" s="52">
        <f>SUM(P43:P54)</f>
        <v>592817.24</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7"/>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118802</v>
      </c>
      <c r="E62" s="54">
        <f t="shared" ref="E62:E73" si="15">IF(D62&lt;&gt;0,F62/D62,0)</f>
        <v>3.5555315567077992</v>
      </c>
      <c r="F62" s="47">
        <f t="shared" ref="F62:F73" si="16">F24+F43</f>
        <v>422404.25999999995</v>
      </c>
      <c r="G62" s="17"/>
      <c r="H62" s="53">
        <f t="shared" ref="H62:H73" si="17">H24+H43</f>
        <v>119933</v>
      </c>
      <c r="I62" s="54">
        <f t="shared" ref="I62:I73" si="18">IF(H62&lt;&gt;0,J62/H62,0)</f>
        <v>0.74157946520140416</v>
      </c>
      <c r="J62" s="47">
        <f t="shared" ref="J62:J73" si="19">J24+J43</f>
        <v>88939.85</v>
      </c>
      <c r="K62" s="17"/>
      <c r="L62" s="53">
        <f t="shared" ref="L62:L73" si="20">L24+L43</f>
        <v>119933</v>
      </c>
      <c r="M62" s="54">
        <f t="shared" ref="M62:M73" si="21">IF(L62&lt;&gt;0,N62/L62,0)</f>
        <v>1.8129496468861781</v>
      </c>
      <c r="N62" s="47">
        <f t="shared" ref="N62:N73" si="22">N24+N43</f>
        <v>217432.49</v>
      </c>
      <c r="O62" s="17"/>
      <c r="P62" s="47">
        <f t="shared" ref="P62:P73" si="23">J62+N62</f>
        <v>306372.33999999997</v>
      </c>
      <c r="Q62" s="17"/>
    </row>
    <row r="63" spans="2:17" ht="15.75" x14ac:dyDescent="0.25">
      <c r="B63" s="48" t="s">
        <v>129</v>
      </c>
      <c r="C63" s="17"/>
      <c r="D63" s="53">
        <f t="shared" si="14"/>
        <v>118181</v>
      </c>
      <c r="E63" s="54">
        <f t="shared" si="15"/>
        <v>3.557386804985573</v>
      </c>
      <c r="F63" s="47">
        <f t="shared" si="16"/>
        <v>420415.53</v>
      </c>
      <c r="G63" s="17"/>
      <c r="H63" s="53">
        <f t="shared" si="17"/>
        <v>118815</v>
      </c>
      <c r="I63" s="54">
        <f t="shared" si="18"/>
        <v>0.74197491899170975</v>
      </c>
      <c r="J63" s="47">
        <f t="shared" si="19"/>
        <v>88157.75</v>
      </c>
      <c r="K63" s="17"/>
      <c r="L63" s="53">
        <f t="shared" si="20"/>
        <v>118815</v>
      </c>
      <c r="M63" s="54">
        <f t="shared" si="21"/>
        <v>1.8146896435635231</v>
      </c>
      <c r="N63" s="47">
        <f t="shared" si="22"/>
        <v>215612.35</v>
      </c>
      <c r="O63" s="17"/>
      <c r="P63" s="47">
        <f t="shared" si="23"/>
        <v>303770.09999999998</v>
      </c>
      <c r="Q63" s="17"/>
    </row>
    <row r="64" spans="2:17" ht="15.75" x14ac:dyDescent="0.25">
      <c r="B64" s="48" t="s">
        <v>130</v>
      </c>
      <c r="C64" s="17"/>
      <c r="D64" s="53">
        <f t="shared" si="14"/>
        <v>112122</v>
      </c>
      <c r="E64" s="54">
        <f t="shared" si="15"/>
        <v>3.5648330390110767</v>
      </c>
      <c r="F64" s="47">
        <f t="shared" si="16"/>
        <v>399696.20999999996</v>
      </c>
      <c r="G64" s="17"/>
      <c r="H64" s="53">
        <f t="shared" si="17"/>
        <v>117006</v>
      </c>
      <c r="I64" s="54">
        <f t="shared" si="18"/>
        <v>0.74296446336085331</v>
      </c>
      <c r="J64" s="47">
        <f t="shared" si="19"/>
        <v>86931.3</v>
      </c>
      <c r="K64" s="17"/>
      <c r="L64" s="53">
        <f t="shared" si="20"/>
        <v>117006</v>
      </c>
      <c r="M64" s="54">
        <f t="shared" si="21"/>
        <v>1.8190436387877547</v>
      </c>
      <c r="N64" s="47">
        <f t="shared" si="22"/>
        <v>212839.02000000002</v>
      </c>
      <c r="O64" s="17"/>
      <c r="P64" s="47">
        <f t="shared" si="23"/>
        <v>299770.32</v>
      </c>
      <c r="Q64" s="17"/>
    </row>
    <row r="65" spans="2:17" ht="15.75" x14ac:dyDescent="0.25">
      <c r="B65" s="48" t="s">
        <v>131</v>
      </c>
      <c r="C65" s="17"/>
      <c r="D65" s="53">
        <f t="shared" si="14"/>
        <v>106441</v>
      </c>
      <c r="E65" s="54">
        <f t="shared" si="15"/>
        <v>3.564665213592507</v>
      </c>
      <c r="F65" s="47">
        <f t="shared" si="16"/>
        <v>379426.53</v>
      </c>
      <c r="G65" s="17"/>
      <c r="H65" s="53">
        <f t="shared" si="17"/>
        <v>112982</v>
      </c>
      <c r="I65" s="54">
        <f t="shared" si="18"/>
        <v>0.74241250818714488</v>
      </c>
      <c r="J65" s="47">
        <f t="shared" si="19"/>
        <v>83879.25</v>
      </c>
      <c r="K65" s="17"/>
      <c r="L65" s="53">
        <f t="shared" si="20"/>
        <v>112982</v>
      </c>
      <c r="M65" s="54">
        <f t="shared" si="21"/>
        <v>1.8166150360234374</v>
      </c>
      <c r="N65" s="47">
        <f t="shared" si="22"/>
        <v>205244.80000000002</v>
      </c>
      <c r="O65" s="17"/>
      <c r="P65" s="47">
        <f t="shared" si="23"/>
        <v>289124.05000000005</v>
      </c>
      <c r="Q65" s="17"/>
    </row>
    <row r="66" spans="2:17" ht="15.75" x14ac:dyDescent="0.25">
      <c r="B66" s="48" t="s">
        <v>132</v>
      </c>
      <c r="C66" s="17"/>
      <c r="D66" s="53">
        <f t="shared" si="14"/>
        <v>129860</v>
      </c>
      <c r="E66" s="54">
        <f t="shared" si="15"/>
        <v>3.5393138764823662</v>
      </c>
      <c r="F66" s="47">
        <f t="shared" si="16"/>
        <v>459615.30000000005</v>
      </c>
      <c r="G66" s="17"/>
      <c r="H66" s="53">
        <f t="shared" si="17"/>
        <v>131282</v>
      </c>
      <c r="I66" s="54">
        <f t="shared" si="18"/>
        <v>0.73989617769381943</v>
      </c>
      <c r="J66" s="47">
        <f t="shared" si="19"/>
        <v>97135.05</v>
      </c>
      <c r="K66" s="17"/>
      <c r="L66" s="53">
        <f t="shared" si="20"/>
        <v>131282</v>
      </c>
      <c r="M66" s="54">
        <f t="shared" si="21"/>
        <v>1.8055431818528054</v>
      </c>
      <c r="N66" s="47">
        <f t="shared" si="22"/>
        <v>237035.32</v>
      </c>
      <c r="O66" s="17"/>
      <c r="P66" s="47">
        <f t="shared" si="23"/>
        <v>334170.37</v>
      </c>
      <c r="Q66" s="17"/>
    </row>
    <row r="67" spans="2:17" ht="15.75" x14ac:dyDescent="0.25">
      <c r="B67" s="48" t="s">
        <v>133</v>
      </c>
      <c r="C67" s="17"/>
      <c r="D67" s="53">
        <f t="shared" si="14"/>
        <v>148354</v>
      </c>
      <c r="E67" s="54">
        <f t="shared" si="15"/>
        <v>3.5482741955053454</v>
      </c>
      <c r="F67" s="47">
        <f t="shared" si="16"/>
        <v>526400.67000000004</v>
      </c>
      <c r="G67" s="17"/>
      <c r="H67" s="53">
        <f t="shared" si="17"/>
        <v>149943</v>
      </c>
      <c r="I67" s="54">
        <f t="shared" si="18"/>
        <v>0.7409979125400985</v>
      </c>
      <c r="J67" s="47">
        <f t="shared" si="19"/>
        <v>111107.45</v>
      </c>
      <c r="K67" s="17"/>
      <c r="L67" s="53">
        <f t="shared" si="20"/>
        <v>149943</v>
      </c>
      <c r="M67" s="54">
        <f t="shared" si="21"/>
        <v>1.8103908151764336</v>
      </c>
      <c r="N67" s="47">
        <f t="shared" si="22"/>
        <v>271455.43</v>
      </c>
      <c r="O67" s="17"/>
      <c r="P67" s="47">
        <f t="shared" si="23"/>
        <v>382562.88</v>
      </c>
      <c r="Q67" s="17"/>
    </row>
    <row r="68" spans="2:17" ht="15.75" x14ac:dyDescent="0.25">
      <c r="B68" s="48" t="s">
        <v>134</v>
      </c>
      <c r="C68" s="17"/>
      <c r="D68" s="53">
        <f t="shared" si="14"/>
        <v>162195</v>
      </c>
      <c r="E68" s="54">
        <f t="shared" si="15"/>
        <v>3.5724581522241743</v>
      </c>
      <c r="F68" s="47">
        <f t="shared" si="16"/>
        <v>579434.85</v>
      </c>
      <c r="G68" s="17"/>
      <c r="H68" s="53">
        <f t="shared" si="17"/>
        <v>169429</v>
      </c>
      <c r="I68" s="54">
        <f t="shared" si="18"/>
        <v>0.74386144048539504</v>
      </c>
      <c r="J68" s="47">
        <f t="shared" si="19"/>
        <v>126031.7</v>
      </c>
      <c r="K68" s="17"/>
      <c r="L68" s="53">
        <f t="shared" si="20"/>
        <v>169429</v>
      </c>
      <c r="M68" s="54">
        <f t="shared" si="21"/>
        <v>1.8229903381357382</v>
      </c>
      <c r="N68" s="47">
        <f t="shared" si="22"/>
        <v>308867.43</v>
      </c>
      <c r="O68" s="17"/>
      <c r="P68" s="47">
        <f t="shared" si="23"/>
        <v>434899.13</v>
      </c>
      <c r="Q68" s="17"/>
    </row>
    <row r="69" spans="2:17" ht="15.75" x14ac:dyDescent="0.25">
      <c r="B69" s="48" t="s">
        <v>135</v>
      </c>
      <c r="C69" s="17"/>
      <c r="D69" s="53">
        <f t="shared" si="14"/>
        <v>136402</v>
      </c>
      <c r="E69" s="54">
        <f t="shared" si="15"/>
        <v>3.5797518364833358</v>
      </c>
      <c r="F69" s="47">
        <f t="shared" si="16"/>
        <v>488285.31</v>
      </c>
      <c r="G69" s="17"/>
      <c r="H69" s="53">
        <f t="shared" si="17"/>
        <v>138113</v>
      </c>
      <c r="I69" s="54">
        <f t="shared" si="18"/>
        <v>0.74402482025587746</v>
      </c>
      <c r="J69" s="47">
        <f t="shared" si="19"/>
        <v>102759.5</v>
      </c>
      <c r="K69" s="17"/>
      <c r="L69" s="53">
        <f t="shared" si="20"/>
        <v>138113</v>
      </c>
      <c r="M69" s="54">
        <f t="shared" si="21"/>
        <v>1.8237092091258609</v>
      </c>
      <c r="N69" s="47">
        <f t="shared" si="22"/>
        <v>251877.95</v>
      </c>
      <c r="O69" s="17"/>
      <c r="P69" s="47">
        <f t="shared" si="23"/>
        <v>354637.45</v>
      </c>
      <c r="Q69" s="17"/>
    </row>
    <row r="70" spans="2:17" ht="15.75" x14ac:dyDescent="0.25">
      <c r="B70" s="48" t="s">
        <v>136</v>
      </c>
      <c r="C70" s="17"/>
      <c r="D70" s="53">
        <f t="shared" si="14"/>
        <v>134039</v>
      </c>
      <c r="E70" s="54">
        <f t="shared" si="15"/>
        <v>3.5638121740687412</v>
      </c>
      <c r="F70" s="47">
        <f t="shared" si="16"/>
        <v>477689.82</v>
      </c>
      <c r="G70" s="17"/>
      <c r="H70" s="53">
        <f t="shared" si="17"/>
        <v>137726</v>
      </c>
      <c r="I70" s="54">
        <f t="shared" si="18"/>
        <v>0.74150414591289948</v>
      </c>
      <c r="J70" s="47">
        <f t="shared" si="19"/>
        <v>102124.4</v>
      </c>
      <c r="K70" s="17"/>
      <c r="L70" s="53">
        <f t="shared" si="20"/>
        <v>137726</v>
      </c>
      <c r="M70" s="54">
        <f t="shared" si="21"/>
        <v>1.8126182420167583</v>
      </c>
      <c r="N70" s="47">
        <f t="shared" si="22"/>
        <v>249644.66000000003</v>
      </c>
      <c r="O70" s="17"/>
      <c r="P70" s="47">
        <f t="shared" si="23"/>
        <v>351769.06000000006</v>
      </c>
      <c r="Q70" s="17"/>
    </row>
    <row r="71" spans="2:17" ht="15.75" x14ac:dyDescent="0.25">
      <c r="B71" s="48" t="s">
        <v>137</v>
      </c>
      <c r="C71" s="17"/>
      <c r="D71" s="53">
        <f t="shared" si="14"/>
        <v>117380</v>
      </c>
      <c r="E71" s="54">
        <f t="shared" si="15"/>
        <v>3.5376806099846654</v>
      </c>
      <c r="F71" s="47">
        <f t="shared" si="16"/>
        <v>415252.95</v>
      </c>
      <c r="G71" s="17"/>
      <c r="H71" s="53">
        <f t="shared" si="17"/>
        <v>120728</v>
      </c>
      <c r="I71" s="54">
        <f t="shared" si="18"/>
        <v>0.73885511231860046</v>
      </c>
      <c r="J71" s="47">
        <f t="shared" si="19"/>
        <v>89200.5</v>
      </c>
      <c r="K71" s="17"/>
      <c r="L71" s="53">
        <f t="shared" si="20"/>
        <v>120728</v>
      </c>
      <c r="M71" s="54">
        <f t="shared" si="21"/>
        <v>1.8009624942018423</v>
      </c>
      <c r="N71" s="47">
        <f t="shared" si="22"/>
        <v>217426.6</v>
      </c>
      <c r="O71" s="17"/>
      <c r="P71" s="47">
        <f t="shared" si="23"/>
        <v>306627.09999999998</v>
      </c>
      <c r="Q71" s="17"/>
    </row>
    <row r="72" spans="2:17" ht="15.75" x14ac:dyDescent="0.25">
      <c r="B72" s="48" t="s">
        <v>138</v>
      </c>
      <c r="C72" s="17"/>
      <c r="D72" s="53">
        <f t="shared" si="14"/>
        <v>126840</v>
      </c>
      <c r="E72" s="54">
        <f t="shared" si="15"/>
        <v>3.5414333017975403</v>
      </c>
      <c r="F72" s="47">
        <f t="shared" si="16"/>
        <v>449195.4</v>
      </c>
      <c r="G72" s="17"/>
      <c r="H72" s="53">
        <f t="shared" si="17"/>
        <v>129092</v>
      </c>
      <c r="I72" s="54">
        <f t="shared" si="18"/>
        <v>0.74032821553620676</v>
      </c>
      <c r="J72" s="47">
        <f t="shared" si="19"/>
        <v>95570.45</v>
      </c>
      <c r="K72" s="17"/>
      <c r="L72" s="53">
        <f t="shared" si="20"/>
        <v>129092</v>
      </c>
      <c r="M72" s="54">
        <f t="shared" si="21"/>
        <v>1.8074441483593098</v>
      </c>
      <c r="N72" s="47">
        <f t="shared" si="22"/>
        <v>233326.58000000002</v>
      </c>
      <c r="O72" s="17"/>
      <c r="P72" s="47">
        <f t="shared" si="23"/>
        <v>328897.03000000003</v>
      </c>
      <c r="Q72" s="17"/>
    </row>
    <row r="73" spans="2:17" ht="15.75" x14ac:dyDescent="0.25">
      <c r="B73" s="48" t="s">
        <v>139</v>
      </c>
      <c r="C73" s="17"/>
      <c r="D73" s="53">
        <f t="shared" si="14"/>
        <v>119470</v>
      </c>
      <c r="E73" s="54">
        <f t="shared" si="15"/>
        <v>3.5720427722440777</v>
      </c>
      <c r="F73" s="47">
        <f t="shared" si="16"/>
        <v>426751.94999999995</v>
      </c>
      <c r="G73" s="17"/>
      <c r="H73" s="53">
        <f t="shared" si="17"/>
        <v>119520</v>
      </c>
      <c r="I73" s="54">
        <f t="shared" si="18"/>
        <v>0.74354208500669339</v>
      </c>
      <c r="J73" s="47">
        <f t="shared" si="19"/>
        <v>88868.15</v>
      </c>
      <c r="K73" s="17"/>
      <c r="L73" s="53">
        <f t="shared" si="20"/>
        <v>119520</v>
      </c>
      <c r="M73" s="54">
        <f t="shared" si="21"/>
        <v>1.8215851740294513</v>
      </c>
      <c r="N73" s="47">
        <f t="shared" si="22"/>
        <v>217715.86000000002</v>
      </c>
      <c r="O73" s="17"/>
      <c r="P73" s="47">
        <f t="shared" si="23"/>
        <v>306584.01</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1530086</v>
      </c>
      <c r="E75" s="51">
        <f>IF(D75&lt;&gt;0,F75/D75,0)</f>
        <v>3.5583416749123908</v>
      </c>
      <c r="F75" s="52">
        <f>SUM(F62:F73)</f>
        <v>5444568.7800000003</v>
      </c>
      <c r="G75" s="17"/>
      <c r="H75" s="50">
        <f>SUM(H62:H73)</f>
        <v>1564569</v>
      </c>
      <c r="I75" s="51">
        <f>IF(H75&lt;&gt;0,J75/H75,0)</f>
        <v>0.74186907065140617</v>
      </c>
      <c r="J75" s="52">
        <f>SUM(J62:J73)</f>
        <v>1160705.3499999999</v>
      </c>
      <c r="K75" s="17"/>
      <c r="L75" s="50">
        <f>SUM(L62:L73)</f>
        <v>1564569</v>
      </c>
      <c r="M75" s="51">
        <f>IF(L75&lt;&gt;0,N75/L75,0)</f>
        <v>1.8142239108661873</v>
      </c>
      <c r="N75" s="52">
        <f>SUM(N62:N73)</f>
        <v>2838478.4899999998</v>
      </c>
      <c r="O75" s="17"/>
      <c r="P75" s="52">
        <f>SUM(P62:P73)</f>
        <v>3999183.84</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M13"/>
    <mergeCell ref="D20:F20"/>
    <mergeCell ref="H20:J20"/>
    <mergeCell ref="L20:N20"/>
    <mergeCell ref="D39:F39"/>
    <mergeCell ref="H39:J39"/>
    <mergeCell ref="L39:N39"/>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4" activePane="bottomLeft" state="frozenSplit"/>
      <selection pane="bottomLeft" activeCell="B24" sqref="B24"/>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1" t="s">
        <v>225</v>
      </c>
    </row>
    <row r="15" spans="2:18" ht="3" customHeight="1" x14ac:dyDescent="0.2"/>
    <row r="16" spans="2:18" ht="3" customHeight="1" x14ac:dyDescent="0.2">
      <c r="B16" s="132"/>
      <c r="C16" s="140"/>
      <c r="D16" s="140"/>
      <c r="E16" s="137"/>
      <c r="F16" s="140"/>
      <c r="G16" s="133"/>
      <c r="H16" s="140"/>
      <c r="I16" s="137"/>
      <c r="J16" s="140"/>
      <c r="K16" s="133"/>
      <c r="L16" s="140"/>
      <c r="M16" s="140"/>
      <c r="N16" s="140"/>
      <c r="O16" s="140"/>
      <c r="P16" s="140"/>
      <c r="Q16" s="140"/>
      <c r="R16" s="140"/>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6.7999999999999996E-3</v>
      </c>
      <c r="G25" s="64"/>
      <c r="H25" s="64">
        <f>VLOOKUP('9. Adj Network to Current WS'!$B25, '4. RRR Data'!$B$27:$M$49,11,0)</f>
        <v>278453368.28100002</v>
      </c>
      <c r="I25" s="72"/>
      <c r="J25" s="64">
        <f>VLOOKUP('9. Adj Network to Current WS'!$B25, '4. RRR Data'!$B$27:$M$49,12,0)</f>
        <v>0</v>
      </c>
      <c r="K25" s="58"/>
      <c r="L25" s="60">
        <f>IF(F25="", "", IF(D25="kWh", F25*H25, F25*J25))</f>
        <v>1893482.9043107999</v>
      </c>
      <c r="M25" s="55"/>
      <c r="N25" s="61">
        <f>IF(ISERROR(L25/$L$49), "", L25/$L$49)</f>
        <v>0.37022613185128767</v>
      </c>
      <c r="O25" s="13"/>
      <c r="P25" s="62">
        <f>IF(ISERROR('7. Current Wholesale'!$F$75*N25), "", '7. Current Wholesale'!$F$75*N25)</f>
        <v>1939335.9911323159</v>
      </c>
      <c r="R25" s="63">
        <f>IF(D25="","",IF(D25="kWh",IF(H25&lt;&gt;0,P25/H25,),IF(J25&lt;&gt;0,P25/J25,0)))</f>
        <v>6.9646706129093882E-3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6.1999999999999998E-3</v>
      </c>
      <c r="G26" s="64"/>
      <c r="H26" s="64">
        <f>VLOOKUP('9. Adj Network to Current WS'!$B26, '4. RRR Data'!$B$27:$M$49,11,0)</f>
        <v>86355699.790800005</v>
      </c>
      <c r="I26" s="72"/>
      <c r="J26" s="64">
        <f>VLOOKUP('9. Adj Network to Current WS'!$B26, '4. RRR Data'!$B$27:$M$49,12,0)</f>
        <v>0</v>
      </c>
      <c r="K26" s="59"/>
      <c r="L26" s="60">
        <f t="shared" ref="L26:L46" si="0">IF(F26="", "", IF(D26="kWh", F26*H26, F26*J26))</f>
        <v>535405.33870296006</v>
      </c>
      <c r="M26" s="55"/>
      <c r="N26" s="61">
        <f t="shared" ref="N26:N46" si="1">IF(ISERROR(L26/$L$49), "", L26/$L$49)</f>
        <v>0.10468594518030518</v>
      </c>
      <c r="P26" s="62">
        <f>IF(ISERROR('7. Current Wholesale'!$F$75*N26), "", '7. Current Wholesale'!$F$75*N26)</f>
        <v>548370.85712636821</v>
      </c>
      <c r="R26" s="63">
        <f t="shared" ref="R26:R46" si="2">IF(D26="","",IF(D26="kWh",IF(H26&lt;&gt;0,P26/H26,),IF(J26&lt;&gt;0,P26/J26,0)))</f>
        <v>6.3501408529467963E-3</v>
      </c>
    </row>
    <row r="27" spans="2:18" ht="25.5" customHeight="1" thickBot="1" x14ac:dyDescent="0.25">
      <c r="B27" s="15" t="str">
        <f>IF('3. Rate Classes'!Q26=1,'3. Rate Classes'!C26, 0)</f>
        <v>General Service 50 to 999 kW</v>
      </c>
      <c r="C27" s="8"/>
      <c r="D27" s="16" t="str">
        <f>IF(ISERROR(VLOOKUP($B27, '3. Rate Classes'!$C$24:$H$45,6,0)), "", VLOOKUP($B27, '3. Rate Classes'!$C$24:$H$45,6,0))</f>
        <v>kW</v>
      </c>
      <c r="F27" s="70">
        <f>IF(ISERROR(VLOOKUP($B27,'3. Rate Classes'!$C$24:$N$45, 8,0)), "", VLOOKUP($B27,'3. Rate Classes'!$C$24:$N$45, 8,0))</f>
        <v>2.7913000000000001</v>
      </c>
      <c r="G27" s="64"/>
      <c r="H27" s="64">
        <f>VLOOKUP('9. Adj Network to Current WS'!$B27, '4. RRR Data'!$B$27:$M$49,11,0)</f>
        <v>192782769</v>
      </c>
      <c r="I27" s="72"/>
      <c r="J27" s="64">
        <f>VLOOKUP('9. Adj Network to Current WS'!$B27, '4. RRR Data'!$B$27:$M$49,12,0)</f>
        <v>503231</v>
      </c>
      <c r="K27" s="59"/>
      <c r="L27" s="60">
        <f t="shared" si="0"/>
        <v>1404668.6903000001</v>
      </c>
      <c r="M27" s="55"/>
      <c r="N27" s="61">
        <f t="shared" si="1"/>
        <v>0.27464998736372126</v>
      </c>
      <c r="P27" s="62">
        <f>IF(ISERROR('7. Current Wholesale'!$F$75*N27), "", '7. Current Wholesale'!$F$75*N27)</f>
        <v>1438684.5217950486</v>
      </c>
      <c r="R27" s="63">
        <f t="shared" si="2"/>
        <v>2.858894864972644</v>
      </c>
    </row>
    <row r="28" spans="2:18" ht="25.5" customHeight="1" thickBot="1" x14ac:dyDescent="0.25">
      <c r="B28" s="15" t="str">
        <f>IF('3. Rate Classes'!Q27=1,'3. Rate Classes'!C27, 0)</f>
        <v>General Service 1,000 to 4,999 kW</v>
      </c>
      <c r="C28" s="8"/>
      <c r="D28" s="16" t="str">
        <f>IF(ISERROR(VLOOKUP($B28, '3. Rate Classes'!$C$24:$H$45,6,0)), "", VLOOKUP($B28, '3. Rate Classes'!$C$24:$H$45,6,0))</f>
        <v>kW</v>
      </c>
      <c r="F28" s="70">
        <f>IF(ISERROR(VLOOKUP($B28,'3. Rate Classes'!$C$24:$N$45, 8,0)), "", VLOOKUP($B28,'3. Rate Classes'!$C$24:$N$45, 8,0))</f>
        <v>2.7452999999999999</v>
      </c>
      <c r="G28" s="64"/>
      <c r="H28" s="64">
        <f>VLOOKUP('9. Adj Network to Current WS'!$B28, '4. RRR Data'!$B$27:$M$49,11,0)</f>
        <v>121407487</v>
      </c>
      <c r="I28" s="72"/>
      <c r="J28" s="64">
        <f>VLOOKUP('9. Adj Network to Current WS'!$B28, '4. RRR Data'!$B$27:$M$49,12,0)</f>
        <v>260972</v>
      </c>
      <c r="K28" s="59"/>
      <c r="L28" s="60">
        <f t="shared" si="0"/>
        <v>716446.43160000001</v>
      </c>
      <c r="M28" s="55"/>
      <c r="N28" s="61">
        <f t="shared" si="1"/>
        <v>0.14008428090163944</v>
      </c>
      <c r="P28" s="62">
        <f>IF(ISERROR('7. Current Wholesale'!$F$75*N28), "", '7. Current Wholesale'!$F$75*N28)</f>
        <v>733796.08939534076</v>
      </c>
      <c r="R28" s="63">
        <f t="shared" si="2"/>
        <v>2.8117809167088454</v>
      </c>
    </row>
    <row r="29" spans="2:18" ht="25.5" customHeight="1" thickBot="1" x14ac:dyDescent="0.25">
      <c r="B29" s="15" t="str">
        <f>IF('3. Rate Classes'!Q28=1,'3. Rate Classes'!C28, 0)</f>
        <v>Large Use</v>
      </c>
      <c r="C29" s="8"/>
      <c r="D29" s="16" t="str">
        <f>IF(ISERROR(VLOOKUP($B29, '3. Rate Classes'!$C$24:$H$45,6,0)), "", VLOOKUP($B29, '3. Rate Classes'!$C$24:$H$45,6,0))</f>
        <v>kW</v>
      </c>
      <c r="F29" s="70">
        <f>IF(ISERROR(VLOOKUP($B29,'3. Rate Classes'!$C$24:$N$45, 8,0)), "", VLOOKUP($B29,'3. Rate Classes'!$C$24:$N$45, 8,0))</f>
        <v>2.9727999999999999</v>
      </c>
      <c r="G29" s="64"/>
      <c r="H29" s="64">
        <f>VLOOKUP('9. Adj Network to Current WS'!$B29, '4. RRR Data'!$B$27:$M$49,11,0)</f>
        <v>80336534</v>
      </c>
      <c r="I29" s="72"/>
      <c r="J29" s="64">
        <f>VLOOKUP('9. Adj Network to Current WS'!$B29, '4. RRR Data'!$B$27:$M$49,12,0)</f>
        <v>175385</v>
      </c>
      <c r="K29" s="59"/>
      <c r="L29" s="60">
        <f t="shared" si="0"/>
        <v>521384.52799999999</v>
      </c>
      <c r="M29" s="55"/>
      <c r="N29" s="61">
        <f t="shared" si="1"/>
        <v>0.10194450479013412</v>
      </c>
      <c r="P29" s="62">
        <f>IF(ISERROR('7. Current Wholesale'!$F$75*N29), "", '7. Current Wholesale'!$F$75*N29)</f>
        <v>534010.51473341661</v>
      </c>
      <c r="R29" s="63">
        <f t="shared" si="2"/>
        <v>3.0447901173613285</v>
      </c>
    </row>
    <row r="30" spans="2:18" ht="25.5" customHeight="1" thickBot="1" x14ac:dyDescent="0.25">
      <c r="B30" s="15" t="str">
        <f>IF('3. Rate Classes'!Q29=1,'3. Rate Classes'!C29, 0)</f>
        <v>Unmetered Scattered Load</v>
      </c>
      <c r="C30" s="8"/>
      <c r="D30" s="16" t="str">
        <f>IF(ISERROR(VLOOKUP($B30, '3. Rate Classes'!$C$24:$H$45,6,0)), "", VLOOKUP($B30, '3. Rate Classes'!$C$24:$H$45,6,0))</f>
        <v>kWh</v>
      </c>
      <c r="F30" s="70">
        <f>IF(ISERROR(VLOOKUP($B30,'3. Rate Classes'!$C$24:$N$45, 8,0)), "", VLOOKUP($B30,'3. Rate Classes'!$C$24:$N$45, 8,0))</f>
        <v>6.1999999999999998E-3</v>
      </c>
      <c r="G30" s="64"/>
      <c r="H30" s="64">
        <f>VLOOKUP('9. Adj Network to Current WS'!$B30, '4. RRR Data'!$B$27:$M$49,11,0)</f>
        <v>1345962.6642</v>
      </c>
      <c r="I30" s="72"/>
      <c r="J30" s="64">
        <f>VLOOKUP('9. Adj Network to Current WS'!$B30, '4. RRR Data'!$B$27:$M$49,12,0)</f>
        <v>0</v>
      </c>
      <c r="K30" s="59"/>
      <c r="L30" s="60">
        <f t="shared" si="0"/>
        <v>8344.9685180399993</v>
      </c>
      <c r="M30" s="55"/>
      <c r="N30" s="61">
        <f t="shared" si="1"/>
        <v>1.6316626930303676E-3</v>
      </c>
      <c r="P30" s="62">
        <f>IF(ISERROR('7. Current Wholesale'!$F$75*N30), "", '7. Current Wholesale'!$F$75*N30)</f>
        <v>8547.05250047753</v>
      </c>
      <c r="R30" s="63">
        <f t="shared" si="2"/>
        <v>6.3501408529467963E-3</v>
      </c>
    </row>
    <row r="31" spans="2:18" ht="25.5" customHeight="1" thickBot="1" x14ac:dyDescent="0.25">
      <c r="B31" s="15" t="str">
        <f>IF('3. Rate Classes'!Q30=1,'3. Rate Classes'!C30, 0)</f>
        <v>Sentinel Lighting</v>
      </c>
      <c r="C31" s="8"/>
      <c r="D31" s="16" t="str">
        <f>IF(ISERROR(VLOOKUP($B31, '3. Rate Classes'!$C$24:$H$45,6,0)), "", VLOOKUP($B31, '3. Rate Classes'!$C$24:$H$45,6,0))</f>
        <v>kW</v>
      </c>
      <c r="F31" s="70">
        <f>IF(ISERROR(VLOOKUP($B31,'3. Rate Classes'!$C$24:$N$45, 8,0)), "", VLOOKUP($B31,'3. Rate Classes'!$C$24:$N$45, 8,0))</f>
        <v>1.9000999999999999</v>
      </c>
      <c r="G31" s="64"/>
      <c r="H31" s="64">
        <f>VLOOKUP('9. Adj Network to Current WS'!$B31, '4. RRR Data'!$B$27:$M$49,11,0)</f>
        <v>158082</v>
      </c>
      <c r="I31" s="72"/>
      <c r="J31" s="64">
        <f>VLOOKUP('9. Adj Network to Current WS'!$B31, '4. RRR Data'!$B$27:$M$49,12,0)</f>
        <v>439</v>
      </c>
      <c r="K31" s="59"/>
      <c r="L31" s="60">
        <f t="shared" si="0"/>
        <v>834.14389999999992</v>
      </c>
      <c r="M31" s="55"/>
      <c r="N31" s="61">
        <f t="shared" si="1"/>
        <v>1.6309725786341542E-4</v>
      </c>
      <c r="P31" s="62">
        <f>IF(ISERROR('7. Current Wholesale'!$F$75*N31), "", '7. Current Wholesale'!$F$75*N31)</f>
        <v>854.34375106876871</v>
      </c>
      <c r="R31" s="63">
        <f t="shared" si="2"/>
        <v>1.9461133281748717</v>
      </c>
    </row>
    <row r="32" spans="2:18" ht="25.5" customHeight="1" thickBot="1" x14ac:dyDescent="0.25">
      <c r="B32" s="15" t="str">
        <f>IF('3. Rate Classes'!Q31=1,'3. Rate Classes'!C31, 0)</f>
        <v>Street Lighting</v>
      </c>
      <c r="C32" s="8"/>
      <c r="D32" s="16" t="str">
        <f>IF(ISERROR(VLOOKUP($B32, '3. Rate Classes'!$C$24:$H$45,6,0)), "", VLOOKUP($B32, '3. Rate Classes'!$C$24:$H$45,6,0))</f>
        <v>kW</v>
      </c>
      <c r="F32" s="70">
        <f>IF(ISERROR(VLOOKUP($B32,'3. Rate Classes'!$C$24:$N$45, 8,0)), "", VLOOKUP($B32,'3. Rate Classes'!$C$24:$N$45, 8,0))</f>
        <v>1.8905000000000001</v>
      </c>
      <c r="G32" s="64"/>
      <c r="H32" s="64">
        <f>VLOOKUP('9. Adj Network to Current WS'!$B32, '4. RRR Data'!$B$27:$M$49,11,0)</f>
        <v>6418516</v>
      </c>
      <c r="I32" s="72"/>
      <c r="J32" s="64">
        <f>VLOOKUP('9. Adj Network to Current WS'!$B32, '4. RRR Data'!$B$27:$M$49,12,0)</f>
        <v>17894</v>
      </c>
      <c r="K32" s="59"/>
      <c r="L32" s="60">
        <f t="shared" si="0"/>
        <v>33828.607000000004</v>
      </c>
      <c r="M32" s="55"/>
      <c r="N32" s="61">
        <f t="shared" si="1"/>
        <v>6.614389962018713E-3</v>
      </c>
      <c r="P32" s="62">
        <f>IF(ISERROR('7. Current Wholesale'!$F$75*N32), "", '7. Current Wholesale'!$F$75*N32)</f>
        <v>34647.809565964832</v>
      </c>
      <c r="R32" s="63">
        <f t="shared" si="2"/>
        <v>1.9362808520154706</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x14ac:dyDescent="0.25">
      <c r="F47" s="70"/>
      <c r="G47" s="74"/>
      <c r="H47" s="74"/>
      <c r="I47" s="74"/>
      <c r="J47" s="74"/>
      <c r="R47" s="63"/>
    </row>
    <row r="48" spans="2:18" ht="13.5" thickBot="1" x14ac:dyDescent="0.25">
      <c r="F48" s="70"/>
      <c r="G48" s="74"/>
      <c r="H48" s="74"/>
      <c r="I48" s="74"/>
      <c r="J48" s="74"/>
    </row>
    <row r="49" spans="6:12" ht="13.5" thickBot="1" x14ac:dyDescent="0.25">
      <c r="F49" s="70"/>
      <c r="G49" s="74"/>
      <c r="H49" s="74"/>
      <c r="I49" s="74"/>
      <c r="J49" s="74"/>
      <c r="L49" s="71">
        <f>SUM(L25:L46)</f>
        <v>5114395.6123317992</v>
      </c>
    </row>
    <row r="50" spans="6:12" ht="13.5" thickBot="1" x14ac:dyDescent="0.25">
      <c r="F50" s="70"/>
      <c r="G50" s="74"/>
      <c r="H50" s="74"/>
      <c r="I50" s="74"/>
      <c r="J50" s="74"/>
    </row>
    <row r="51" spans="6:12" ht="13.5" thickBot="1" x14ac:dyDescent="0.25">
      <c r="F51" s="70"/>
      <c r="G51" s="74"/>
      <c r="H51" s="74"/>
      <c r="I51" s="74"/>
      <c r="J51" s="74"/>
    </row>
    <row r="52" spans="6:12" ht="13.5" thickBot="1" x14ac:dyDescent="0.25">
      <c r="F52" s="64"/>
      <c r="G52" s="74"/>
      <c r="H52" s="74"/>
      <c r="I52" s="74"/>
      <c r="J52" s="74"/>
    </row>
    <row r="53" spans="6:12" ht="13.5" thickBot="1" x14ac:dyDescent="0.25">
      <c r="F53" s="64"/>
      <c r="G53" s="74"/>
      <c r="H53" s="74"/>
      <c r="I53" s="74"/>
      <c r="J53" s="74"/>
    </row>
    <row r="54" spans="6:12" ht="13.5" thickBot="1" x14ac:dyDescent="0.25">
      <c r="F54" s="64"/>
      <c r="G54" s="74"/>
      <c r="H54" s="74"/>
      <c r="I54" s="74"/>
      <c r="J54" s="74"/>
    </row>
    <row r="55" spans="6:12" ht="13.5" thickBot="1" x14ac:dyDescent="0.25">
      <c r="F55" s="64"/>
      <c r="G55" s="74"/>
      <c r="H55" s="74"/>
      <c r="I55" s="74"/>
      <c r="J55" s="74"/>
    </row>
    <row r="56" spans="6:12"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19</vt:i4>
      </vt:variant>
    </vt:vector>
  </HeadingPairs>
  <TitlesOfParts>
    <vt:vector size="3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'10. Adj Conn. to Current WS'!Print_Area</vt:lpstr>
      <vt:lpstr>'11. Adj Network to Forecast WS'!Print_Area</vt:lpstr>
      <vt:lpstr>'12. Adj Conn. to Forecast WS'!Print_Area</vt:lpstr>
      <vt:lpstr>'13. Final 2013 RTS Rates'!Print_Area</vt:lpstr>
      <vt:lpstr>'2. Table of Contents'!Print_Area</vt:lpstr>
      <vt:lpstr>'3. Rate Classes'!Print_Area</vt:lpstr>
      <vt:lpstr>'4. RRR Data'!Print_Area</vt:lpstr>
      <vt:lpstr>'5. UTRs and Sub-Transmission'!Print_Area</vt:lpstr>
      <vt:lpstr>'6. Historical Wholesale'!Print_Area</vt:lpstr>
      <vt:lpstr>'7. Current Wholesale'!Print_Area</vt:lpstr>
      <vt:lpstr>'8. Forecast Wholesale'!Print_Area</vt:lpstr>
      <vt:lpstr>'9. Adj Network to Current WS'!Print_Area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Kelli Benincasa</cp:lastModifiedBy>
  <cp:lastPrinted>2012-09-13T17:30:50Z</cp:lastPrinted>
  <dcterms:created xsi:type="dcterms:W3CDTF">2011-05-30T20:18:50Z</dcterms:created>
  <dcterms:modified xsi:type="dcterms:W3CDTF">2013-03-13T16:19:50Z</dcterms:modified>
</cp:coreProperties>
</file>